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qualized Values\2026 EQ Values\August 15 - Website Reports\3 - TID303WI_CTY Apportionment\"/>
    </mc:Choice>
  </mc:AlternateContent>
  <xr:revisionPtr revIDLastSave="0" documentId="13_ncr:1_{4929CA22-0AA3-4E2D-B734-1C2813AA0737}" xr6:coauthVersionLast="47" xr6:coauthVersionMax="47" xr10:uidLastSave="{00000000-0000-0000-0000-000000000000}"/>
  <bookViews>
    <workbookView xWindow="67410" yWindow="1740" windowWidth="25215" windowHeight="13350" xr2:uid="{F1A03E65-B30E-4FC2-99BB-8D0AA58F13DD}"/>
  </bookViews>
  <sheets>
    <sheet name="TID3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D19" i="1"/>
  <c r="A20" i="1"/>
  <c r="A21" i="1"/>
  <c r="A22" i="1"/>
  <c r="A24" i="1"/>
  <c r="A26" i="1"/>
  <c r="A27" i="1"/>
  <c r="D27" i="1"/>
  <c r="A28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5" i="1"/>
  <c r="A47" i="1"/>
  <c r="D47" i="1"/>
  <c r="A48" i="1"/>
  <c r="D48" i="1"/>
  <c r="A49" i="1"/>
  <c r="A50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9" i="1"/>
  <c r="A80" i="1"/>
  <c r="A81" i="1"/>
  <c r="D81" i="1"/>
  <c r="A82" i="1"/>
  <c r="A83" i="1"/>
  <c r="A84" i="1"/>
  <c r="A85" i="1"/>
  <c r="A86" i="1"/>
  <c r="D86" i="1"/>
  <c r="A87" i="1"/>
  <c r="A89" i="1"/>
  <c r="D89" i="1"/>
  <c r="A90" i="1"/>
  <c r="D90" i="1"/>
  <c r="A91" i="1"/>
  <c r="D91" i="1"/>
  <c r="A92" i="1"/>
  <c r="D92" i="1"/>
  <c r="A93" i="1"/>
  <c r="D93" i="1"/>
  <c r="A94" i="1"/>
  <c r="A95" i="1"/>
  <c r="D95" i="1"/>
  <c r="A96" i="1"/>
  <c r="A97" i="1"/>
  <c r="D97" i="1"/>
  <c r="A98" i="1"/>
  <c r="D98" i="1"/>
  <c r="A99" i="1"/>
  <c r="A100" i="1"/>
  <c r="D100" i="1"/>
  <c r="A101" i="1"/>
  <c r="D101" i="1"/>
  <c r="A102" i="1"/>
  <c r="D102" i="1"/>
  <c r="A103" i="1"/>
  <c r="D103" i="1"/>
  <c r="A104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3" i="1"/>
  <c r="A135" i="1"/>
  <c r="A136" i="1"/>
  <c r="A137" i="1"/>
  <c r="D137" i="1"/>
  <c r="A138" i="1"/>
  <c r="A141" i="1"/>
  <c r="A142" i="1"/>
  <c r="A143" i="1"/>
  <c r="A144" i="1"/>
  <c r="A145" i="1"/>
  <c r="A146" i="1"/>
  <c r="D146" i="1"/>
  <c r="A147" i="1"/>
  <c r="D147" i="1"/>
  <c r="A148" i="1"/>
  <c r="D148" i="1"/>
  <c r="A149" i="1"/>
  <c r="A150" i="1"/>
  <c r="D150" i="1"/>
  <c r="A151" i="1"/>
  <c r="D151" i="1"/>
  <c r="A152" i="1"/>
  <c r="D152" i="1"/>
  <c r="A153" i="1"/>
  <c r="A154" i="1"/>
  <c r="A155" i="1"/>
  <c r="A156" i="1"/>
  <c r="A157" i="1"/>
  <c r="A158" i="1"/>
  <c r="A159" i="1"/>
  <c r="A161" i="1"/>
  <c r="D161" i="1"/>
  <c r="A162" i="1"/>
  <c r="A163" i="1"/>
  <c r="D163" i="1"/>
  <c r="A164" i="1"/>
  <c r="D164" i="1"/>
  <c r="A165" i="1"/>
  <c r="A166" i="1"/>
  <c r="D166" i="1"/>
  <c r="A167" i="1"/>
  <c r="D167" i="1"/>
  <c r="A168" i="1"/>
  <c r="A169" i="1"/>
  <c r="D169" i="1"/>
  <c r="A170" i="1"/>
  <c r="A171" i="1"/>
  <c r="A172" i="1"/>
  <c r="D172" i="1"/>
  <c r="A173" i="1"/>
  <c r="D173" i="1"/>
  <c r="A174" i="1"/>
  <c r="A175" i="1"/>
  <c r="D175" i="1"/>
  <c r="A176" i="1"/>
  <c r="D176" i="1"/>
  <c r="A177" i="1"/>
  <c r="D177" i="1"/>
  <c r="A178" i="1"/>
  <c r="D178" i="1"/>
  <c r="A179" i="1"/>
  <c r="D179" i="1"/>
  <c r="A180" i="1"/>
  <c r="D180" i="1"/>
  <c r="A181" i="1"/>
  <c r="D181" i="1"/>
  <c r="A182" i="1"/>
  <c r="D182" i="1"/>
  <c r="A183" i="1"/>
  <c r="A184" i="1"/>
  <c r="D184" i="1"/>
  <c r="A185" i="1"/>
  <c r="D185" i="1"/>
  <c r="A186" i="1"/>
  <c r="A187" i="1"/>
  <c r="D187" i="1"/>
  <c r="A188" i="1"/>
  <c r="D188" i="1"/>
  <c r="A189" i="1"/>
  <c r="A190" i="1"/>
  <c r="D190" i="1"/>
  <c r="A191" i="1"/>
  <c r="D191" i="1"/>
  <c r="A192" i="1"/>
  <c r="D192" i="1"/>
  <c r="A193" i="1"/>
  <c r="A195" i="1"/>
  <c r="D195" i="1"/>
  <c r="A196" i="1"/>
  <c r="D196" i="1"/>
  <c r="A197" i="1"/>
  <c r="D197" i="1"/>
  <c r="A198" i="1"/>
  <c r="D198" i="1"/>
  <c r="A199" i="1"/>
  <c r="D199" i="1"/>
  <c r="A200" i="1"/>
  <c r="D200" i="1"/>
  <c r="A201" i="1"/>
  <c r="D201" i="1"/>
  <c r="A202" i="1"/>
  <c r="D202" i="1"/>
  <c r="A203" i="1"/>
  <c r="D203" i="1"/>
  <c r="A204" i="1"/>
  <c r="D204" i="1"/>
  <c r="A205" i="1"/>
  <c r="A206" i="1"/>
  <c r="D206" i="1"/>
  <c r="A207" i="1"/>
  <c r="D207" i="1"/>
  <c r="A208" i="1"/>
  <c r="D208" i="1"/>
  <c r="A209" i="1"/>
  <c r="D209" i="1"/>
  <c r="A210" i="1"/>
  <c r="D210" i="1"/>
  <c r="A211" i="1"/>
  <c r="D211" i="1"/>
  <c r="A212" i="1"/>
  <c r="D212" i="1"/>
  <c r="A213" i="1"/>
  <c r="D213" i="1"/>
  <c r="A214" i="1"/>
  <c r="D214" i="1"/>
  <c r="A215" i="1"/>
  <c r="D215" i="1"/>
  <c r="A216" i="1"/>
  <c r="D216" i="1"/>
  <c r="A217" i="1"/>
  <c r="D217" i="1"/>
  <c r="A218" i="1"/>
  <c r="D218" i="1"/>
  <c r="A219" i="1"/>
  <c r="D219" i="1"/>
  <c r="A220" i="1"/>
  <c r="D220" i="1"/>
  <c r="A221" i="1"/>
  <c r="D221" i="1"/>
  <c r="A222" i="1"/>
  <c r="D222" i="1"/>
  <c r="A223" i="1"/>
  <c r="D223" i="1"/>
  <c r="A224" i="1"/>
  <c r="D224" i="1"/>
  <c r="A225" i="1"/>
  <c r="D225" i="1"/>
  <c r="A226" i="1"/>
  <c r="D226" i="1"/>
  <c r="A227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8" i="1"/>
  <c r="D248" i="1"/>
  <c r="A249" i="1"/>
  <c r="A250" i="1"/>
  <c r="A252" i="1"/>
  <c r="A253" i="1"/>
  <c r="A254" i="1"/>
  <c r="A255" i="1"/>
  <c r="D255" i="1"/>
  <c r="A256" i="1"/>
  <c r="D256" i="1"/>
  <c r="A257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2" i="1"/>
  <c r="D282" i="1"/>
  <c r="A283" i="1"/>
  <c r="D283" i="1"/>
  <c r="A284" i="1"/>
  <c r="A285" i="1"/>
  <c r="D285" i="1"/>
  <c r="A286" i="1"/>
  <c r="D286" i="1"/>
  <c r="A287" i="1"/>
  <c r="A288" i="1"/>
  <c r="D288" i="1"/>
  <c r="A289" i="1"/>
  <c r="A292" i="1"/>
  <c r="A293" i="1"/>
  <c r="A294" i="1"/>
  <c r="A295" i="1"/>
  <c r="A296" i="1"/>
  <c r="A297" i="1"/>
  <c r="A298" i="1"/>
  <c r="A299" i="1"/>
  <c r="A300" i="1"/>
  <c r="A302" i="1"/>
  <c r="D302" i="1"/>
  <c r="A303" i="1"/>
  <c r="D303" i="1"/>
  <c r="A304" i="1"/>
  <c r="D304" i="1"/>
  <c r="A305" i="1"/>
  <c r="D305" i="1"/>
  <c r="A306" i="1"/>
  <c r="D306" i="1"/>
  <c r="A307" i="1"/>
  <c r="D307" i="1"/>
  <c r="A308" i="1"/>
  <c r="A309" i="1"/>
  <c r="D309" i="1"/>
  <c r="A310" i="1"/>
  <c r="A311" i="1"/>
  <c r="A312" i="1"/>
  <c r="D312" i="1"/>
  <c r="A313" i="1"/>
  <c r="D313" i="1"/>
  <c r="A314" i="1"/>
  <c r="A315" i="1"/>
  <c r="A317" i="1"/>
  <c r="D317" i="1"/>
  <c r="A318" i="1"/>
  <c r="A319" i="1"/>
  <c r="D319" i="1"/>
  <c r="A320" i="1"/>
  <c r="D320" i="1"/>
  <c r="A321" i="1"/>
  <c r="D321" i="1"/>
  <c r="A322" i="1"/>
  <c r="D322" i="1"/>
  <c r="A323" i="1"/>
  <c r="A324" i="1"/>
  <c r="D324" i="1"/>
  <c r="A325" i="1"/>
  <c r="D325" i="1"/>
  <c r="A326" i="1"/>
  <c r="D326" i="1"/>
  <c r="A327" i="1"/>
  <c r="D327" i="1"/>
  <c r="A328" i="1"/>
  <c r="D328" i="1"/>
  <c r="A329" i="1"/>
  <c r="A330" i="1"/>
  <c r="A331" i="1"/>
  <c r="D331" i="1"/>
  <c r="A332" i="1"/>
  <c r="A333" i="1"/>
  <c r="D333" i="1"/>
  <c r="A334" i="1"/>
  <c r="A335" i="1"/>
  <c r="D335" i="1"/>
  <c r="A336" i="1"/>
  <c r="D336" i="1"/>
  <c r="A337" i="1"/>
  <c r="D337" i="1"/>
  <c r="A338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5" i="1"/>
  <c r="A366" i="1"/>
  <c r="D366" i="1"/>
  <c r="A367" i="1"/>
  <c r="D367" i="1"/>
  <c r="A368" i="1"/>
  <c r="A369" i="1"/>
  <c r="A370" i="1"/>
  <c r="D370" i="1"/>
  <c r="A371" i="1"/>
  <c r="A373" i="1"/>
  <c r="D373" i="1"/>
  <c r="A374" i="1"/>
  <c r="A375" i="1"/>
  <c r="D375" i="1"/>
  <c r="A376" i="1"/>
  <c r="D376" i="1"/>
  <c r="A377" i="1"/>
  <c r="D377" i="1"/>
  <c r="A378" i="1"/>
  <c r="D378" i="1"/>
  <c r="A379" i="1"/>
  <c r="D379" i="1"/>
  <c r="A380" i="1"/>
  <c r="D380" i="1"/>
  <c r="A381" i="1"/>
  <c r="D381" i="1"/>
  <c r="A382" i="1"/>
  <c r="D382" i="1"/>
  <c r="A383" i="1"/>
  <c r="D383" i="1"/>
  <c r="A384" i="1"/>
  <c r="A385" i="1"/>
  <c r="A386" i="1"/>
  <c r="D386" i="1"/>
  <c r="A387" i="1"/>
  <c r="D387" i="1"/>
  <c r="A388" i="1"/>
  <c r="A389" i="1"/>
  <c r="D389" i="1"/>
  <c r="A390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7" i="1"/>
  <c r="A428" i="1"/>
  <c r="A429" i="1"/>
  <c r="D429" i="1"/>
  <c r="A430" i="1"/>
  <c r="A431" i="1"/>
  <c r="A432" i="1"/>
  <c r="D432" i="1"/>
  <c r="A433" i="1"/>
  <c r="D433" i="1"/>
  <c r="A434" i="1"/>
  <c r="A436" i="1"/>
  <c r="D436" i="1"/>
  <c r="A437" i="1"/>
  <c r="D437" i="1"/>
  <c r="A438" i="1"/>
  <c r="D438" i="1"/>
  <c r="A439" i="1"/>
  <c r="A440" i="1"/>
  <c r="D440" i="1"/>
  <c r="A441" i="1"/>
  <c r="A442" i="1"/>
  <c r="D442" i="1"/>
  <c r="A443" i="1"/>
  <c r="A444" i="1"/>
  <c r="A445" i="1"/>
  <c r="D445" i="1"/>
  <c r="A446" i="1"/>
  <c r="D446" i="1"/>
  <c r="A447" i="1"/>
  <c r="D447" i="1"/>
  <c r="A448" i="1"/>
  <c r="A449" i="1"/>
  <c r="D449" i="1"/>
  <c r="A450" i="1"/>
  <c r="D450" i="1"/>
  <c r="A451" i="1"/>
  <c r="A452" i="1"/>
  <c r="A453" i="1"/>
  <c r="D453" i="1"/>
  <c r="A454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9" i="1"/>
  <c r="D479" i="1"/>
  <c r="A480" i="1"/>
  <c r="A481" i="1"/>
  <c r="A482" i="1"/>
  <c r="A483" i="1"/>
  <c r="D483" i="1"/>
  <c r="A484" i="1"/>
  <c r="A485" i="1"/>
  <c r="A486" i="1"/>
  <c r="D486" i="1"/>
  <c r="A487" i="1"/>
  <c r="A488" i="1"/>
  <c r="D488" i="1"/>
  <c r="A489" i="1"/>
  <c r="A490" i="1"/>
  <c r="D490" i="1"/>
  <c r="A491" i="1"/>
  <c r="A492" i="1"/>
  <c r="A493" i="1"/>
  <c r="A495" i="1"/>
  <c r="D495" i="1"/>
  <c r="A496" i="1"/>
  <c r="D496" i="1"/>
  <c r="A497" i="1"/>
  <c r="D497" i="1"/>
  <c r="A498" i="1"/>
  <c r="D498" i="1"/>
  <c r="A499" i="1"/>
  <c r="A500" i="1"/>
  <c r="D500" i="1"/>
  <c r="A501" i="1"/>
  <c r="D501" i="1"/>
  <c r="A502" i="1"/>
  <c r="D502" i="1"/>
  <c r="A503" i="1"/>
  <c r="A504" i="1"/>
  <c r="D504" i="1"/>
  <c r="A505" i="1"/>
  <c r="D505" i="1"/>
  <c r="A506" i="1"/>
  <c r="D506" i="1"/>
  <c r="A507" i="1"/>
  <c r="D507" i="1"/>
  <c r="A508" i="1"/>
  <c r="D508" i="1"/>
  <c r="A509" i="1"/>
  <c r="D509" i="1"/>
  <c r="A510" i="1"/>
  <c r="D510" i="1"/>
  <c r="A511" i="1"/>
  <c r="D511" i="1"/>
  <c r="A512" i="1"/>
  <c r="A513" i="1"/>
  <c r="D513" i="1"/>
  <c r="A514" i="1"/>
  <c r="A517" i="1"/>
  <c r="A518" i="1"/>
  <c r="A519" i="1"/>
  <c r="A520" i="1"/>
  <c r="A521" i="1"/>
  <c r="A522" i="1"/>
  <c r="A523" i="1"/>
  <c r="A524" i="1"/>
  <c r="A525" i="1"/>
  <c r="A526" i="1"/>
  <c r="A527" i="1"/>
  <c r="A529" i="1"/>
  <c r="A530" i="1"/>
  <c r="D530" i="1"/>
  <c r="A531" i="1"/>
  <c r="A532" i="1"/>
  <c r="A533" i="1"/>
  <c r="A534" i="1"/>
  <c r="D534" i="1"/>
  <c r="A535" i="1"/>
  <c r="D535" i="1"/>
  <c r="A536" i="1"/>
  <c r="D536" i="1"/>
  <c r="A537" i="1"/>
  <c r="A538" i="1"/>
  <c r="A539" i="1"/>
  <c r="A540" i="1"/>
  <c r="A541" i="1"/>
  <c r="A542" i="1"/>
  <c r="A544" i="1"/>
  <c r="D544" i="1"/>
  <c r="A545" i="1"/>
  <c r="D545" i="1"/>
  <c r="A546" i="1"/>
  <c r="D546" i="1"/>
  <c r="A547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3" i="1"/>
  <c r="D583" i="1"/>
  <c r="A584" i="1"/>
  <c r="D584" i="1"/>
  <c r="A585" i="1"/>
  <c r="A586" i="1"/>
  <c r="D586" i="1"/>
  <c r="A587" i="1"/>
  <c r="D587" i="1"/>
  <c r="A588" i="1"/>
  <c r="A589" i="1"/>
  <c r="A590" i="1"/>
  <c r="D590" i="1"/>
  <c r="A591" i="1"/>
  <c r="A592" i="1"/>
  <c r="D592" i="1"/>
  <c r="A593" i="1"/>
  <c r="D593" i="1"/>
  <c r="A594" i="1"/>
  <c r="D594" i="1"/>
  <c r="A595" i="1"/>
  <c r="A596" i="1"/>
  <c r="D596" i="1"/>
  <c r="A597" i="1"/>
  <c r="D597" i="1"/>
  <c r="A598" i="1"/>
  <c r="D598" i="1"/>
  <c r="A599" i="1"/>
  <c r="D599" i="1"/>
  <c r="A600" i="1"/>
  <c r="A601" i="1"/>
  <c r="D601" i="1"/>
  <c r="A602" i="1"/>
  <c r="A603" i="1"/>
  <c r="D603" i="1"/>
  <c r="A604" i="1"/>
  <c r="D604" i="1"/>
  <c r="A605" i="1"/>
  <c r="A606" i="1"/>
  <c r="D606" i="1"/>
  <c r="A607" i="1"/>
  <c r="D607" i="1"/>
  <c r="A608" i="1"/>
  <c r="D608" i="1"/>
  <c r="A609" i="1"/>
  <c r="A610" i="1"/>
  <c r="D610" i="1"/>
  <c r="A611" i="1"/>
  <c r="D611" i="1"/>
  <c r="A612" i="1"/>
  <c r="D612" i="1"/>
  <c r="A613" i="1"/>
  <c r="D613" i="1"/>
  <c r="A614" i="1"/>
  <c r="D614" i="1"/>
  <c r="A615" i="1"/>
  <c r="D615" i="1"/>
  <c r="A616" i="1"/>
  <c r="D616" i="1"/>
  <c r="A617" i="1"/>
  <c r="A618" i="1"/>
  <c r="D618" i="1"/>
  <c r="A619" i="1"/>
  <c r="A620" i="1"/>
  <c r="D620" i="1"/>
  <c r="A621" i="1"/>
  <c r="A622" i="1"/>
  <c r="D622" i="1"/>
  <c r="A623" i="1"/>
  <c r="A624" i="1"/>
  <c r="D624" i="1"/>
  <c r="A625" i="1"/>
  <c r="D625" i="1"/>
  <c r="A626" i="1"/>
  <c r="D626" i="1"/>
  <c r="A627" i="1"/>
  <c r="D627" i="1"/>
  <c r="A628" i="1"/>
  <c r="A629" i="1"/>
  <c r="D629" i="1"/>
  <c r="A630" i="1"/>
  <c r="D630" i="1"/>
  <c r="A631" i="1"/>
  <c r="A632" i="1"/>
  <c r="D632" i="1"/>
  <c r="A633" i="1"/>
  <c r="D633" i="1"/>
  <c r="A634" i="1"/>
  <c r="D634" i="1"/>
  <c r="A635" i="1"/>
  <c r="D635" i="1"/>
  <c r="A636" i="1"/>
  <c r="A637" i="1"/>
  <c r="A638" i="1"/>
  <c r="D638" i="1"/>
  <c r="A639" i="1"/>
  <c r="D639" i="1"/>
  <c r="A640" i="1"/>
  <c r="D640" i="1"/>
  <c r="A641" i="1"/>
  <c r="A642" i="1"/>
  <c r="D642" i="1"/>
  <c r="A643" i="1"/>
  <c r="D643" i="1"/>
  <c r="A644" i="1"/>
  <c r="D644" i="1"/>
  <c r="A645" i="1"/>
  <c r="D645" i="1"/>
  <c r="A646" i="1"/>
  <c r="D646" i="1"/>
  <c r="A647" i="1"/>
  <c r="A648" i="1"/>
  <c r="D648" i="1"/>
  <c r="A649" i="1"/>
  <c r="D649" i="1"/>
  <c r="A650" i="1"/>
  <c r="A652" i="1"/>
  <c r="A653" i="1"/>
  <c r="D653" i="1"/>
  <c r="A654" i="1"/>
  <c r="D654" i="1"/>
  <c r="A655" i="1"/>
  <c r="D655" i="1"/>
  <c r="A656" i="1"/>
  <c r="D656" i="1"/>
  <c r="A657" i="1"/>
  <c r="D657" i="1"/>
  <c r="A658" i="1"/>
  <c r="D658" i="1"/>
  <c r="A659" i="1"/>
  <c r="D659" i="1"/>
  <c r="A660" i="1"/>
  <c r="D660" i="1"/>
  <c r="A661" i="1"/>
  <c r="D661" i="1"/>
  <c r="A662" i="1"/>
  <c r="A663" i="1"/>
  <c r="D663" i="1"/>
  <c r="A664" i="1"/>
  <c r="D664" i="1"/>
  <c r="A665" i="1"/>
  <c r="D665" i="1"/>
  <c r="A666" i="1"/>
  <c r="D666" i="1"/>
  <c r="A667" i="1"/>
  <c r="D667" i="1"/>
  <c r="A668" i="1"/>
  <c r="D668" i="1"/>
  <c r="A669" i="1"/>
  <c r="D669" i="1"/>
  <c r="A670" i="1"/>
  <c r="D670" i="1"/>
  <c r="A671" i="1"/>
  <c r="D671" i="1"/>
  <c r="A672" i="1"/>
  <c r="D672" i="1"/>
  <c r="A673" i="1"/>
  <c r="D673" i="1"/>
  <c r="A674" i="1"/>
  <c r="D674" i="1"/>
  <c r="A675" i="1"/>
  <c r="D675" i="1"/>
  <c r="A676" i="1"/>
  <c r="D676" i="1"/>
  <c r="A677" i="1"/>
  <c r="D677" i="1"/>
  <c r="A678" i="1"/>
  <c r="A679" i="1"/>
  <c r="D679" i="1"/>
  <c r="A680" i="1"/>
  <c r="A681" i="1"/>
  <c r="D681" i="1"/>
  <c r="A682" i="1"/>
  <c r="D682" i="1"/>
  <c r="A683" i="1"/>
  <c r="D683" i="1"/>
  <c r="A684" i="1"/>
  <c r="D684" i="1"/>
  <c r="A685" i="1"/>
  <c r="D685" i="1"/>
  <c r="A686" i="1"/>
  <c r="D686" i="1"/>
  <c r="A687" i="1"/>
  <c r="D687" i="1"/>
  <c r="A688" i="1"/>
  <c r="D688" i="1"/>
  <c r="A689" i="1"/>
  <c r="D689" i="1"/>
  <c r="A690" i="1"/>
  <c r="D690" i="1"/>
  <c r="A691" i="1"/>
  <c r="D691" i="1"/>
  <c r="A692" i="1"/>
  <c r="D692" i="1"/>
  <c r="A693" i="1"/>
  <c r="D693" i="1"/>
  <c r="A694" i="1"/>
  <c r="D694" i="1"/>
  <c r="A695" i="1"/>
  <c r="A696" i="1"/>
  <c r="D696" i="1"/>
  <c r="A697" i="1"/>
  <c r="D697" i="1"/>
  <c r="A698" i="1"/>
  <c r="D698" i="1"/>
  <c r="A699" i="1"/>
  <c r="D699" i="1"/>
  <c r="A700" i="1"/>
  <c r="D700" i="1"/>
  <c r="A701" i="1"/>
  <c r="D701" i="1"/>
  <c r="A702" i="1"/>
  <c r="D702" i="1"/>
  <c r="A703" i="1"/>
  <c r="A704" i="1"/>
  <c r="D704" i="1"/>
  <c r="A705" i="1"/>
  <c r="D705" i="1"/>
  <c r="A706" i="1"/>
  <c r="D706" i="1"/>
  <c r="A707" i="1"/>
  <c r="D707" i="1"/>
  <c r="A708" i="1"/>
  <c r="D708" i="1"/>
  <c r="A709" i="1"/>
  <c r="D709" i="1"/>
  <c r="A710" i="1"/>
  <c r="A711" i="1"/>
  <c r="D711" i="1"/>
  <c r="A712" i="1"/>
  <c r="D712" i="1"/>
  <c r="A713" i="1"/>
  <c r="D713" i="1"/>
  <c r="A714" i="1"/>
  <c r="D714" i="1"/>
  <c r="A715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2" i="1"/>
  <c r="A743" i="1"/>
  <c r="A744" i="1"/>
  <c r="D744" i="1"/>
  <c r="A745" i="1"/>
  <c r="A746" i="1"/>
  <c r="A747" i="1"/>
  <c r="A748" i="1"/>
  <c r="D748" i="1"/>
  <c r="A749" i="1"/>
  <c r="D749" i="1"/>
  <c r="A750" i="1"/>
  <c r="A751" i="1"/>
  <c r="A752" i="1"/>
  <c r="A753" i="1"/>
  <c r="D753" i="1"/>
  <c r="A754" i="1"/>
  <c r="A755" i="1"/>
  <c r="D755" i="1"/>
  <c r="A756" i="1"/>
  <c r="A757" i="1"/>
  <c r="A759" i="1"/>
  <c r="D759" i="1"/>
  <c r="A760" i="1"/>
  <c r="D760" i="1"/>
  <c r="A761" i="1"/>
  <c r="D761" i="1"/>
  <c r="A762" i="1"/>
  <c r="D762" i="1"/>
  <c r="A763" i="1"/>
  <c r="D763" i="1"/>
  <c r="A764" i="1"/>
  <c r="A765" i="1"/>
  <c r="A766" i="1"/>
  <c r="D766" i="1"/>
  <c r="A767" i="1"/>
  <c r="D767" i="1"/>
  <c r="A768" i="1"/>
  <c r="A769" i="1"/>
  <c r="D769" i="1"/>
  <c r="A770" i="1"/>
  <c r="D770" i="1"/>
  <c r="A771" i="1"/>
  <c r="A772" i="1"/>
  <c r="D772" i="1"/>
  <c r="A773" i="1"/>
  <c r="D773" i="1"/>
  <c r="A774" i="1"/>
  <c r="D774" i="1"/>
  <c r="A775" i="1"/>
  <c r="A776" i="1"/>
  <c r="D776" i="1"/>
  <c r="A777" i="1"/>
  <c r="A778" i="1"/>
  <c r="D778" i="1"/>
  <c r="A779" i="1"/>
  <c r="D779" i="1"/>
  <c r="A780" i="1"/>
  <c r="D780" i="1"/>
  <c r="A781" i="1"/>
  <c r="D781" i="1"/>
  <c r="A782" i="1"/>
  <c r="A783" i="1"/>
  <c r="D783" i="1"/>
  <c r="A784" i="1"/>
  <c r="A785" i="1"/>
  <c r="D785" i="1"/>
  <c r="A786" i="1"/>
  <c r="D786" i="1"/>
  <c r="A787" i="1"/>
  <c r="D787" i="1"/>
  <c r="A788" i="1"/>
  <c r="D788" i="1"/>
  <c r="A789" i="1"/>
  <c r="D789" i="1"/>
  <c r="A790" i="1"/>
  <c r="A793" i="1"/>
  <c r="A794" i="1"/>
  <c r="A795" i="1"/>
  <c r="A796" i="1"/>
  <c r="A797" i="1"/>
  <c r="A798" i="1"/>
  <c r="A799" i="1"/>
  <c r="D799" i="1"/>
  <c r="A800" i="1"/>
  <c r="A801" i="1"/>
  <c r="A802" i="1"/>
  <c r="A803" i="1"/>
  <c r="A804" i="1"/>
  <c r="A805" i="1"/>
  <c r="A806" i="1"/>
  <c r="A807" i="1"/>
  <c r="A809" i="1"/>
  <c r="A810" i="1"/>
  <c r="A811" i="1"/>
  <c r="A812" i="1"/>
  <c r="D812" i="1"/>
  <c r="A813" i="1"/>
  <c r="D813" i="1"/>
  <c r="A814" i="1"/>
  <c r="A816" i="1"/>
  <c r="D816" i="1"/>
  <c r="A817" i="1"/>
  <c r="D817" i="1"/>
  <c r="A818" i="1"/>
  <c r="D818" i="1"/>
  <c r="A819" i="1"/>
  <c r="D819" i="1"/>
  <c r="A820" i="1"/>
  <c r="D820" i="1"/>
  <c r="A821" i="1"/>
  <c r="D821" i="1"/>
  <c r="A822" i="1"/>
  <c r="D822" i="1"/>
  <c r="A823" i="1"/>
  <c r="D823" i="1"/>
  <c r="A824" i="1"/>
  <c r="D824" i="1"/>
  <c r="A825" i="1"/>
  <c r="D825" i="1"/>
  <c r="A826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6" i="1"/>
  <c r="A847" i="1"/>
  <c r="A848" i="1"/>
  <c r="A849" i="1"/>
  <c r="D849" i="1"/>
  <c r="A850" i="1"/>
  <c r="A851" i="1"/>
  <c r="A853" i="1"/>
  <c r="D853" i="1"/>
  <c r="A854" i="1"/>
  <c r="D854" i="1"/>
  <c r="A855" i="1"/>
  <c r="D855" i="1"/>
  <c r="A856" i="1"/>
  <c r="D856" i="1"/>
  <c r="A857" i="1"/>
  <c r="D857" i="1"/>
  <c r="A858" i="1"/>
  <c r="D858" i="1"/>
  <c r="A859" i="1"/>
  <c r="D859" i="1"/>
  <c r="A860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6" i="1"/>
  <c r="D886" i="1"/>
  <c r="A887" i="1"/>
  <c r="D887" i="1"/>
  <c r="A888" i="1"/>
  <c r="A889" i="1"/>
  <c r="D889" i="1"/>
  <c r="A890" i="1"/>
  <c r="D890" i="1"/>
  <c r="A891" i="1"/>
  <c r="A892" i="1"/>
  <c r="A893" i="1"/>
  <c r="D893" i="1"/>
  <c r="A894" i="1"/>
  <c r="D894" i="1"/>
  <c r="A895" i="1"/>
  <c r="A896" i="1"/>
  <c r="A897" i="1"/>
  <c r="D897" i="1"/>
  <c r="A898" i="1"/>
  <c r="A899" i="1"/>
  <c r="A901" i="1"/>
  <c r="D901" i="1"/>
  <c r="A902" i="1"/>
  <c r="D902" i="1"/>
  <c r="A903" i="1"/>
  <c r="D903" i="1"/>
  <c r="A904" i="1"/>
  <c r="D904" i="1"/>
  <c r="A905" i="1"/>
  <c r="D905" i="1"/>
  <c r="A906" i="1"/>
  <c r="D906" i="1"/>
  <c r="A907" i="1"/>
  <c r="D907" i="1"/>
  <c r="A908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5" i="1"/>
  <c r="A926" i="1"/>
  <c r="D926" i="1"/>
  <c r="A927" i="1"/>
  <c r="D927" i="1"/>
  <c r="A928" i="1"/>
  <c r="A929" i="1"/>
  <c r="A931" i="1"/>
  <c r="D931" i="1"/>
  <c r="A932" i="1"/>
  <c r="A933" i="1"/>
  <c r="D933" i="1"/>
  <c r="A934" i="1"/>
  <c r="A935" i="1"/>
  <c r="D935" i="1"/>
  <c r="A936" i="1"/>
  <c r="D936" i="1"/>
  <c r="A937" i="1"/>
  <c r="D937" i="1"/>
  <c r="A938" i="1"/>
  <c r="D938" i="1"/>
  <c r="A939" i="1"/>
  <c r="D939" i="1"/>
  <c r="A940" i="1"/>
  <c r="D940" i="1"/>
  <c r="A941" i="1"/>
  <c r="D941" i="1"/>
  <c r="A942" i="1"/>
  <c r="D942" i="1"/>
  <c r="A943" i="1"/>
  <c r="D943" i="1"/>
  <c r="A944" i="1"/>
  <c r="A947" i="1"/>
  <c r="A948" i="1"/>
  <c r="A949" i="1"/>
  <c r="A950" i="1"/>
  <c r="A951" i="1"/>
  <c r="D951" i="1"/>
  <c r="A952" i="1"/>
  <c r="A953" i="1"/>
  <c r="A954" i="1"/>
  <c r="A955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80" i="1"/>
  <c r="A981" i="1"/>
  <c r="D981" i="1"/>
  <c r="A982" i="1"/>
  <c r="D982" i="1"/>
  <c r="A983" i="1"/>
  <c r="A984" i="1"/>
  <c r="A985" i="1"/>
  <c r="D985" i="1"/>
  <c r="A986" i="1"/>
  <c r="A987" i="1"/>
  <c r="A988" i="1"/>
  <c r="A989" i="1"/>
  <c r="D989" i="1"/>
  <c r="A990" i="1"/>
  <c r="A991" i="1"/>
  <c r="D991" i="1"/>
  <c r="A992" i="1"/>
  <c r="A993" i="1"/>
  <c r="D993" i="1"/>
  <c r="A994" i="1"/>
  <c r="D994" i="1"/>
  <c r="A995" i="1"/>
  <c r="A996" i="1"/>
  <c r="A998" i="1"/>
  <c r="D998" i="1"/>
  <c r="A999" i="1"/>
  <c r="D999" i="1"/>
  <c r="A1000" i="1"/>
  <c r="D1000" i="1"/>
  <c r="A1001" i="1"/>
  <c r="D1001" i="1"/>
  <c r="A1002" i="1"/>
  <c r="D1002" i="1"/>
  <c r="A1003" i="1"/>
  <c r="D1003" i="1"/>
  <c r="A1004" i="1"/>
  <c r="D1004" i="1"/>
  <c r="A1005" i="1"/>
  <c r="D1005" i="1"/>
  <c r="A1006" i="1"/>
  <c r="D1006" i="1"/>
  <c r="A1007" i="1"/>
  <c r="A1008" i="1"/>
  <c r="D1008" i="1"/>
  <c r="A1009" i="1"/>
  <c r="D1009" i="1"/>
  <c r="A1010" i="1"/>
  <c r="D1010" i="1"/>
  <c r="A1011" i="1"/>
  <c r="D1011" i="1"/>
  <c r="A1012" i="1"/>
  <c r="D1012" i="1"/>
  <c r="A1013" i="1"/>
  <c r="D1013" i="1"/>
  <c r="A1014" i="1"/>
  <c r="D1014" i="1"/>
  <c r="A1015" i="1"/>
  <c r="D1015" i="1"/>
  <c r="A1016" i="1"/>
  <c r="A1017" i="1"/>
  <c r="D1017" i="1"/>
  <c r="A1018" i="1"/>
  <c r="D1018" i="1"/>
  <c r="A1019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7" i="1"/>
  <c r="D1037" i="1"/>
  <c r="A1038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5" i="1"/>
  <c r="A1076" i="1"/>
  <c r="A1077" i="1"/>
  <c r="A1078" i="1"/>
  <c r="A1079" i="1"/>
  <c r="D1079" i="1"/>
  <c r="A1080" i="1"/>
  <c r="D1080" i="1"/>
  <c r="A1081" i="1"/>
  <c r="A1082" i="1"/>
  <c r="A1083" i="1"/>
  <c r="A1084" i="1"/>
  <c r="D1084" i="1"/>
  <c r="A1085" i="1"/>
  <c r="A1086" i="1"/>
  <c r="A1087" i="1"/>
  <c r="D1087" i="1"/>
  <c r="A1088" i="1"/>
  <c r="A1089" i="1"/>
  <c r="A1090" i="1"/>
  <c r="D1090" i="1"/>
  <c r="A1091" i="1"/>
  <c r="A1092" i="1"/>
  <c r="A1093" i="1"/>
  <c r="A1095" i="1"/>
  <c r="D1095" i="1"/>
  <c r="A1096" i="1"/>
  <c r="A1097" i="1"/>
  <c r="D1097" i="1"/>
  <c r="A1098" i="1"/>
  <c r="D1098" i="1"/>
  <c r="A1099" i="1"/>
  <c r="A1100" i="1"/>
  <c r="D1100" i="1"/>
  <c r="A1101" i="1"/>
  <c r="D1101" i="1"/>
  <c r="A1102" i="1"/>
  <c r="A1103" i="1"/>
  <c r="D1103" i="1"/>
  <c r="A1104" i="1"/>
  <c r="D1104" i="1"/>
  <c r="A1105" i="1"/>
  <c r="D1105" i="1"/>
  <c r="A1106" i="1"/>
  <c r="D1106" i="1"/>
  <c r="A1107" i="1"/>
  <c r="D1107" i="1"/>
  <c r="A1108" i="1"/>
  <c r="D1108" i="1"/>
  <c r="A1109" i="1"/>
  <c r="A1110" i="1"/>
  <c r="D1110" i="1"/>
  <c r="A1111" i="1"/>
  <c r="D1111" i="1"/>
  <c r="A1112" i="1"/>
  <c r="D1112" i="1"/>
  <c r="A1113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3" i="1"/>
  <c r="D1133" i="1"/>
  <c r="A1134" i="1"/>
  <c r="A1135" i="1"/>
  <c r="D1135" i="1"/>
  <c r="A1136" i="1"/>
  <c r="A1137" i="1"/>
  <c r="A1138" i="1"/>
  <c r="A1139" i="1"/>
  <c r="D1139" i="1"/>
  <c r="A1140" i="1"/>
  <c r="A1141" i="1"/>
  <c r="D1141" i="1"/>
  <c r="A1142" i="1"/>
  <c r="D1142" i="1"/>
  <c r="A1143" i="1"/>
  <c r="A1145" i="1"/>
  <c r="D1145" i="1"/>
  <c r="A1146" i="1"/>
  <c r="D1146" i="1"/>
  <c r="A1147" i="1"/>
  <c r="D1147" i="1"/>
  <c r="A1148" i="1"/>
  <c r="D1148" i="1"/>
  <c r="A1149" i="1"/>
  <c r="A1150" i="1"/>
  <c r="D1150" i="1"/>
  <c r="A1151" i="1"/>
  <c r="D1151" i="1"/>
  <c r="A1152" i="1"/>
  <c r="D1152" i="1"/>
  <c r="A1153" i="1"/>
  <c r="D1153" i="1"/>
  <c r="A1154" i="1"/>
  <c r="D1154" i="1"/>
  <c r="A1155" i="1"/>
  <c r="D1155" i="1"/>
  <c r="A1156" i="1"/>
  <c r="A1159" i="1"/>
  <c r="A1160" i="1"/>
  <c r="A1161" i="1"/>
  <c r="A1162" i="1"/>
  <c r="A1163" i="1"/>
  <c r="A1164" i="1"/>
  <c r="A1165" i="1"/>
  <c r="A1166" i="1"/>
  <c r="A1167" i="1"/>
  <c r="A1168" i="1"/>
  <c r="A1170" i="1"/>
  <c r="A1171" i="1"/>
  <c r="A1173" i="1"/>
  <c r="D1173" i="1"/>
  <c r="A1174" i="1"/>
  <c r="D1174" i="1"/>
  <c r="A1175" i="1"/>
  <c r="D1175" i="1"/>
  <c r="A1176" i="1"/>
  <c r="D1176" i="1"/>
  <c r="A1177" i="1"/>
  <c r="D1177" i="1"/>
  <c r="A1178" i="1"/>
  <c r="A1179" i="1"/>
  <c r="D1179" i="1"/>
  <c r="A1180" i="1"/>
  <c r="D1180" i="1"/>
  <c r="A1181" i="1"/>
  <c r="D1181" i="1"/>
  <c r="A1182" i="1"/>
  <c r="D1182" i="1"/>
  <c r="A1183" i="1"/>
  <c r="D1183" i="1"/>
  <c r="A1184" i="1"/>
  <c r="D1184" i="1"/>
  <c r="A1185" i="1"/>
  <c r="A1186" i="1"/>
  <c r="A1187" i="1"/>
  <c r="D1187" i="1"/>
  <c r="A1188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6" i="1"/>
  <c r="D1206" i="1"/>
  <c r="A1207" i="1"/>
  <c r="A1208" i="1"/>
  <c r="A1209" i="1"/>
  <c r="D1209" i="1"/>
  <c r="A1210" i="1"/>
  <c r="A1211" i="1"/>
  <c r="D1211" i="1"/>
  <c r="A1212" i="1"/>
  <c r="A1213" i="1"/>
  <c r="A1214" i="1"/>
  <c r="A1215" i="1"/>
  <c r="A1216" i="1"/>
  <c r="A1217" i="1"/>
  <c r="A1218" i="1"/>
  <c r="A1219" i="1"/>
  <c r="D1219" i="1"/>
  <c r="A1220" i="1"/>
  <c r="A1221" i="1"/>
  <c r="A1222" i="1"/>
  <c r="D1222" i="1"/>
  <c r="A1223" i="1"/>
  <c r="A1225" i="1"/>
  <c r="D1225" i="1"/>
  <c r="A1226" i="1"/>
  <c r="A1227" i="1"/>
  <c r="D1227" i="1"/>
  <c r="A1228" i="1"/>
  <c r="A1231" i="1"/>
  <c r="A1232" i="1"/>
  <c r="A1233" i="1"/>
  <c r="A1234" i="1"/>
  <c r="A1235" i="1"/>
  <c r="A1236" i="1"/>
  <c r="A1237" i="1"/>
  <c r="A1238" i="1"/>
  <c r="A1239" i="1"/>
  <c r="A1240" i="1"/>
  <c r="A1242" i="1"/>
  <c r="D1242" i="1"/>
  <c r="A1243" i="1"/>
  <c r="A1244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9" i="1"/>
  <c r="A1270" i="1"/>
  <c r="D1270" i="1"/>
  <c r="A1271" i="1"/>
  <c r="A1272" i="1"/>
  <c r="A1273" i="1"/>
  <c r="D1273" i="1"/>
  <c r="A1274" i="1"/>
  <c r="A1275" i="1"/>
  <c r="D1275" i="1"/>
  <c r="A1276" i="1"/>
  <c r="A1278" i="1"/>
  <c r="D1278" i="1"/>
  <c r="A1279" i="1"/>
  <c r="D1279" i="1"/>
  <c r="A1280" i="1"/>
  <c r="D1280" i="1"/>
  <c r="A1281" i="1"/>
  <c r="D1281" i="1"/>
  <c r="A1282" i="1"/>
  <c r="D1282" i="1"/>
  <c r="A1283" i="1"/>
  <c r="A1286" i="1"/>
  <c r="A1287" i="1"/>
  <c r="A1288" i="1"/>
  <c r="A1289" i="1"/>
  <c r="A1290" i="1"/>
  <c r="A1291" i="1"/>
  <c r="D1291" i="1"/>
  <c r="A1292" i="1"/>
  <c r="A1293" i="1"/>
  <c r="A1294" i="1"/>
  <c r="A1295" i="1"/>
  <c r="A1296" i="1"/>
  <c r="A1297" i="1"/>
  <c r="A1298" i="1"/>
  <c r="A1299" i="1"/>
  <c r="A1300" i="1"/>
  <c r="A1301" i="1"/>
  <c r="A1302" i="1"/>
  <c r="A1304" i="1"/>
  <c r="A1305" i="1"/>
  <c r="D1305" i="1"/>
  <c r="A1306" i="1"/>
  <c r="D1306" i="1"/>
  <c r="A1307" i="1"/>
  <c r="D1307" i="1"/>
  <c r="A1308" i="1"/>
  <c r="A1309" i="1"/>
  <c r="A1310" i="1"/>
  <c r="D1310" i="1"/>
  <c r="A1311" i="1"/>
  <c r="D1311" i="1"/>
  <c r="A1312" i="1"/>
  <c r="A1313" i="1"/>
  <c r="A1315" i="1"/>
  <c r="D1315" i="1"/>
  <c r="A1316" i="1"/>
  <c r="D1316" i="1"/>
  <c r="A1317" i="1"/>
  <c r="A1318" i="1"/>
  <c r="D1318" i="1"/>
  <c r="A1319" i="1"/>
  <c r="D1319" i="1"/>
  <c r="A1320" i="1"/>
  <c r="D1320" i="1"/>
  <c r="A1321" i="1"/>
  <c r="D1321" i="1"/>
  <c r="A1322" i="1"/>
  <c r="D1322" i="1"/>
  <c r="A1323" i="1"/>
  <c r="D1323" i="1"/>
  <c r="A1324" i="1"/>
  <c r="D1324" i="1"/>
  <c r="A1325" i="1"/>
  <c r="A1326" i="1"/>
  <c r="D1326" i="1"/>
  <c r="A1327" i="1"/>
  <c r="D1327" i="1"/>
  <c r="A1328" i="1"/>
  <c r="D1328" i="1"/>
  <c r="A1329" i="1"/>
  <c r="D1329" i="1"/>
  <c r="A1330" i="1"/>
  <c r="D1330" i="1"/>
  <c r="A1331" i="1"/>
  <c r="D1331" i="1"/>
  <c r="A1332" i="1"/>
  <c r="D1332" i="1"/>
  <c r="A1333" i="1"/>
  <c r="A1334" i="1"/>
  <c r="D1334" i="1"/>
  <c r="A1335" i="1"/>
  <c r="D1335" i="1"/>
  <c r="A1336" i="1"/>
  <c r="D1336" i="1"/>
  <c r="A1337" i="1"/>
  <c r="D1337" i="1"/>
  <c r="A1338" i="1"/>
  <c r="A1339" i="1"/>
  <c r="D1339" i="1"/>
  <c r="A1340" i="1"/>
  <c r="D1340" i="1"/>
  <c r="A1341" i="1"/>
  <c r="D1341" i="1"/>
  <c r="A1342" i="1"/>
  <c r="D1342" i="1"/>
  <c r="A1343" i="1"/>
  <c r="D1343" i="1"/>
  <c r="A1344" i="1"/>
  <c r="A1345" i="1"/>
  <c r="D1345" i="1"/>
  <c r="A1346" i="1"/>
  <c r="D1346" i="1"/>
  <c r="A1347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70" i="1"/>
  <c r="A1371" i="1"/>
  <c r="A1372" i="1"/>
  <c r="A1373" i="1"/>
  <c r="D1373" i="1"/>
  <c r="A1374" i="1"/>
  <c r="D1374" i="1"/>
  <c r="A1375" i="1"/>
  <c r="A1376" i="1"/>
  <c r="A1377" i="1"/>
  <c r="A1379" i="1"/>
  <c r="D1379" i="1"/>
  <c r="A1380" i="1"/>
  <c r="D1380" i="1"/>
  <c r="A1381" i="1"/>
  <c r="D1381" i="1"/>
  <c r="A1382" i="1"/>
  <c r="D1382" i="1"/>
  <c r="A1383" i="1"/>
  <c r="A1384" i="1"/>
  <c r="D1384" i="1"/>
  <c r="A1385" i="1"/>
  <c r="D1385" i="1"/>
  <c r="A1386" i="1"/>
  <c r="D1386" i="1"/>
  <c r="A1387" i="1"/>
  <c r="A1388" i="1"/>
  <c r="D1388" i="1"/>
  <c r="A1389" i="1"/>
  <c r="D1389" i="1"/>
  <c r="A1390" i="1"/>
  <c r="D1390" i="1"/>
  <c r="A1391" i="1"/>
  <c r="D1391" i="1"/>
  <c r="A1392" i="1"/>
  <c r="A1393" i="1"/>
  <c r="D1393" i="1"/>
  <c r="A1394" i="1"/>
  <c r="A1397" i="1"/>
  <c r="A1398" i="1"/>
  <c r="A1399" i="1"/>
  <c r="A1400" i="1"/>
  <c r="A1401" i="1"/>
  <c r="A1403" i="1"/>
  <c r="D1403" i="1"/>
  <c r="A1404" i="1"/>
  <c r="D1404" i="1"/>
  <c r="A1405" i="1"/>
  <c r="D1405" i="1"/>
  <c r="A1406" i="1"/>
  <c r="A1407" i="1"/>
  <c r="A1408" i="1"/>
  <c r="D1408" i="1"/>
  <c r="A1409" i="1"/>
  <c r="D1409" i="1"/>
  <c r="A1410" i="1"/>
  <c r="A1411" i="1"/>
  <c r="D1411" i="1"/>
  <c r="A1412" i="1"/>
  <c r="D1412" i="1"/>
  <c r="A1413" i="1"/>
  <c r="D1413" i="1"/>
  <c r="A1414" i="1"/>
  <c r="D1414" i="1"/>
  <c r="A1415" i="1"/>
  <c r="D1415" i="1"/>
  <c r="A1416" i="1"/>
  <c r="D1416" i="1"/>
  <c r="A1417" i="1"/>
  <c r="D1417" i="1"/>
  <c r="A1418" i="1"/>
  <c r="D1418" i="1"/>
  <c r="A1419" i="1"/>
  <c r="A1420" i="1"/>
  <c r="D1420" i="1"/>
  <c r="A1421" i="1"/>
  <c r="A1422" i="1"/>
  <c r="D1422" i="1"/>
  <c r="A1423" i="1"/>
  <c r="D1423" i="1"/>
  <c r="A1424" i="1"/>
  <c r="D1424" i="1"/>
  <c r="A1425" i="1"/>
  <c r="D1425" i="1"/>
  <c r="A1426" i="1"/>
  <c r="D1426" i="1"/>
  <c r="A1427" i="1"/>
  <c r="D1427" i="1"/>
  <c r="A1428" i="1"/>
  <c r="D1428" i="1"/>
  <c r="A1429" i="1"/>
  <c r="D1429" i="1"/>
  <c r="A1430" i="1"/>
  <c r="D1430" i="1"/>
  <c r="A1431" i="1"/>
  <c r="D1431" i="1"/>
  <c r="A1432" i="1"/>
  <c r="A1433" i="1"/>
  <c r="D1433" i="1"/>
  <c r="A1434" i="1"/>
  <c r="A1436" i="1"/>
  <c r="D1436" i="1"/>
  <c r="A1437" i="1"/>
  <c r="D1437" i="1"/>
  <c r="A1438" i="1"/>
  <c r="D1438" i="1"/>
  <c r="A1439" i="1"/>
  <c r="D1439" i="1"/>
  <c r="A1440" i="1"/>
  <c r="D1440" i="1"/>
  <c r="A1441" i="1"/>
  <c r="D1441" i="1"/>
  <c r="A1442" i="1"/>
  <c r="D1442" i="1"/>
  <c r="A1443" i="1"/>
  <c r="D1443" i="1"/>
  <c r="A1444" i="1"/>
  <c r="D1444" i="1"/>
  <c r="A1445" i="1"/>
  <c r="D1445" i="1"/>
  <c r="A1446" i="1"/>
  <c r="D1446" i="1"/>
  <c r="A1447" i="1"/>
  <c r="D1447" i="1"/>
  <c r="A1448" i="1"/>
  <c r="D1448" i="1"/>
  <c r="A1449" i="1"/>
  <c r="D1449" i="1"/>
  <c r="A1450" i="1"/>
  <c r="D1450" i="1"/>
  <c r="A1451" i="1"/>
  <c r="D1451" i="1"/>
  <c r="A1452" i="1"/>
  <c r="D1452" i="1"/>
  <c r="A1453" i="1"/>
  <c r="D1453" i="1"/>
  <c r="A1454" i="1"/>
  <c r="D1454" i="1"/>
  <c r="A1455" i="1"/>
  <c r="D1455" i="1"/>
  <c r="A1456" i="1"/>
  <c r="D1456" i="1"/>
  <c r="A1457" i="1"/>
  <c r="D1457" i="1"/>
  <c r="A1458" i="1"/>
  <c r="D1458" i="1"/>
  <c r="A1459" i="1"/>
  <c r="D1459" i="1"/>
  <c r="A1460" i="1"/>
  <c r="D1460" i="1"/>
  <c r="A1461" i="1"/>
  <c r="D1461" i="1"/>
  <c r="A1462" i="1"/>
  <c r="D1462" i="1"/>
  <c r="A1463" i="1"/>
  <c r="D1463" i="1"/>
  <c r="A1464" i="1"/>
  <c r="D1464" i="1"/>
  <c r="A1465" i="1"/>
  <c r="A1468" i="1"/>
  <c r="A1469" i="1"/>
  <c r="A1470" i="1"/>
  <c r="A1471" i="1"/>
  <c r="A1472" i="1"/>
  <c r="A1473" i="1"/>
  <c r="A1474" i="1"/>
  <c r="A1475" i="1"/>
  <c r="A1476" i="1"/>
  <c r="A1477" i="1"/>
  <c r="A1479" i="1"/>
  <c r="A1480" i="1"/>
  <c r="D1480" i="1"/>
  <c r="A1481" i="1"/>
  <c r="A1483" i="1"/>
  <c r="D1483" i="1"/>
  <c r="A1484" i="1"/>
  <c r="D1484" i="1"/>
  <c r="A1485" i="1"/>
  <c r="D1485" i="1"/>
  <c r="A1486" i="1"/>
  <c r="A1487" i="1"/>
  <c r="D1487" i="1"/>
  <c r="A1488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4" i="1"/>
  <c r="D1504" i="1"/>
  <c r="A1505" i="1"/>
  <c r="D1505" i="1"/>
  <c r="A1506" i="1"/>
  <c r="A1507" i="1"/>
  <c r="D1507" i="1"/>
  <c r="A1508" i="1"/>
  <c r="D1508" i="1"/>
  <c r="A1509" i="1"/>
  <c r="A1510" i="1"/>
  <c r="D1510" i="1"/>
  <c r="A1511" i="1"/>
  <c r="A1512" i="1"/>
  <c r="D1512" i="1"/>
  <c r="A1513" i="1"/>
  <c r="A1515" i="1"/>
  <c r="D1515" i="1"/>
  <c r="A1516" i="1"/>
  <c r="D1516" i="1"/>
  <c r="A1517" i="1"/>
  <c r="D1517" i="1"/>
  <c r="A1518" i="1"/>
  <c r="D1518" i="1"/>
  <c r="A1519" i="1"/>
  <c r="D1519" i="1"/>
  <c r="A1520" i="1"/>
  <c r="D1520" i="1"/>
  <c r="A1521" i="1"/>
  <c r="D1521" i="1"/>
  <c r="A1522" i="1"/>
  <c r="D1522" i="1"/>
  <c r="A1523" i="1"/>
  <c r="D1523" i="1"/>
  <c r="A1524" i="1"/>
  <c r="D1524" i="1"/>
  <c r="A1525" i="1"/>
  <c r="D1525" i="1"/>
  <c r="A1526" i="1"/>
  <c r="D1526" i="1"/>
  <c r="A1527" i="1"/>
  <c r="A1528" i="1"/>
  <c r="D1528" i="1"/>
  <c r="A1529" i="1"/>
  <c r="D1529" i="1"/>
  <c r="A1530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2" i="1"/>
  <c r="D1552" i="1"/>
  <c r="A1553" i="1"/>
  <c r="A1554" i="1"/>
  <c r="D1554" i="1"/>
  <c r="A1555" i="1"/>
  <c r="D1555" i="1"/>
  <c r="A1556" i="1"/>
  <c r="A1557" i="1"/>
  <c r="A1558" i="1"/>
  <c r="D1558" i="1"/>
  <c r="A1559" i="1"/>
  <c r="A1560" i="1"/>
  <c r="D1560" i="1"/>
  <c r="A1561" i="1"/>
  <c r="A1562" i="1"/>
  <c r="A1563" i="1"/>
  <c r="A1565" i="1"/>
  <c r="D1565" i="1"/>
  <c r="A1566" i="1"/>
  <c r="A1567" i="1"/>
  <c r="D1567" i="1"/>
  <c r="A1568" i="1"/>
  <c r="A1569" i="1"/>
  <c r="D1569" i="1"/>
  <c r="A1570" i="1"/>
  <c r="D1570" i="1"/>
  <c r="A1571" i="1"/>
  <c r="D1571" i="1"/>
  <c r="A1572" i="1"/>
  <c r="D1572" i="1"/>
  <c r="A1573" i="1"/>
  <c r="D1573" i="1"/>
  <c r="A1574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5" i="1"/>
  <c r="D1595" i="1"/>
  <c r="A1596" i="1"/>
  <c r="A1598" i="1"/>
  <c r="D1598" i="1"/>
  <c r="A1599" i="1"/>
  <c r="D1599" i="1"/>
  <c r="A1600" i="1"/>
  <c r="D1600" i="1"/>
  <c r="A1601" i="1"/>
  <c r="D1601" i="1"/>
  <c r="A1602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2" i="1"/>
  <c r="D1622" i="1"/>
  <c r="A1623" i="1"/>
  <c r="D1623" i="1"/>
  <c r="A1624" i="1"/>
  <c r="D1624" i="1"/>
  <c r="A1625" i="1"/>
  <c r="D1625" i="1"/>
  <c r="A1626" i="1"/>
  <c r="D1626" i="1"/>
  <c r="A1627" i="1"/>
  <c r="D1627" i="1"/>
  <c r="A1628" i="1"/>
  <c r="D1628" i="1"/>
  <c r="A1629" i="1"/>
  <c r="D1629" i="1"/>
  <c r="A1630" i="1"/>
  <c r="D1630" i="1"/>
  <c r="A1631" i="1"/>
  <c r="D1631" i="1"/>
  <c r="A1632" i="1"/>
  <c r="D1632" i="1"/>
  <c r="A1633" i="1"/>
  <c r="A1634" i="1"/>
  <c r="D1634" i="1"/>
  <c r="A1635" i="1"/>
  <c r="D1635" i="1"/>
  <c r="A1636" i="1"/>
  <c r="D1636" i="1"/>
  <c r="A1637" i="1"/>
  <c r="D1637" i="1"/>
  <c r="A1638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60" i="1"/>
  <c r="D1660" i="1"/>
  <c r="A1661" i="1"/>
  <c r="A1662" i="1"/>
  <c r="A1663" i="1"/>
  <c r="A1664" i="1"/>
  <c r="D1664" i="1"/>
  <c r="A1665" i="1"/>
  <c r="A1666" i="1"/>
  <c r="D1666" i="1"/>
  <c r="A1667" i="1"/>
  <c r="A1668" i="1"/>
  <c r="A1669" i="1"/>
  <c r="A1670" i="1"/>
  <c r="D1670" i="1"/>
  <c r="A1671" i="1"/>
  <c r="D1671" i="1"/>
  <c r="A1672" i="1"/>
  <c r="A1673" i="1"/>
  <c r="D1673" i="1"/>
  <c r="A1674" i="1"/>
  <c r="A1676" i="1"/>
  <c r="D1676" i="1"/>
  <c r="A1677" i="1"/>
  <c r="D1677" i="1"/>
  <c r="A1678" i="1"/>
  <c r="A1679" i="1"/>
  <c r="D1679" i="1"/>
  <c r="A1680" i="1"/>
  <c r="D1680" i="1"/>
  <c r="A1681" i="1"/>
  <c r="D1681" i="1"/>
  <c r="A1682" i="1"/>
  <c r="D1682" i="1"/>
  <c r="A1683" i="1"/>
  <c r="D1683" i="1"/>
  <c r="A1684" i="1"/>
  <c r="D1684" i="1"/>
  <c r="A1685" i="1"/>
  <c r="D1685" i="1"/>
  <c r="A1686" i="1"/>
  <c r="D1686" i="1"/>
  <c r="A1687" i="1"/>
  <c r="A1688" i="1"/>
  <c r="D1688" i="1"/>
  <c r="A1689" i="1"/>
  <c r="D1689" i="1"/>
  <c r="A1690" i="1"/>
  <c r="D1690" i="1"/>
  <c r="A1691" i="1"/>
  <c r="D1691" i="1"/>
  <c r="A1692" i="1"/>
  <c r="D1692" i="1"/>
  <c r="A1693" i="1"/>
  <c r="D1693" i="1"/>
  <c r="A1694" i="1"/>
  <c r="D1694" i="1"/>
  <c r="A1695" i="1"/>
  <c r="D1695" i="1"/>
  <c r="A1696" i="1"/>
  <c r="D1696" i="1"/>
  <c r="A1697" i="1"/>
  <c r="D1697" i="1"/>
  <c r="A1698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1" i="1"/>
  <c r="D1741" i="1"/>
  <c r="A1742" i="1"/>
  <c r="D1742" i="1"/>
  <c r="A1743" i="1"/>
  <c r="A1744" i="1"/>
  <c r="A1745" i="1"/>
  <c r="A1746" i="1"/>
  <c r="D1746" i="1"/>
  <c r="A1747" i="1"/>
  <c r="A1748" i="1"/>
  <c r="A1749" i="1"/>
  <c r="A1750" i="1"/>
  <c r="D1750" i="1"/>
  <c r="A1751" i="1"/>
  <c r="A1752" i="1"/>
  <c r="D1752" i="1"/>
  <c r="A1753" i="1"/>
  <c r="D1753" i="1"/>
  <c r="A1754" i="1"/>
  <c r="D1754" i="1"/>
  <c r="A1755" i="1"/>
  <c r="A1756" i="1"/>
  <c r="D1756" i="1"/>
  <c r="A1757" i="1"/>
  <c r="A1758" i="1"/>
  <c r="D1758" i="1"/>
  <c r="A1759" i="1"/>
  <c r="D1759" i="1"/>
  <c r="A1760" i="1"/>
  <c r="A1761" i="1"/>
  <c r="D1761" i="1"/>
  <c r="A1762" i="1"/>
  <c r="A1763" i="1"/>
  <c r="D1763" i="1"/>
  <c r="A1764" i="1"/>
  <c r="D1764" i="1"/>
  <c r="A1765" i="1"/>
  <c r="A1766" i="1"/>
  <c r="D1766" i="1"/>
  <c r="A1767" i="1"/>
  <c r="D1767" i="1"/>
  <c r="A1768" i="1"/>
  <c r="A1769" i="1"/>
  <c r="D1769" i="1"/>
  <c r="A1770" i="1"/>
  <c r="D1770" i="1"/>
  <c r="A1771" i="1"/>
  <c r="A1772" i="1"/>
  <c r="A1773" i="1"/>
  <c r="D1773" i="1"/>
  <c r="A1774" i="1"/>
  <c r="A1776" i="1"/>
  <c r="D1776" i="1"/>
  <c r="A1777" i="1"/>
  <c r="D1777" i="1"/>
  <c r="A1778" i="1"/>
  <c r="A1779" i="1"/>
  <c r="D1779" i="1"/>
  <c r="A1780" i="1"/>
  <c r="D1780" i="1"/>
  <c r="A1781" i="1"/>
  <c r="A1782" i="1"/>
  <c r="D1782" i="1"/>
  <c r="A1783" i="1"/>
  <c r="A1784" i="1"/>
  <c r="D1784" i="1"/>
  <c r="A1785" i="1"/>
  <c r="A1786" i="1"/>
  <c r="D1786" i="1"/>
  <c r="A1787" i="1"/>
  <c r="D1787" i="1"/>
  <c r="A1788" i="1"/>
  <c r="D1788" i="1"/>
  <c r="A1789" i="1"/>
  <c r="A1790" i="1"/>
  <c r="D1790" i="1"/>
  <c r="A1791" i="1"/>
  <c r="D1791" i="1"/>
  <c r="A1792" i="1"/>
  <c r="D1792" i="1"/>
  <c r="A1793" i="1"/>
  <c r="D1793" i="1"/>
  <c r="A1794" i="1"/>
  <c r="D1794" i="1"/>
  <c r="A1795" i="1"/>
  <c r="D1795" i="1"/>
  <c r="A1796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8" i="1"/>
  <c r="D1818" i="1"/>
  <c r="A1819" i="1"/>
  <c r="D1819" i="1"/>
  <c r="A1820" i="1"/>
  <c r="A1821" i="1"/>
  <c r="D1821" i="1"/>
  <c r="A1822" i="1"/>
  <c r="A1823" i="1"/>
  <c r="D1823" i="1"/>
  <c r="A1824" i="1"/>
  <c r="A1825" i="1"/>
  <c r="D1825" i="1"/>
  <c r="A1826" i="1"/>
  <c r="A1828" i="1"/>
  <c r="D1828" i="1"/>
  <c r="A1829" i="1"/>
  <c r="D1829" i="1"/>
  <c r="A1830" i="1"/>
  <c r="D1830" i="1"/>
  <c r="A1831" i="1"/>
  <c r="D1831" i="1"/>
  <c r="A1832" i="1"/>
  <c r="D1832" i="1"/>
  <c r="A1833" i="1"/>
  <c r="D1833" i="1"/>
  <c r="A1834" i="1"/>
  <c r="D1834" i="1"/>
  <c r="A1835" i="1"/>
  <c r="D1835" i="1"/>
  <c r="A1836" i="1"/>
  <c r="D1836" i="1"/>
  <c r="A1837" i="1"/>
  <c r="D1837" i="1"/>
  <c r="A1838" i="1"/>
  <c r="D1838" i="1"/>
  <c r="A1839" i="1"/>
  <c r="D1839" i="1"/>
  <c r="A1840" i="1"/>
  <c r="D1840" i="1"/>
  <c r="A1841" i="1"/>
  <c r="D1841" i="1"/>
  <c r="A1842" i="1"/>
  <c r="A1843" i="1"/>
  <c r="D1843" i="1"/>
  <c r="A1844" i="1"/>
  <c r="D1844" i="1"/>
  <c r="A1845" i="1"/>
  <c r="A1846" i="1"/>
  <c r="D1846" i="1"/>
  <c r="A1847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5" i="1"/>
  <c r="A1866" i="1"/>
  <c r="A1867" i="1"/>
  <c r="A1868" i="1"/>
  <c r="A1870" i="1"/>
  <c r="A1873" i="1"/>
  <c r="D1873" i="1"/>
  <c r="A1874" i="1"/>
  <c r="A1875" i="1"/>
  <c r="D1875" i="1"/>
  <c r="A1876" i="1"/>
  <c r="D1876" i="1"/>
  <c r="A1877" i="1"/>
  <c r="D1877" i="1"/>
  <c r="A1878" i="1"/>
  <c r="D1878" i="1"/>
  <c r="A1879" i="1"/>
  <c r="A1880" i="1"/>
  <c r="A1881" i="1"/>
  <c r="D1881" i="1"/>
  <c r="A1882" i="1"/>
  <c r="D1882" i="1"/>
  <c r="A1883" i="1"/>
  <c r="D1883" i="1"/>
  <c r="A1884" i="1"/>
  <c r="A1885" i="1"/>
  <c r="D1885" i="1"/>
  <c r="A1886" i="1"/>
  <c r="A1887" i="1"/>
  <c r="D1887" i="1"/>
  <c r="A1888" i="1"/>
  <c r="A1889" i="1"/>
  <c r="D1889" i="1"/>
  <c r="A1890" i="1"/>
  <c r="D1890" i="1"/>
  <c r="A1891" i="1"/>
  <c r="D1891" i="1"/>
  <c r="A1892" i="1"/>
  <c r="A1893" i="1"/>
  <c r="D1893" i="1"/>
  <c r="A1894" i="1"/>
  <c r="D1894" i="1"/>
  <c r="A1895" i="1"/>
  <c r="A1896" i="1"/>
  <c r="D1896" i="1"/>
  <c r="A1897" i="1"/>
  <c r="D1897" i="1"/>
  <c r="A1898" i="1"/>
  <c r="D1898" i="1"/>
  <c r="A1899" i="1"/>
  <c r="A1901" i="1"/>
  <c r="D1901" i="1"/>
  <c r="A1902" i="1"/>
  <c r="D1902" i="1"/>
  <c r="A1903" i="1"/>
  <c r="D1903" i="1"/>
  <c r="A1904" i="1"/>
  <c r="D1904" i="1"/>
  <c r="A1905" i="1"/>
  <c r="A1906" i="1"/>
  <c r="D1906" i="1"/>
  <c r="A1907" i="1"/>
  <c r="D1907" i="1"/>
  <c r="A1908" i="1"/>
  <c r="D1908" i="1"/>
  <c r="A1909" i="1"/>
  <c r="D1909" i="1"/>
  <c r="A1910" i="1"/>
  <c r="D1910" i="1"/>
  <c r="A1911" i="1"/>
  <c r="A1912" i="1"/>
  <c r="D1912" i="1"/>
  <c r="A1913" i="1"/>
  <c r="D1913" i="1"/>
  <c r="A1914" i="1"/>
  <c r="D1914" i="1"/>
  <c r="A1915" i="1"/>
  <c r="A1916" i="1"/>
  <c r="D1916" i="1"/>
  <c r="A1917" i="1"/>
  <c r="D1917" i="1"/>
  <c r="A1918" i="1"/>
  <c r="D1918" i="1"/>
  <c r="A1919" i="1"/>
  <c r="D1919" i="1"/>
  <c r="A1920" i="1"/>
  <c r="D1920" i="1"/>
  <c r="A1921" i="1"/>
  <c r="D1921" i="1"/>
  <c r="A1922" i="1"/>
  <c r="A1923" i="1"/>
  <c r="D1923" i="1"/>
  <c r="A1924" i="1"/>
  <c r="D1924" i="1"/>
  <c r="A1925" i="1"/>
  <c r="D1925" i="1"/>
  <c r="A1926" i="1"/>
  <c r="D1926" i="1"/>
  <c r="A1927" i="1"/>
  <c r="D1927" i="1"/>
  <c r="A1928" i="1"/>
  <c r="D1928" i="1"/>
  <c r="A1929" i="1"/>
  <c r="D1929" i="1"/>
  <c r="A1930" i="1"/>
  <c r="D1930" i="1"/>
  <c r="A1931" i="1"/>
  <c r="D1931" i="1"/>
  <c r="A1932" i="1"/>
  <c r="D1932" i="1"/>
  <c r="A1933" i="1"/>
  <c r="D1933" i="1"/>
  <c r="A1934" i="1"/>
  <c r="D1934" i="1"/>
  <c r="A1935" i="1"/>
  <c r="D1935" i="1"/>
  <c r="A1936" i="1"/>
  <c r="D1936" i="1"/>
  <c r="A1937" i="1"/>
  <c r="D1937" i="1"/>
  <c r="A1938" i="1"/>
  <c r="D1938" i="1"/>
  <c r="A1939" i="1"/>
  <c r="D1939" i="1"/>
  <c r="A1940" i="1"/>
  <c r="D1940" i="1"/>
  <c r="A1941" i="1"/>
  <c r="D1941" i="1"/>
  <c r="A1942" i="1"/>
  <c r="D1942" i="1"/>
  <c r="A1943" i="1"/>
  <c r="D1943" i="1"/>
  <c r="A1944" i="1"/>
  <c r="D1944" i="1"/>
  <c r="A1945" i="1"/>
  <c r="D1945" i="1"/>
  <c r="A1946" i="1"/>
  <c r="D1946" i="1"/>
  <c r="A1947" i="1"/>
  <c r="D1947" i="1"/>
  <c r="A1948" i="1"/>
  <c r="D1948" i="1"/>
  <c r="A1949" i="1"/>
  <c r="D1949" i="1"/>
  <c r="A1950" i="1"/>
  <c r="D1950" i="1"/>
  <c r="A1951" i="1"/>
  <c r="D1951" i="1"/>
  <c r="A1952" i="1"/>
  <c r="D1952" i="1"/>
  <c r="A1953" i="1"/>
  <c r="D1953" i="1"/>
  <c r="A1954" i="1"/>
  <c r="D1954" i="1"/>
  <c r="A1955" i="1"/>
  <c r="D1955" i="1"/>
  <c r="A1956" i="1"/>
  <c r="D1956" i="1"/>
  <c r="A1957" i="1"/>
  <c r="D1957" i="1"/>
  <c r="A1958" i="1"/>
  <c r="D1958" i="1"/>
  <c r="A1959" i="1"/>
  <c r="D1959" i="1"/>
  <c r="A1960" i="1"/>
  <c r="D1960" i="1"/>
  <c r="A1961" i="1"/>
  <c r="D1961" i="1"/>
  <c r="A1962" i="1"/>
  <c r="D1962" i="1"/>
  <c r="A1963" i="1"/>
  <c r="D1963" i="1"/>
  <c r="A1964" i="1"/>
  <c r="D1964" i="1"/>
  <c r="A1965" i="1"/>
  <c r="D1965" i="1"/>
  <c r="A1966" i="1"/>
  <c r="D1966" i="1"/>
  <c r="A1967" i="1"/>
  <c r="D1967" i="1"/>
  <c r="A1968" i="1"/>
  <c r="D1968" i="1"/>
  <c r="A1969" i="1"/>
  <c r="D1969" i="1"/>
  <c r="A1970" i="1"/>
  <c r="D1970" i="1"/>
  <c r="A1971" i="1"/>
  <c r="D1971" i="1"/>
  <c r="A1972" i="1"/>
  <c r="D1972" i="1"/>
  <c r="A1973" i="1"/>
  <c r="D1973" i="1"/>
  <c r="A1974" i="1"/>
  <c r="D1974" i="1"/>
  <c r="A1975" i="1"/>
  <c r="D1975" i="1"/>
  <c r="A1976" i="1"/>
  <c r="D1976" i="1"/>
  <c r="A1977" i="1"/>
  <c r="D1977" i="1"/>
  <c r="A1978" i="1"/>
  <c r="D1978" i="1"/>
  <c r="A1979" i="1"/>
  <c r="D1979" i="1"/>
  <c r="A1980" i="1"/>
  <c r="D1980" i="1"/>
  <c r="A1981" i="1"/>
  <c r="D1981" i="1"/>
  <c r="A1982" i="1"/>
  <c r="D1982" i="1"/>
  <c r="A1983" i="1"/>
  <c r="D1983" i="1"/>
  <c r="A1984" i="1"/>
  <c r="D1984" i="1"/>
  <c r="A1985" i="1"/>
  <c r="D1985" i="1"/>
  <c r="A1986" i="1"/>
  <c r="D1986" i="1"/>
  <c r="A1987" i="1"/>
  <c r="D1987" i="1"/>
  <c r="A1988" i="1"/>
  <c r="D1988" i="1"/>
  <c r="A1989" i="1"/>
  <c r="D1989" i="1"/>
  <c r="A1990" i="1"/>
  <c r="D1990" i="1"/>
  <c r="A1991" i="1"/>
  <c r="D1991" i="1"/>
  <c r="A1992" i="1"/>
  <c r="D1992" i="1"/>
  <c r="A1993" i="1"/>
  <c r="D1993" i="1"/>
  <c r="A1994" i="1"/>
  <c r="D1994" i="1"/>
  <c r="A1995" i="1"/>
  <c r="A1996" i="1"/>
  <c r="D1996" i="1"/>
  <c r="A1997" i="1"/>
  <c r="D1997" i="1"/>
  <c r="A1998" i="1"/>
  <c r="D1998" i="1"/>
  <c r="A1999" i="1"/>
  <c r="D1999" i="1"/>
  <c r="A2000" i="1"/>
  <c r="D2000" i="1"/>
  <c r="A2001" i="1"/>
  <c r="D2001" i="1"/>
  <c r="A2002" i="1"/>
  <c r="D2002" i="1"/>
  <c r="A2003" i="1"/>
  <c r="D2003" i="1"/>
  <c r="A2004" i="1"/>
  <c r="A2005" i="1"/>
  <c r="D2005" i="1"/>
  <c r="A2006" i="1"/>
  <c r="D2006" i="1"/>
  <c r="A2007" i="1"/>
  <c r="D2007" i="1"/>
  <c r="A2008" i="1"/>
  <c r="A2009" i="1"/>
  <c r="D2009" i="1"/>
  <c r="A2010" i="1"/>
  <c r="D2010" i="1"/>
  <c r="A2011" i="1"/>
  <c r="D2011" i="1"/>
  <c r="A2012" i="1"/>
  <c r="D2012" i="1"/>
  <c r="A2013" i="1"/>
  <c r="A2014" i="1"/>
  <c r="D2014" i="1"/>
  <c r="A2015" i="1"/>
  <c r="D2015" i="1"/>
  <c r="A2016" i="1"/>
  <c r="D2016" i="1"/>
  <c r="A2017" i="1"/>
  <c r="D2017" i="1"/>
  <c r="A2018" i="1"/>
  <c r="D2018" i="1"/>
  <c r="A2019" i="1"/>
  <c r="D2019" i="1"/>
  <c r="A2020" i="1"/>
  <c r="D2020" i="1"/>
  <c r="A2021" i="1"/>
  <c r="D2021" i="1"/>
  <c r="A2022" i="1"/>
  <c r="D2022" i="1"/>
  <c r="A2023" i="1"/>
  <c r="D2023" i="1"/>
  <c r="A2024" i="1"/>
  <c r="A2025" i="1"/>
  <c r="D2025" i="1"/>
  <c r="A2026" i="1"/>
  <c r="D2026" i="1"/>
  <c r="A2027" i="1"/>
  <c r="D2027" i="1"/>
  <c r="A2028" i="1"/>
  <c r="D2028" i="1"/>
  <c r="A2029" i="1"/>
  <c r="D2029" i="1"/>
  <c r="A2030" i="1"/>
  <c r="D2030" i="1"/>
  <c r="A2031" i="1"/>
  <c r="D2031" i="1"/>
  <c r="A2032" i="1"/>
  <c r="D2032" i="1"/>
  <c r="A2033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1" i="1"/>
  <c r="D2061" i="1"/>
  <c r="A2062" i="1"/>
  <c r="D2062" i="1"/>
  <c r="A2063" i="1"/>
  <c r="A2064" i="1"/>
  <c r="A2065" i="1"/>
  <c r="A2066" i="1"/>
  <c r="A2067" i="1"/>
  <c r="A2068" i="1"/>
  <c r="A2069" i="1"/>
  <c r="D2069" i="1"/>
  <c r="A2070" i="1"/>
  <c r="A2071" i="1"/>
  <c r="D2071" i="1"/>
  <c r="A2072" i="1"/>
  <c r="A2073" i="1"/>
  <c r="A2074" i="1"/>
  <c r="A2076" i="1"/>
  <c r="D2076" i="1"/>
  <c r="A2077" i="1"/>
  <c r="D2077" i="1"/>
  <c r="A2078" i="1"/>
  <c r="A2079" i="1"/>
  <c r="D2079" i="1"/>
  <c r="A2080" i="1"/>
  <c r="D2080" i="1"/>
  <c r="A2081" i="1"/>
  <c r="D2081" i="1"/>
  <c r="A2082" i="1"/>
  <c r="D2082" i="1"/>
  <c r="A2083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10" i="1"/>
  <c r="D2110" i="1"/>
  <c r="A2111" i="1"/>
  <c r="D2111" i="1"/>
  <c r="A2112" i="1"/>
  <c r="A2113" i="1"/>
  <c r="A2114" i="1"/>
  <c r="D2114" i="1"/>
  <c r="A2115" i="1"/>
  <c r="D2115" i="1"/>
  <c r="A2116" i="1"/>
  <c r="A2118" i="1"/>
  <c r="D2118" i="1"/>
  <c r="A2119" i="1"/>
  <c r="D2119" i="1"/>
  <c r="A2120" i="1"/>
  <c r="A2121" i="1"/>
  <c r="D2121" i="1"/>
  <c r="A2122" i="1"/>
  <c r="D2122" i="1"/>
  <c r="A2123" i="1"/>
  <c r="A2124" i="1"/>
  <c r="D2124" i="1"/>
  <c r="A2125" i="1"/>
  <c r="A2128" i="1"/>
  <c r="A2129" i="1"/>
  <c r="A2130" i="1"/>
  <c r="A2131" i="1"/>
  <c r="A2132" i="1"/>
  <c r="A2133" i="1"/>
  <c r="A2134" i="1"/>
  <c r="A2135" i="1"/>
  <c r="D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50" i="1"/>
  <c r="D2150" i="1"/>
  <c r="A2151" i="1"/>
  <c r="D2151" i="1"/>
  <c r="A2152" i="1"/>
  <c r="D2152" i="1"/>
  <c r="A2153" i="1"/>
  <c r="D2153" i="1"/>
  <c r="A2154" i="1"/>
  <c r="D2154" i="1"/>
  <c r="A2155" i="1"/>
  <c r="D2155" i="1"/>
  <c r="A2156" i="1"/>
  <c r="A2159" i="1"/>
  <c r="A2160" i="1"/>
  <c r="A2161" i="1"/>
  <c r="A2162" i="1"/>
  <c r="A2163" i="1"/>
  <c r="A2164" i="1"/>
  <c r="A2165" i="1"/>
  <c r="A2166" i="1"/>
  <c r="A2167" i="1"/>
  <c r="D2167" i="1"/>
  <c r="A2168" i="1"/>
  <c r="D2168" i="1"/>
  <c r="A2169" i="1"/>
  <c r="D2169" i="1"/>
  <c r="A2170" i="1"/>
  <c r="A2171" i="1"/>
  <c r="D2171" i="1"/>
  <c r="A2172" i="1"/>
  <c r="D2172" i="1"/>
  <c r="A2173" i="1"/>
  <c r="D2173" i="1"/>
  <c r="A2174" i="1"/>
  <c r="D2174" i="1"/>
  <c r="A2175" i="1"/>
  <c r="D2175" i="1"/>
  <c r="A2176" i="1"/>
  <c r="A2177" i="1"/>
  <c r="A2178" i="1"/>
  <c r="A2179" i="1"/>
  <c r="A2180" i="1"/>
  <c r="A2181" i="1"/>
  <c r="A2182" i="1"/>
  <c r="A2183" i="1"/>
  <c r="A2184" i="1"/>
  <c r="A2185" i="1"/>
  <c r="A2187" i="1"/>
  <c r="A2188" i="1"/>
  <c r="D2188" i="1"/>
  <c r="A2189" i="1"/>
  <c r="A2190" i="1"/>
  <c r="D2190" i="1"/>
  <c r="A2191" i="1"/>
  <c r="D2191" i="1"/>
  <c r="A2192" i="1"/>
  <c r="A2193" i="1"/>
  <c r="A2194" i="1"/>
  <c r="D2194" i="1"/>
  <c r="A2195" i="1"/>
  <c r="D2195" i="1"/>
  <c r="A2196" i="1"/>
  <c r="A2197" i="1"/>
  <c r="A2198" i="1"/>
  <c r="D2198" i="1"/>
  <c r="A2199" i="1"/>
  <c r="D2199" i="1"/>
  <c r="A2200" i="1"/>
  <c r="D2200" i="1"/>
  <c r="A2201" i="1"/>
  <c r="D2201" i="1"/>
  <c r="A2202" i="1"/>
  <c r="A2203" i="1"/>
  <c r="A2204" i="1"/>
  <c r="D2204" i="1"/>
  <c r="A2205" i="1"/>
  <c r="D2205" i="1"/>
  <c r="A2206" i="1"/>
  <c r="D2206" i="1"/>
  <c r="A2207" i="1"/>
  <c r="A2208" i="1"/>
  <c r="D2208" i="1"/>
  <c r="A2209" i="1"/>
  <c r="D2209" i="1"/>
  <c r="A2210" i="1"/>
  <c r="D2210" i="1"/>
  <c r="A2211" i="1"/>
  <c r="D2211" i="1"/>
  <c r="A2212" i="1"/>
  <c r="A2213" i="1"/>
  <c r="A2214" i="1"/>
  <c r="A2215" i="1"/>
  <c r="D2215" i="1"/>
  <c r="A2216" i="1"/>
  <c r="D2216" i="1"/>
  <c r="A2217" i="1"/>
  <c r="A2219" i="1"/>
  <c r="D2219" i="1"/>
  <c r="A2220" i="1"/>
  <c r="D2220" i="1"/>
  <c r="A2221" i="1"/>
  <c r="D2221" i="1"/>
  <c r="A2222" i="1"/>
  <c r="D2222" i="1"/>
  <c r="A2223" i="1"/>
  <c r="D2223" i="1"/>
  <c r="A2224" i="1"/>
  <c r="D2224" i="1"/>
  <c r="A2225" i="1"/>
  <c r="A2226" i="1"/>
  <c r="D2226" i="1"/>
  <c r="A2227" i="1"/>
  <c r="D2227" i="1"/>
  <c r="A2228" i="1"/>
  <c r="D2228" i="1"/>
  <c r="A2229" i="1"/>
  <c r="D2229" i="1"/>
  <c r="A2230" i="1"/>
  <c r="D2230" i="1"/>
  <c r="A2231" i="1"/>
  <c r="D2231" i="1"/>
  <c r="A2232" i="1"/>
  <c r="D2232" i="1"/>
  <c r="A2233" i="1"/>
  <c r="D2233" i="1"/>
  <c r="A2234" i="1"/>
  <c r="D2234" i="1"/>
  <c r="A2235" i="1"/>
  <c r="A2236" i="1"/>
  <c r="D2236" i="1"/>
  <c r="A2237" i="1"/>
  <c r="A2238" i="1"/>
  <c r="D2238" i="1"/>
  <c r="A2239" i="1"/>
  <c r="D2239" i="1"/>
  <c r="A2240" i="1"/>
  <c r="D2240" i="1"/>
  <c r="A2241" i="1"/>
  <c r="A2244" i="1"/>
  <c r="A2245" i="1"/>
  <c r="A2246" i="1"/>
  <c r="A2247" i="1"/>
  <c r="A2248" i="1"/>
  <c r="A2249" i="1"/>
  <c r="A2251" i="1"/>
  <c r="A2252" i="1"/>
  <c r="A2253" i="1"/>
  <c r="D2253" i="1"/>
  <c r="A2254" i="1"/>
  <c r="A2255" i="1"/>
  <c r="D2255" i="1"/>
  <c r="A2256" i="1"/>
  <c r="D2256" i="1"/>
  <c r="A2257" i="1"/>
  <c r="D2257" i="1"/>
  <c r="A2258" i="1"/>
  <c r="D2258" i="1"/>
  <c r="A2259" i="1"/>
  <c r="A2260" i="1"/>
  <c r="A2261" i="1"/>
  <c r="D2261" i="1"/>
  <c r="A2262" i="1"/>
  <c r="D2262" i="1"/>
  <c r="A2263" i="1"/>
  <c r="D2263" i="1"/>
  <c r="A2264" i="1"/>
  <c r="A2265" i="1"/>
  <c r="D2265" i="1"/>
  <c r="A2266" i="1"/>
  <c r="A2268" i="1"/>
  <c r="D2268" i="1"/>
  <c r="A2269" i="1"/>
  <c r="D2269" i="1"/>
  <c r="A2270" i="1"/>
  <c r="D2270" i="1"/>
  <c r="A2271" i="1"/>
  <c r="D2271" i="1"/>
  <c r="A2272" i="1"/>
  <c r="D2272" i="1"/>
  <c r="A2273" i="1"/>
  <c r="A2274" i="1"/>
  <c r="D2274" i="1"/>
  <c r="A2275" i="1"/>
  <c r="D2275" i="1"/>
  <c r="A2276" i="1"/>
  <c r="D2276" i="1"/>
  <c r="A2277" i="1"/>
  <c r="A2278" i="1"/>
  <c r="D2278" i="1"/>
  <c r="A2279" i="1"/>
  <c r="D2279" i="1"/>
  <c r="A2280" i="1"/>
  <c r="D2280" i="1"/>
  <c r="A2281" i="1"/>
  <c r="A2284" i="1"/>
  <c r="A2285" i="1"/>
  <c r="A2286" i="1"/>
  <c r="A2287" i="1"/>
  <c r="A2288" i="1"/>
  <c r="A2289" i="1"/>
  <c r="A2290" i="1"/>
  <c r="A2291" i="1"/>
  <c r="A2293" i="1"/>
  <c r="D2293" i="1"/>
  <c r="A2294" i="1"/>
  <c r="D2294" i="1"/>
  <c r="A2295" i="1"/>
  <c r="D2295" i="1"/>
  <c r="A2296" i="1"/>
  <c r="D2296" i="1"/>
  <c r="A2297" i="1"/>
  <c r="D2297" i="1"/>
  <c r="A2298" i="1"/>
  <c r="A2299" i="1"/>
  <c r="A2301" i="1"/>
  <c r="D2301" i="1"/>
  <c r="A2302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3" i="1"/>
  <c r="A2324" i="1"/>
  <c r="D2324" i="1"/>
  <c r="A2325" i="1"/>
  <c r="D2325" i="1"/>
  <c r="A2326" i="1"/>
  <c r="D2326" i="1"/>
  <c r="A2327" i="1"/>
  <c r="D2327" i="1"/>
  <c r="A2328" i="1"/>
  <c r="D2328" i="1"/>
  <c r="A2329" i="1"/>
  <c r="D2329" i="1"/>
  <c r="A2330" i="1"/>
  <c r="D2330" i="1"/>
  <c r="A2331" i="1"/>
  <c r="D2331" i="1"/>
  <c r="A2332" i="1"/>
  <c r="A2333" i="1"/>
  <c r="D2333" i="1"/>
  <c r="A2334" i="1"/>
  <c r="A2335" i="1"/>
  <c r="A2336" i="1"/>
  <c r="A2337" i="1"/>
  <c r="D2337" i="1"/>
  <c r="A2338" i="1"/>
  <c r="D2338" i="1"/>
  <c r="A2339" i="1"/>
  <c r="A2341" i="1"/>
  <c r="D2341" i="1"/>
  <c r="A2342" i="1"/>
  <c r="D2342" i="1"/>
  <c r="A2343" i="1"/>
  <c r="D2343" i="1"/>
  <c r="A2344" i="1"/>
  <c r="A2345" i="1"/>
  <c r="D2345" i="1"/>
  <c r="A2346" i="1"/>
  <c r="D2346" i="1"/>
  <c r="A2347" i="1"/>
  <c r="D2347" i="1"/>
  <c r="A2348" i="1"/>
  <c r="D2348" i="1"/>
  <c r="A2349" i="1"/>
  <c r="D2349" i="1"/>
  <c r="A2350" i="1"/>
  <c r="D2350" i="1"/>
  <c r="A2351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9" i="1"/>
  <c r="D2379" i="1"/>
  <c r="A2380" i="1"/>
  <c r="D2380" i="1"/>
  <c r="A2381" i="1"/>
  <c r="D2381" i="1"/>
  <c r="A2382" i="1"/>
  <c r="D2382" i="1"/>
  <c r="A2383" i="1"/>
  <c r="A2384" i="1"/>
  <c r="D2384" i="1"/>
  <c r="A2385" i="1"/>
  <c r="A2386" i="1"/>
  <c r="D2386" i="1"/>
  <c r="A2387" i="1"/>
  <c r="D2387" i="1"/>
  <c r="A2388" i="1"/>
  <c r="A2389" i="1"/>
  <c r="A2390" i="1"/>
  <c r="A2391" i="1"/>
  <c r="D2391" i="1"/>
  <c r="A2392" i="1"/>
  <c r="A2393" i="1"/>
  <c r="D2393" i="1"/>
  <c r="A2394" i="1"/>
  <c r="D2394" i="1"/>
  <c r="A2395" i="1"/>
  <c r="A2396" i="1"/>
  <c r="D2396" i="1"/>
  <c r="A2397" i="1"/>
  <c r="D2397" i="1"/>
  <c r="A2398" i="1"/>
  <c r="D2398" i="1"/>
  <c r="A2399" i="1"/>
  <c r="A2400" i="1"/>
  <c r="D2400" i="1"/>
  <c r="A2401" i="1"/>
  <c r="D2401" i="1"/>
  <c r="A2402" i="1"/>
  <c r="A2403" i="1"/>
  <c r="D2403" i="1"/>
  <c r="A2404" i="1"/>
  <c r="A2406" i="1"/>
  <c r="D2406" i="1"/>
  <c r="A2407" i="1"/>
  <c r="D2407" i="1"/>
  <c r="A2408" i="1"/>
  <c r="D2408" i="1"/>
  <c r="A2409" i="1"/>
  <c r="D2409" i="1"/>
  <c r="A2410" i="1"/>
  <c r="D2410" i="1"/>
  <c r="A2411" i="1"/>
  <c r="A2412" i="1"/>
  <c r="D2412" i="1"/>
  <c r="A2413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4" i="1"/>
  <c r="A2435" i="1"/>
  <c r="A2436" i="1"/>
  <c r="A2437" i="1"/>
  <c r="D2437" i="1"/>
  <c r="A2438" i="1"/>
  <c r="D2438" i="1"/>
  <c r="A2439" i="1"/>
  <c r="A2440" i="1"/>
  <c r="A2441" i="1"/>
  <c r="A2442" i="1"/>
  <c r="A2443" i="1"/>
  <c r="D2443" i="1"/>
  <c r="A2444" i="1"/>
  <c r="D2444" i="1"/>
  <c r="A2445" i="1"/>
  <c r="D2445" i="1"/>
  <c r="A2446" i="1"/>
  <c r="D2446" i="1"/>
  <c r="A2447" i="1"/>
  <c r="D2447" i="1"/>
  <c r="A2448" i="1"/>
  <c r="A2449" i="1"/>
  <c r="A2450" i="1"/>
  <c r="D2450" i="1"/>
  <c r="A2451" i="1"/>
  <c r="A2453" i="1"/>
  <c r="D2453" i="1"/>
  <c r="A2454" i="1"/>
  <c r="D2454" i="1"/>
  <c r="A2455" i="1"/>
  <c r="D2455" i="1"/>
  <c r="A2456" i="1"/>
  <c r="D2456" i="1"/>
  <c r="A2457" i="1"/>
  <c r="D2457" i="1"/>
  <c r="A2458" i="1"/>
  <c r="D2458" i="1"/>
  <c r="A2459" i="1"/>
  <c r="D2459" i="1"/>
  <c r="A2460" i="1"/>
  <c r="D2460" i="1"/>
  <c r="A2461" i="1"/>
  <c r="D2461" i="1"/>
  <c r="A2462" i="1"/>
  <c r="D2462" i="1"/>
  <c r="A2463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4" i="1"/>
  <c r="A2485" i="1"/>
  <c r="A2486" i="1"/>
  <c r="D2486" i="1"/>
  <c r="A2487" i="1"/>
  <c r="A2489" i="1"/>
  <c r="D2489" i="1"/>
  <c r="A2490" i="1"/>
  <c r="D2490" i="1"/>
  <c r="A2491" i="1"/>
  <c r="A2492" i="1"/>
  <c r="D2492" i="1"/>
  <c r="A2493" i="1"/>
  <c r="D2493" i="1"/>
  <c r="A2494" i="1"/>
  <c r="A2497" i="1"/>
  <c r="A2498" i="1"/>
  <c r="A2499" i="1"/>
  <c r="A2500" i="1"/>
  <c r="A2502" i="1"/>
  <c r="D2502" i="1"/>
  <c r="A2503" i="1"/>
  <c r="D2503" i="1"/>
  <c r="A2504" i="1"/>
  <c r="D2504" i="1"/>
  <c r="A2505" i="1"/>
  <c r="D2505" i="1"/>
  <c r="A2506" i="1"/>
  <c r="D2506" i="1"/>
  <c r="A2507" i="1"/>
  <c r="A2508" i="1"/>
  <c r="A2509" i="1"/>
  <c r="D2509" i="1"/>
  <c r="A2510" i="1"/>
  <c r="D2510" i="1"/>
  <c r="A2511" i="1"/>
  <c r="D2511" i="1"/>
  <c r="A2512" i="1"/>
  <c r="D2512" i="1"/>
  <c r="A2513" i="1"/>
  <c r="D2513" i="1"/>
  <c r="A2514" i="1"/>
  <c r="D2514" i="1"/>
  <c r="A2515" i="1"/>
  <c r="D2515" i="1"/>
  <c r="A2516" i="1"/>
  <c r="A2517" i="1"/>
  <c r="A2518" i="1"/>
  <c r="A2519" i="1"/>
  <c r="A2520" i="1"/>
  <c r="D2520" i="1"/>
  <c r="A2521" i="1"/>
  <c r="A2522" i="1"/>
  <c r="D2522" i="1"/>
  <c r="A2523" i="1"/>
  <c r="D2523" i="1"/>
  <c r="A2524" i="1"/>
  <c r="D2524" i="1"/>
  <c r="A2525" i="1"/>
  <c r="D2525" i="1"/>
  <c r="A2526" i="1"/>
  <c r="A2527" i="1"/>
  <c r="D2527" i="1"/>
  <c r="A2528" i="1"/>
  <c r="D2528" i="1"/>
  <c r="A2529" i="1"/>
  <c r="A2530" i="1"/>
  <c r="A2531" i="1"/>
  <c r="D2531" i="1"/>
  <c r="A2532" i="1"/>
  <c r="A2534" i="1"/>
  <c r="D2534" i="1"/>
  <c r="A2535" i="1"/>
  <c r="A2536" i="1"/>
  <c r="D2536" i="1"/>
  <c r="A2537" i="1"/>
  <c r="D2537" i="1"/>
  <c r="A2538" i="1"/>
  <c r="D2538" i="1"/>
  <c r="A2539" i="1"/>
  <c r="D2539" i="1"/>
  <c r="A2540" i="1"/>
  <c r="D2540" i="1"/>
  <c r="A2541" i="1"/>
  <c r="D2541" i="1"/>
  <c r="A2542" i="1"/>
  <c r="D2542" i="1"/>
  <c r="A2543" i="1"/>
  <c r="D2543" i="1"/>
  <c r="A2544" i="1"/>
  <c r="D2544" i="1"/>
  <c r="A2545" i="1"/>
  <c r="D2545" i="1"/>
  <c r="A2546" i="1"/>
  <c r="D2546" i="1"/>
  <c r="A2547" i="1"/>
  <c r="D2547" i="1"/>
  <c r="A2548" i="1"/>
  <c r="D2548" i="1"/>
  <c r="A2549" i="1"/>
  <c r="D2549" i="1"/>
  <c r="A2550" i="1"/>
  <c r="D2550" i="1"/>
  <c r="A2551" i="1"/>
  <c r="D2551" i="1"/>
  <c r="A2552" i="1"/>
  <c r="D2552" i="1"/>
  <c r="A2553" i="1"/>
  <c r="D2553" i="1"/>
  <c r="A2554" i="1"/>
  <c r="D2554" i="1"/>
  <c r="A2555" i="1"/>
  <c r="D2555" i="1"/>
  <c r="A2556" i="1"/>
  <c r="D2556" i="1"/>
  <c r="A2557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7" i="1"/>
  <c r="A2578" i="1"/>
  <c r="A2579" i="1"/>
  <c r="D2579" i="1"/>
  <c r="A2580" i="1"/>
  <c r="A2581" i="1"/>
  <c r="D2581" i="1"/>
  <c r="A2582" i="1"/>
  <c r="A2583" i="1"/>
  <c r="A2585" i="1"/>
  <c r="D2585" i="1"/>
  <c r="A2586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10" i="1"/>
  <c r="A2611" i="1"/>
  <c r="D2611" i="1"/>
  <c r="A2612" i="1"/>
  <c r="A2613" i="1"/>
  <c r="D2613" i="1"/>
  <c r="A2614" i="1"/>
  <c r="A2616" i="1"/>
  <c r="D2616" i="1"/>
  <c r="A2617" i="1"/>
  <c r="D2617" i="1"/>
  <c r="A2618" i="1"/>
  <c r="D2618" i="1"/>
  <c r="A2619" i="1"/>
  <c r="A2620" i="1"/>
  <c r="D2620" i="1"/>
  <c r="A2621" i="1"/>
  <c r="D2621" i="1"/>
  <c r="A2622" i="1"/>
  <c r="A2623" i="1"/>
  <c r="D2623" i="1"/>
  <c r="A2624" i="1"/>
  <c r="D2624" i="1"/>
  <c r="A2625" i="1"/>
  <c r="D2625" i="1"/>
  <c r="A2626" i="1"/>
  <c r="D2626" i="1"/>
  <c r="A2627" i="1"/>
  <c r="D2627" i="1"/>
  <c r="A2628" i="1"/>
  <c r="D2628" i="1"/>
  <c r="A2629" i="1"/>
  <c r="A2630" i="1"/>
  <c r="D2630" i="1"/>
  <c r="A2631" i="1"/>
  <c r="D2631" i="1"/>
  <c r="A2632" i="1"/>
  <c r="D2632" i="1"/>
  <c r="A2633" i="1"/>
  <c r="D2633" i="1"/>
  <c r="A2634" i="1"/>
  <c r="A2635" i="1"/>
  <c r="D2635" i="1"/>
  <c r="A2636" i="1"/>
  <c r="D2636" i="1"/>
  <c r="A2637" i="1"/>
  <c r="D2637" i="1"/>
  <c r="A2638" i="1"/>
  <c r="D2638" i="1"/>
  <c r="A2639" i="1"/>
  <c r="D2639" i="1"/>
  <c r="A2640" i="1"/>
  <c r="D2640" i="1"/>
  <c r="A2641" i="1"/>
  <c r="D2641" i="1"/>
  <c r="A2642" i="1"/>
  <c r="D2642" i="1"/>
  <c r="A2643" i="1"/>
  <c r="D2643" i="1"/>
  <c r="A2644" i="1"/>
  <c r="D2644" i="1"/>
  <c r="A2645" i="1"/>
  <c r="D2645" i="1"/>
  <c r="A2646" i="1"/>
  <c r="D2646" i="1"/>
  <c r="A2647" i="1"/>
  <c r="A2648" i="1"/>
  <c r="D2648" i="1"/>
  <c r="A2649" i="1"/>
  <c r="D2649" i="1"/>
  <c r="A2650" i="1"/>
  <c r="D2650" i="1"/>
  <c r="A2651" i="1"/>
  <c r="D2651" i="1"/>
  <c r="A2652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80" i="1"/>
  <c r="D2680" i="1"/>
  <c r="A2681" i="1"/>
  <c r="A2682" i="1"/>
  <c r="A2683" i="1"/>
  <c r="A2684" i="1"/>
  <c r="D2684" i="1"/>
  <c r="A2685" i="1"/>
  <c r="D2685" i="1"/>
  <c r="A2686" i="1"/>
  <c r="A2687" i="1"/>
  <c r="A2688" i="1"/>
  <c r="A2689" i="1"/>
  <c r="A2690" i="1"/>
  <c r="D2690" i="1"/>
  <c r="A2691" i="1"/>
  <c r="A2693" i="1"/>
  <c r="D2693" i="1"/>
  <c r="A2694" i="1"/>
  <c r="D2694" i="1"/>
  <c r="A2695" i="1"/>
  <c r="D2695" i="1"/>
  <c r="A2696" i="1"/>
  <c r="D2696" i="1"/>
  <c r="A2697" i="1"/>
  <c r="D2697" i="1"/>
  <c r="A2698" i="1"/>
  <c r="D2698" i="1"/>
  <c r="A2699" i="1"/>
  <c r="D2699" i="1"/>
  <c r="A2700" i="1"/>
  <c r="D2700" i="1"/>
  <c r="A2701" i="1"/>
  <c r="D2701" i="1"/>
  <c r="A2702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7" i="1"/>
  <c r="D2727" i="1"/>
  <c r="A2728" i="1"/>
  <c r="D2728" i="1"/>
  <c r="A2729" i="1"/>
  <c r="D2729" i="1"/>
  <c r="A2730" i="1"/>
  <c r="A2731" i="1"/>
  <c r="A2732" i="1"/>
  <c r="D2732" i="1"/>
  <c r="A2733" i="1"/>
  <c r="A2734" i="1"/>
  <c r="A2735" i="1"/>
  <c r="D2735" i="1"/>
  <c r="A2736" i="1"/>
  <c r="D2736" i="1"/>
  <c r="A2737" i="1"/>
  <c r="D2737" i="1"/>
  <c r="A2738" i="1"/>
  <c r="A2739" i="1"/>
  <c r="D2739" i="1"/>
  <c r="A2740" i="1"/>
  <c r="D2740" i="1"/>
  <c r="A2741" i="1"/>
  <c r="D2741" i="1"/>
  <c r="A2742" i="1"/>
  <c r="A2743" i="1"/>
  <c r="A2744" i="1"/>
  <c r="A2745" i="1"/>
  <c r="A2746" i="1"/>
  <c r="D2746" i="1"/>
  <c r="A2747" i="1"/>
  <c r="D2747" i="1"/>
  <c r="A2748" i="1"/>
  <c r="A2750" i="1"/>
  <c r="D2750" i="1"/>
  <c r="A2751" i="1"/>
  <c r="A2752" i="1"/>
  <c r="D2752" i="1"/>
  <c r="A2753" i="1"/>
  <c r="D2753" i="1"/>
  <c r="A2754" i="1"/>
  <c r="A2755" i="1"/>
  <c r="D2755" i="1"/>
  <c r="A2756" i="1"/>
  <c r="D2756" i="1"/>
  <c r="A2757" i="1"/>
  <c r="D2757" i="1"/>
  <c r="A2758" i="1"/>
  <c r="D2758" i="1"/>
  <c r="A2759" i="1"/>
  <c r="D2759" i="1"/>
  <c r="A2760" i="1"/>
  <c r="A2761" i="1"/>
  <c r="D2761" i="1"/>
  <c r="A2762" i="1"/>
  <c r="D2762" i="1"/>
  <c r="A2763" i="1"/>
  <c r="D2763" i="1"/>
  <c r="A2764" i="1"/>
  <c r="D2764" i="1"/>
  <c r="A2765" i="1"/>
  <c r="D2765" i="1"/>
  <c r="A2766" i="1"/>
  <c r="D2766" i="1"/>
  <c r="A2767" i="1"/>
  <c r="D2767" i="1"/>
  <c r="A2768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4" i="1"/>
  <c r="A2795" i="1"/>
  <c r="A2796" i="1"/>
  <c r="D2796" i="1"/>
  <c r="A2797" i="1"/>
  <c r="D2797" i="1"/>
  <c r="A2798" i="1"/>
  <c r="A2799" i="1"/>
  <c r="A2800" i="1"/>
  <c r="A2801" i="1"/>
  <c r="D2801" i="1"/>
  <c r="A2802" i="1"/>
  <c r="A2803" i="1"/>
  <c r="D2803" i="1"/>
  <c r="A2804" i="1"/>
  <c r="A2805" i="1"/>
  <c r="D2805" i="1"/>
  <c r="A2806" i="1"/>
  <c r="A2807" i="1"/>
  <c r="D2807" i="1"/>
  <c r="A2808" i="1"/>
  <c r="A2809" i="1"/>
  <c r="D2809" i="1"/>
  <c r="A2810" i="1"/>
  <c r="D2810" i="1"/>
  <c r="A2811" i="1"/>
  <c r="A2812" i="1"/>
  <c r="D2812" i="1"/>
  <c r="A2813" i="1"/>
  <c r="A2814" i="1"/>
  <c r="D2814" i="1"/>
  <c r="A2815" i="1"/>
  <c r="D2815" i="1"/>
  <c r="A2816" i="1"/>
  <c r="D2816" i="1"/>
  <c r="A2817" i="1"/>
  <c r="D2817" i="1"/>
  <c r="A2818" i="1"/>
  <c r="A2819" i="1"/>
  <c r="D2819" i="1"/>
  <c r="A2820" i="1"/>
  <c r="A2821" i="1"/>
  <c r="D2821" i="1"/>
  <c r="A2822" i="1"/>
  <c r="A2824" i="1"/>
  <c r="D2824" i="1"/>
  <c r="A2825" i="1"/>
  <c r="D2825" i="1"/>
  <c r="A2826" i="1"/>
  <c r="D2826" i="1"/>
  <c r="A2827" i="1"/>
  <c r="D2827" i="1"/>
  <c r="A2828" i="1"/>
  <c r="D2828" i="1"/>
  <c r="A2829" i="1"/>
  <c r="A2830" i="1"/>
  <c r="D2830" i="1"/>
  <c r="A2831" i="1"/>
  <c r="D2831" i="1"/>
  <c r="A2832" i="1"/>
  <c r="D2832" i="1"/>
  <c r="A2833" i="1"/>
  <c r="D2833" i="1"/>
  <c r="A2834" i="1"/>
  <c r="D2834" i="1"/>
  <c r="A2835" i="1"/>
  <c r="A2836" i="1"/>
  <c r="D2836" i="1"/>
  <c r="A2837" i="1"/>
  <c r="D2837" i="1"/>
  <c r="A2838" i="1"/>
  <c r="D2838" i="1"/>
  <c r="A2839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9" i="1"/>
  <c r="A2860" i="1"/>
  <c r="A2861" i="1"/>
  <c r="A2862" i="1"/>
  <c r="A2864" i="1"/>
  <c r="D2864" i="1"/>
  <c r="A2865" i="1"/>
  <c r="D2865" i="1"/>
  <c r="A2866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5" i="1"/>
  <c r="A2896" i="1"/>
  <c r="A2897" i="1"/>
  <c r="D2897" i="1"/>
  <c r="A2898" i="1"/>
  <c r="D2898" i="1"/>
  <c r="A2899" i="1"/>
  <c r="A2900" i="1"/>
  <c r="A2901" i="1"/>
  <c r="A2902" i="1"/>
  <c r="A2903" i="1"/>
  <c r="D2903" i="1"/>
  <c r="A2904" i="1"/>
  <c r="D2904" i="1"/>
  <c r="A2905" i="1"/>
  <c r="A2906" i="1"/>
  <c r="D2906" i="1"/>
  <c r="A2907" i="1"/>
  <c r="A2908" i="1"/>
  <c r="A2909" i="1"/>
  <c r="D2909" i="1"/>
  <c r="A2910" i="1"/>
  <c r="D2910" i="1"/>
  <c r="A2911" i="1"/>
  <c r="A2912" i="1"/>
  <c r="D2912" i="1"/>
  <c r="A2913" i="1"/>
  <c r="D2913" i="1"/>
  <c r="A2914" i="1"/>
  <c r="D2914" i="1"/>
  <c r="A2915" i="1"/>
  <c r="A2917" i="1"/>
  <c r="A2918" i="1"/>
  <c r="D2918" i="1"/>
  <c r="A2919" i="1"/>
  <c r="D2919" i="1"/>
  <c r="A2920" i="1"/>
  <c r="D2920" i="1"/>
  <c r="A2921" i="1"/>
  <c r="D2921" i="1"/>
  <c r="A2922" i="1"/>
  <c r="D2922" i="1"/>
  <c r="A2923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D2937" i="1"/>
  <c r="A2938" i="1"/>
  <c r="A2939" i="1"/>
  <c r="A2940" i="1"/>
  <c r="A2941" i="1"/>
  <c r="A2943" i="1"/>
  <c r="A2944" i="1"/>
  <c r="D2944" i="1"/>
  <c r="A2945" i="1"/>
  <c r="A2946" i="1"/>
  <c r="D2946" i="1"/>
  <c r="A2947" i="1"/>
  <c r="D2947" i="1"/>
  <c r="A2948" i="1"/>
  <c r="A2949" i="1"/>
  <c r="D2949" i="1"/>
  <c r="A2950" i="1"/>
  <c r="D2950" i="1"/>
  <c r="A2951" i="1"/>
  <c r="D2951" i="1"/>
  <c r="A2952" i="1"/>
  <c r="A2953" i="1"/>
  <c r="D2953" i="1"/>
  <c r="A2954" i="1"/>
  <c r="A2955" i="1"/>
  <c r="A2956" i="1"/>
  <c r="A2957" i="1"/>
  <c r="D2957" i="1"/>
  <c r="A2958" i="1"/>
  <c r="D2958" i="1"/>
  <c r="A2959" i="1"/>
  <c r="A2960" i="1"/>
  <c r="D2960" i="1"/>
  <c r="A2961" i="1"/>
  <c r="D2961" i="1"/>
  <c r="A2962" i="1"/>
  <c r="A2963" i="1"/>
  <c r="A2965" i="1"/>
  <c r="D2965" i="1"/>
  <c r="A2966" i="1"/>
  <c r="D2966" i="1"/>
  <c r="A2967" i="1"/>
  <c r="D2967" i="1"/>
  <c r="A2968" i="1"/>
  <c r="D2968" i="1"/>
  <c r="A2969" i="1"/>
  <c r="A2970" i="1"/>
  <c r="D2970" i="1"/>
  <c r="A2971" i="1"/>
  <c r="D2971" i="1"/>
  <c r="A2972" i="1"/>
  <c r="D2972" i="1"/>
  <c r="A2973" i="1"/>
  <c r="D2973" i="1"/>
  <c r="A2974" i="1"/>
  <c r="D2974" i="1"/>
  <c r="A2975" i="1"/>
  <c r="D2975" i="1"/>
  <c r="A2976" i="1"/>
  <c r="D2976" i="1"/>
  <c r="A2977" i="1"/>
  <c r="D2977" i="1"/>
  <c r="A2978" i="1"/>
  <c r="D2978" i="1"/>
  <c r="A2979" i="1"/>
  <c r="D2979" i="1"/>
  <c r="A2980" i="1"/>
  <c r="A2981" i="1"/>
  <c r="D2981" i="1"/>
  <c r="A2982" i="1"/>
  <c r="D2982" i="1"/>
  <c r="A2983" i="1"/>
  <c r="D2983" i="1"/>
  <c r="A2984" i="1"/>
  <c r="D2984" i="1"/>
  <c r="A2985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1" i="1"/>
  <c r="D3011" i="1"/>
  <c r="A3012" i="1"/>
  <c r="A3013" i="1"/>
  <c r="A3014" i="1"/>
  <c r="A3015" i="1"/>
  <c r="D3015" i="1"/>
  <c r="A3016" i="1"/>
  <c r="A3018" i="1"/>
  <c r="D3018" i="1"/>
  <c r="A3019" i="1"/>
  <c r="D3019" i="1"/>
  <c r="A3020" i="1"/>
  <c r="D3020" i="1"/>
  <c r="A3021" i="1"/>
  <c r="D3021" i="1"/>
  <c r="A3022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1" i="1"/>
  <c r="A3042" i="1"/>
  <c r="A3043" i="1"/>
  <c r="A3044" i="1"/>
  <c r="D3044" i="1"/>
  <c r="A3045" i="1"/>
  <c r="A3046" i="1"/>
  <c r="D3046" i="1"/>
  <c r="A3047" i="1"/>
  <c r="A3049" i="1"/>
  <c r="D3049" i="1"/>
  <c r="A3050" i="1"/>
  <c r="A3051" i="1"/>
  <c r="D3051" i="1"/>
  <c r="A3052" i="1"/>
  <c r="D3052" i="1"/>
  <c r="A3053" i="1"/>
  <c r="D3053" i="1"/>
  <c r="A3054" i="1"/>
  <c r="D3054" i="1"/>
  <c r="A3055" i="1"/>
  <c r="A3056" i="1"/>
  <c r="A3057" i="1"/>
  <c r="D3057" i="1"/>
  <c r="A3058" i="1"/>
  <c r="D3058" i="1"/>
  <c r="A3059" i="1"/>
  <c r="A3060" i="1"/>
  <c r="D3060" i="1"/>
  <c r="A3061" i="1"/>
  <c r="D3061" i="1"/>
  <c r="A3062" i="1"/>
  <c r="A3063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8" i="1"/>
  <c r="A3089" i="1"/>
  <c r="A3090" i="1"/>
  <c r="D3090" i="1"/>
  <c r="A3091" i="1"/>
  <c r="A3092" i="1"/>
  <c r="A3093" i="1"/>
  <c r="A3094" i="1"/>
  <c r="D3094" i="1"/>
  <c r="A3095" i="1"/>
  <c r="A3096" i="1"/>
  <c r="A3097" i="1"/>
  <c r="A3098" i="1"/>
  <c r="D3098" i="1"/>
  <c r="A3099" i="1"/>
  <c r="D3099" i="1"/>
  <c r="A3100" i="1"/>
  <c r="A3102" i="1"/>
  <c r="D3102" i="1"/>
  <c r="A3103" i="1"/>
  <c r="D3103" i="1"/>
  <c r="A3104" i="1"/>
  <c r="A3105" i="1"/>
  <c r="D3105" i="1"/>
  <c r="A3106" i="1"/>
  <c r="D3106" i="1"/>
  <c r="A3107" i="1"/>
  <c r="D3107" i="1"/>
  <c r="A3108" i="1"/>
  <c r="D3108" i="1"/>
  <c r="A3109" i="1"/>
  <c r="A3110" i="1"/>
  <c r="D3110" i="1"/>
  <c r="A3111" i="1"/>
  <c r="D3111" i="1"/>
  <c r="A3112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30" i="1"/>
  <c r="D3130" i="1"/>
  <c r="A3131" i="1"/>
  <c r="D3131" i="1"/>
  <c r="A3132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2" i="1"/>
  <c r="D3152" i="1"/>
  <c r="A3153" i="1"/>
  <c r="A3154" i="1"/>
  <c r="D3154" i="1"/>
  <c r="A3155" i="1"/>
  <c r="D3155" i="1"/>
  <c r="A3156" i="1"/>
  <c r="A3157" i="1"/>
  <c r="D3157" i="1"/>
  <c r="A3158" i="1"/>
  <c r="D3158" i="1"/>
  <c r="A3159" i="1"/>
  <c r="A3160" i="1"/>
  <c r="D3160" i="1"/>
  <c r="A3161" i="1"/>
  <c r="A3162" i="1"/>
  <c r="A3163" i="1"/>
  <c r="D3163" i="1"/>
  <c r="A3164" i="1"/>
  <c r="A3165" i="1"/>
  <c r="D3165" i="1"/>
  <c r="A3166" i="1"/>
  <c r="D3166" i="1"/>
  <c r="A3167" i="1"/>
  <c r="A3168" i="1"/>
  <c r="D3168" i="1"/>
  <c r="A3169" i="1"/>
  <c r="A3170" i="1"/>
  <c r="D3170" i="1"/>
  <c r="A3171" i="1"/>
  <c r="A3173" i="1"/>
  <c r="A3174" i="1"/>
  <c r="D3174" i="1"/>
  <c r="A3175" i="1"/>
  <c r="D3175" i="1"/>
  <c r="A3176" i="1"/>
  <c r="D3176" i="1"/>
  <c r="A3177" i="1"/>
  <c r="A3178" i="1"/>
  <c r="D3178" i="1"/>
  <c r="A3179" i="1"/>
  <c r="D3179" i="1"/>
  <c r="A3180" i="1"/>
  <c r="A3181" i="1"/>
  <c r="A3182" i="1"/>
  <c r="D3182" i="1"/>
  <c r="A3183" i="1"/>
  <c r="D3183" i="1"/>
  <c r="A3184" i="1"/>
  <c r="D3184" i="1"/>
  <c r="A3185" i="1"/>
  <c r="D3185" i="1"/>
  <c r="A3186" i="1"/>
  <c r="D3186" i="1"/>
  <c r="A3187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2" i="1"/>
  <c r="D3212" i="1"/>
  <c r="A3213" i="1"/>
  <c r="A3214" i="1"/>
  <c r="D3214" i="1"/>
  <c r="A3215" i="1"/>
  <c r="D3215" i="1"/>
  <c r="A3216" i="1"/>
  <c r="A3218" i="1"/>
  <c r="A3219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5" i="1"/>
  <c r="D3235" i="1"/>
  <c r="A3236" i="1"/>
  <c r="D3236" i="1"/>
  <c r="A3237" i="1"/>
  <c r="D3237" i="1"/>
  <c r="A3238" i="1"/>
  <c r="D3238" i="1"/>
  <c r="A3239" i="1"/>
  <c r="A3240" i="1"/>
  <c r="D3240" i="1"/>
  <c r="A3241" i="1"/>
  <c r="D3241" i="1"/>
  <c r="A3242" i="1"/>
  <c r="D3242" i="1"/>
  <c r="A3243" i="1"/>
  <c r="A3244" i="1"/>
  <c r="D3244" i="1"/>
  <c r="A3245" i="1"/>
  <c r="D3245" i="1"/>
  <c r="A3246" i="1"/>
  <c r="D3246" i="1"/>
  <c r="A3247" i="1"/>
  <c r="D3247" i="1"/>
  <c r="A3248" i="1"/>
  <c r="D3248" i="1"/>
  <c r="A3249" i="1"/>
  <c r="A3250" i="1"/>
  <c r="A3251" i="1"/>
  <c r="D3251" i="1"/>
  <c r="A3252" i="1"/>
  <c r="A3253" i="1"/>
  <c r="D3253" i="1"/>
  <c r="A3254" i="1"/>
  <c r="D3254" i="1"/>
  <c r="A3255" i="1"/>
  <c r="D3255" i="1"/>
  <c r="A3256" i="1"/>
  <c r="D3256" i="1"/>
  <c r="A3257" i="1"/>
  <c r="D3257" i="1"/>
  <c r="A3258" i="1"/>
  <c r="A3260" i="1"/>
  <c r="D3260" i="1"/>
  <c r="A3261" i="1"/>
  <c r="D3261" i="1"/>
  <c r="A3262" i="1"/>
  <c r="D3262" i="1"/>
  <c r="A3263" i="1"/>
  <c r="D3263" i="1"/>
  <c r="A3264" i="1"/>
  <c r="D3264" i="1"/>
  <c r="A3265" i="1"/>
  <c r="A3266" i="1"/>
  <c r="A3267" i="1"/>
  <c r="D3267" i="1"/>
  <c r="A3268" i="1"/>
  <c r="D3268" i="1"/>
  <c r="A3269" i="1"/>
  <c r="D3269" i="1"/>
  <c r="A3270" i="1"/>
  <c r="D3270" i="1"/>
  <c r="A3271" i="1"/>
  <c r="D3271" i="1"/>
  <c r="A3272" i="1"/>
  <c r="D3272" i="1"/>
  <c r="A3273" i="1"/>
  <c r="D3273" i="1"/>
  <c r="A3274" i="1"/>
  <c r="D3274" i="1"/>
  <c r="A3275" i="1"/>
  <c r="D3275" i="1"/>
  <c r="A3276" i="1"/>
  <c r="D3276" i="1"/>
  <c r="A3277" i="1"/>
  <c r="D3277" i="1"/>
  <c r="A3278" i="1"/>
  <c r="D3278" i="1"/>
  <c r="A3279" i="1"/>
  <c r="D3279" i="1"/>
  <c r="A3280" i="1"/>
  <c r="D3280" i="1"/>
  <c r="A3281" i="1"/>
  <c r="A3284" i="1"/>
  <c r="D3284" i="1"/>
  <c r="A3285" i="1"/>
  <c r="A3286" i="1"/>
  <c r="A3287" i="1"/>
  <c r="A3288" i="1"/>
  <c r="A3289" i="1"/>
  <c r="A3290" i="1"/>
  <c r="A3291" i="1"/>
  <c r="A3292" i="1"/>
  <c r="A3294" i="1"/>
  <c r="D3294" i="1"/>
  <c r="A3295" i="1"/>
  <c r="A3296" i="1"/>
  <c r="A3297" i="1"/>
  <c r="A3298" i="1"/>
  <c r="D3298" i="1"/>
  <c r="A3299" i="1"/>
  <c r="A3300" i="1"/>
  <c r="A3301" i="1"/>
  <c r="D3301" i="1"/>
  <c r="A3302" i="1"/>
  <c r="D3302" i="1"/>
  <c r="A3303" i="1"/>
  <c r="A3304" i="1"/>
  <c r="D3304" i="1"/>
  <c r="A3305" i="1"/>
  <c r="D3305" i="1"/>
  <c r="A3306" i="1"/>
  <c r="D3306" i="1"/>
  <c r="A3307" i="1"/>
  <c r="A3308" i="1"/>
  <c r="D3308" i="1"/>
  <c r="A3309" i="1"/>
  <c r="A3310" i="1"/>
  <c r="D3310" i="1"/>
  <c r="A3311" i="1"/>
  <c r="D3311" i="1"/>
  <c r="A3312" i="1"/>
  <c r="A3313" i="1"/>
  <c r="D3313" i="1"/>
  <c r="A3314" i="1"/>
  <c r="A3315" i="1"/>
  <c r="D3315" i="1"/>
  <c r="A3316" i="1"/>
  <c r="D3316" i="1"/>
  <c r="A3317" i="1"/>
  <c r="D3317" i="1"/>
  <c r="A3318" i="1"/>
  <c r="D3318" i="1"/>
  <c r="A3319" i="1"/>
  <c r="D3319" i="1"/>
  <c r="A3320" i="1"/>
  <c r="D3320" i="1"/>
  <c r="A3321" i="1"/>
  <c r="D3321" i="1"/>
  <c r="A3322" i="1"/>
  <c r="D3322" i="1"/>
  <c r="A3323" i="1"/>
  <c r="D3323" i="1"/>
  <c r="A3324" i="1"/>
  <c r="D3324" i="1"/>
  <c r="A3325" i="1"/>
  <c r="D3325" i="1"/>
  <c r="A3326" i="1"/>
  <c r="D3326" i="1"/>
  <c r="A3327" i="1"/>
  <c r="D3327" i="1"/>
  <c r="A3328" i="1"/>
  <c r="D3328" i="1"/>
  <c r="A3329" i="1"/>
  <c r="A3330" i="1"/>
  <c r="A3331" i="1"/>
  <c r="D3331" i="1"/>
  <c r="A3332" i="1"/>
  <c r="D3332" i="1"/>
  <c r="A3333" i="1"/>
  <c r="A3334" i="1"/>
  <c r="A3335" i="1"/>
  <c r="A3336" i="1"/>
  <c r="A3337" i="1"/>
  <c r="D3337" i="1"/>
  <c r="A3338" i="1"/>
  <c r="D3338" i="1"/>
  <c r="A3339" i="1"/>
  <c r="D3339" i="1"/>
  <c r="A3340" i="1"/>
  <c r="A3341" i="1"/>
  <c r="A3342" i="1"/>
  <c r="D3342" i="1"/>
  <c r="A3343" i="1"/>
  <c r="D3343" i="1"/>
  <c r="A3344" i="1"/>
  <c r="A3345" i="1"/>
  <c r="A3346" i="1"/>
  <c r="A3347" i="1"/>
  <c r="D3347" i="1"/>
  <c r="A3348" i="1"/>
  <c r="A3350" i="1"/>
  <c r="D3350" i="1"/>
  <c r="A3351" i="1"/>
  <c r="D3351" i="1"/>
  <c r="A3352" i="1"/>
  <c r="D3352" i="1"/>
  <c r="A3353" i="1"/>
  <c r="D3353" i="1"/>
  <c r="A3354" i="1"/>
  <c r="D3354" i="1"/>
  <c r="A3355" i="1"/>
  <c r="A3356" i="1"/>
  <c r="A3357" i="1"/>
  <c r="A3358" i="1"/>
  <c r="D3358" i="1"/>
  <c r="A3359" i="1"/>
  <c r="A3360" i="1"/>
  <c r="D3360" i="1"/>
  <c r="A3361" i="1"/>
  <c r="D3361" i="1"/>
  <c r="A3362" i="1"/>
  <c r="D3362" i="1"/>
  <c r="A3363" i="1"/>
  <c r="A3364" i="1"/>
  <c r="D3364" i="1"/>
  <c r="A3365" i="1"/>
  <c r="D3365" i="1"/>
  <c r="A3366" i="1"/>
  <c r="D3366" i="1"/>
  <c r="A3367" i="1"/>
  <c r="D3367" i="1"/>
  <c r="A3368" i="1"/>
  <c r="A3369" i="1"/>
  <c r="A3370" i="1"/>
  <c r="D3370" i="1"/>
  <c r="A3371" i="1"/>
  <c r="D3371" i="1"/>
  <c r="A3372" i="1"/>
  <c r="D3372" i="1"/>
  <c r="A3373" i="1"/>
  <c r="D3373" i="1"/>
  <c r="A3374" i="1"/>
  <c r="D3374" i="1"/>
  <c r="A3375" i="1"/>
  <c r="D3375" i="1"/>
  <c r="A3376" i="1"/>
  <c r="D3376" i="1"/>
  <c r="A3377" i="1"/>
  <c r="D3377" i="1"/>
  <c r="A3378" i="1"/>
  <c r="D3378" i="1"/>
  <c r="A3379" i="1"/>
  <c r="D3379" i="1"/>
  <c r="A3380" i="1"/>
  <c r="D3380" i="1"/>
  <c r="A3381" i="1"/>
  <c r="D3381" i="1"/>
  <c r="A3382" i="1"/>
  <c r="D3382" i="1"/>
  <c r="A3383" i="1"/>
  <c r="D3383" i="1"/>
  <c r="A3384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10" i="1"/>
  <c r="A3411" i="1"/>
  <c r="A3412" i="1"/>
  <c r="D3412" i="1"/>
  <c r="A3413" i="1"/>
  <c r="A3414" i="1"/>
  <c r="A3415" i="1"/>
  <c r="A3416" i="1"/>
  <c r="A3418" i="1"/>
  <c r="D3418" i="1"/>
  <c r="A3419" i="1"/>
  <c r="D3419" i="1"/>
  <c r="A3420" i="1"/>
  <c r="A3421" i="1"/>
  <c r="D3421" i="1"/>
  <c r="A3422" i="1"/>
  <c r="D3422" i="1"/>
  <c r="A3423" i="1"/>
  <c r="A3424" i="1"/>
  <c r="A3425" i="1"/>
  <c r="D3425" i="1"/>
  <c r="A3426" i="1"/>
  <c r="D3426" i="1"/>
  <c r="A3427" i="1"/>
  <c r="D3427" i="1"/>
  <c r="A3428" i="1"/>
  <c r="A3429" i="1"/>
  <c r="D3429" i="1"/>
  <c r="A3430" i="1"/>
  <c r="D3430" i="1"/>
  <c r="A3431" i="1"/>
  <c r="D3431" i="1"/>
  <c r="A3432" i="1"/>
  <c r="D3432" i="1"/>
  <c r="A3433" i="1"/>
  <c r="D3433" i="1"/>
  <c r="A3434" i="1"/>
  <c r="A3435" i="1"/>
  <c r="D3435" i="1"/>
  <c r="A3436" i="1"/>
  <c r="D3436" i="1"/>
  <c r="A3437" i="1"/>
  <c r="D3437" i="1"/>
  <c r="A3438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60" i="1"/>
  <c r="A3461" i="1"/>
  <c r="D3461" i="1"/>
  <c r="A3462" i="1"/>
  <c r="A3463" i="1"/>
  <c r="A3464" i="1"/>
  <c r="D3464" i="1"/>
  <c r="A3465" i="1"/>
  <c r="A3466" i="1"/>
  <c r="A3467" i="1"/>
  <c r="A3469" i="1"/>
  <c r="A3470" i="1"/>
  <c r="A3473" i="1"/>
  <c r="D3473" i="1"/>
  <c r="A3474" i="1"/>
  <c r="A3475" i="1"/>
  <c r="A3476" i="1"/>
  <c r="D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1" i="1"/>
  <c r="D3491" i="1"/>
  <c r="A3492" i="1"/>
  <c r="D3492" i="1"/>
  <c r="A3493" i="1"/>
  <c r="D3493" i="1"/>
  <c r="A3494" i="1"/>
  <c r="D3494" i="1"/>
  <c r="A3495" i="1"/>
  <c r="D3495" i="1"/>
  <c r="A3496" i="1"/>
  <c r="A3497" i="1"/>
  <c r="D3497" i="1"/>
  <c r="A3498" i="1"/>
  <c r="A3500" i="1"/>
  <c r="D3500" i="1"/>
  <c r="A3501" i="1"/>
  <c r="A3502" i="1"/>
  <c r="D3502" i="1"/>
  <c r="A3503" i="1"/>
  <c r="D3503" i="1"/>
  <c r="A3504" i="1"/>
  <c r="D3504" i="1"/>
  <c r="A3505" i="1"/>
  <c r="D3505" i="1"/>
  <c r="A3506" i="1"/>
  <c r="A3507" i="1"/>
  <c r="D3507" i="1"/>
  <c r="A3508" i="1"/>
  <c r="D3508" i="1"/>
  <c r="A3509" i="1"/>
  <c r="D3509" i="1"/>
  <c r="A3510" i="1"/>
  <c r="D3510" i="1"/>
  <c r="A3511" i="1"/>
  <c r="D3511" i="1"/>
  <c r="A3512" i="1"/>
  <c r="D3512" i="1"/>
  <c r="A3513" i="1"/>
  <c r="D3513" i="1"/>
  <c r="A3514" i="1"/>
  <c r="A3515" i="1"/>
  <c r="D3515" i="1"/>
  <c r="A3516" i="1"/>
  <c r="A3517" i="1"/>
  <c r="D3517" i="1"/>
  <c r="A3518" i="1"/>
  <c r="D3518" i="1"/>
  <c r="A3519" i="1"/>
  <c r="D3519" i="1"/>
  <c r="A3520" i="1"/>
  <c r="D3520" i="1"/>
  <c r="A3521" i="1"/>
  <c r="D3521" i="1"/>
  <c r="A3522" i="1"/>
  <c r="D3522" i="1"/>
  <c r="A3523" i="1"/>
  <c r="D3523" i="1"/>
  <c r="A3524" i="1"/>
  <c r="D3524" i="1"/>
  <c r="A3525" i="1"/>
  <c r="D3525" i="1"/>
  <c r="A3526" i="1"/>
  <c r="D3526" i="1"/>
  <c r="A3527" i="1"/>
  <c r="D3527" i="1"/>
  <c r="A3528" i="1"/>
  <c r="D3528" i="1"/>
  <c r="A3529" i="1"/>
  <c r="D3529" i="1"/>
  <c r="A3530" i="1"/>
  <c r="D3530" i="1"/>
  <c r="A3531" i="1"/>
  <c r="D3531" i="1"/>
  <c r="A3532" i="1"/>
  <c r="D3532" i="1"/>
  <c r="A3533" i="1"/>
  <c r="D3533" i="1"/>
  <c r="A3534" i="1"/>
  <c r="D3534" i="1"/>
  <c r="A3535" i="1"/>
  <c r="D3535" i="1"/>
  <c r="A3536" i="1"/>
  <c r="D3536" i="1"/>
  <c r="A3537" i="1"/>
  <c r="D3537" i="1"/>
  <c r="A3538" i="1"/>
  <c r="D3538" i="1"/>
  <c r="A3539" i="1"/>
  <c r="D3539" i="1"/>
  <c r="A3540" i="1"/>
  <c r="D3540" i="1"/>
  <c r="A3541" i="1"/>
  <c r="D3541" i="1"/>
  <c r="A3542" i="1"/>
  <c r="D3542" i="1"/>
  <c r="A3543" i="1"/>
  <c r="D3543" i="1"/>
  <c r="A3544" i="1"/>
  <c r="D3544" i="1"/>
  <c r="A3545" i="1"/>
  <c r="D3545" i="1"/>
  <c r="A3546" i="1"/>
  <c r="D3546" i="1"/>
  <c r="A3547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3" i="1"/>
  <c r="A3574" i="1"/>
  <c r="D3574" i="1"/>
  <c r="A3575" i="1"/>
  <c r="D3575" i="1"/>
  <c r="A3576" i="1"/>
  <c r="D3576" i="1"/>
  <c r="A3577" i="1"/>
  <c r="A3578" i="1"/>
  <c r="D3578" i="1"/>
  <c r="A3579" i="1"/>
  <c r="D3579" i="1"/>
  <c r="A3580" i="1"/>
  <c r="D3580" i="1"/>
  <c r="A3581" i="1"/>
  <c r="A3582" i="1"/>
  <c r="A3583" i="1"/>
  <c r="A3584" i="1"/>
  <c r="D3584" i="1"/>
  <c r="A3585" i="1"/>
  <c r="A3586" i="1"/>
  <c r="A3587" i="1"/>
  <c r="D3587" i="1"/>
  <c r="A3588" i="1"/>
  <c r="D3588" i="1"/>
  <c r="A3589" i="1"/>
  <c r="A3591" i="1"/>
  <c r="D3591" i="1"/>
  <c r="A3592" i="1"/>
  <c r="D3592" i="1"/>
  <c r="A3593" i="1"/>
  <c r="D3593" i="1"/>
  <c r="A3594" i="1"/>
  <c r="D3594" i="1"/>
  <c r="A3595" i="1"/>
  <c r="D3595" i="1"/>
  <c r="A3596" i="1"/>
  <c r="D3596" i="1"/>
  <c r="A3597" i="1"/>
  <c r="D3597" i="1"/>
  <c r="A3598" i="1"/>
  <c r="D3598" i="1"/>
  <c r="A3599" i="1"/>
  <c r="D3599" i="1"/>
  <c r="A3600" i="1"/>
  <c r="A3601" i="1"/>
  <c r="D3601" i="1"/>
  <c r="A3602" i="1"/>
  <c r="D3602" i="1"/>
  <c r="A3603" i="1"/>
  <c r="A3604" i="1"/>
  <c r="D3604" i="1"/>
  <c r="A3605" i="1"/>
  <c r="A3606" i="1"/>
  <c r="D3606" i="1"/>
  <c r="A3607" i="1"/>
  <c r="D3607" i="1"/>
  <c r="A3608" i="1"/>
  <c r="D3608" i="1"/>
  <c r="A3609" i="1"/>
  <c r="A3612" i="1"/>
</calcChain>
</file>

<file path=xl/sharedStrings.xml><?xml version="1.0" encoding="utf-8"?>
<sst xmlns="http://schemas.openxmlformats.org/spreadsheetml/2006/main" count="18514" uniqueCount="1368">
  <si>
    <t>Wisconsin Department of Revenue</t>
  </si>
  <si>
    <t>2026 Report Used for Apportionment of County Levy</t>
  </si>
  <si>
    <t>COMUNI #</t>
  </si>
  <si>
    <t xml:space="preserve"> TID #</t>
  </si>
  <si>
    <t xml:space="preserve"> BASE YEAR</t>
  </si>
  <si>
    <t xml:space="preserve"> BASE VAL</t>
  </si>
  <si>
    <t xml:space="preserve"> CURR VAL</t>
  </si>
  <si>
    <t xml:space="preserve"> INCREMENT VAL</t>
  </si>
  <si>
    <t xml:space="preserve"> EQ VAL LESS INCREMENT</t>
  </si>
  <si>
    <t xml:space="preserve">TOWN OF        </t>
  </si>
  <si>
    <t xml:space="preserve">ADAMS                         </t>
  </si>
  <si>
    <t xml:space="preserve">       </t>
  </si>
  <si>
    <t xml:space="preserve">    </t>
  </si>
  <si>
    <t xml:space="preserve">          </t>
  </si>
  <si>
    <t xml:space="preserve">BIG FLATS                     </t>
  </si>
  <si>
    <t xml:space="preserve">COLBURN                       </t>
  </si>
  <si>
    <t xml:space="preserve">DELL PRAIRIE                  </t>
  </si>
  <si>
    <t xml:space="preserve">EASTON                        </t>
  </si>
  <si>
    <t xml:space="preserve">JACKSON                       </t>
  </si>
  <si>
    <t xml:space="preserve">LEOLA                         </t>
  </si>
  <si>
    <t xml:space="preserve">LINCOLN                       </t>
  </si>
  <si>
    <t xml:space="preserve">MONROE                        </t>
  </si>
  <si>
    <t xml:space="preserve">NEW CHESTER                   </t>
  </si>
  <si>
    <t xml:space="preserve">NEW HAVEN                     </t>
  </si>
  <si>
    <t xml:space="preserve">PRESTON                       </t>
  </si>
  <si>
    <t xml:space="preserve">QUINCY                        </t>
  </si>
  <si>
    <t xml:space="preserve">RICHFIELD                     </t>
  </si>
  <si>
    <t xml:space="preserve">ROME                          </t>
  </si>
  <si>
    <t xml:space="preserve">SPRINGVILLE                   </t>
  </si>
  <si>
    <t xml:space="preserve">STRONGS PRAIRIE               </t>
  </si>
  <si>
    <t xml:space="preserve">        </t>
  </si>
  <si>
    <t xml:space="preserve">TOWN TOTAL     </t>
  </si>
  <si>
    <t xml:space="preserve">                              </t>
  </si>
  <si>
    <t xml:space="preserve">VILLAGE OF     </t>
  </si>
  <si>
    <t xml:space="preserve">FRIENDSHIP                    </t>
  </si>
  <si>
    <t xml:space="preserve">VILLAGE TOTAL  </t>
  </si>
  <si>
    <t xml:space="preserve">CITY OF        </t>
  </si>
  <si>
    <t xml:space="preserve">WISCONSIN DELLS               </t>
  </si>
  <si>
    <t xml:space="preserve">CITY TOTAL     </t>
  </si>
  <si>
    <t xml:space="preserve">COUNTY TOTAL   </t>
  </si>
  <si>
    <t xml:space="preserve">AGENDA                        </t>
  </si>
  <si>
    <t xml:space="preserve">ASHLAND                       </t>
  </si>
  <si>
    <t xml:space="preserve">CHIPPEWA                      </t>
  </si>
  <si>
    <t xml:space="preserve">GINGLES                       </t>
  </si>
  <si>
    <t xml:space="preserve">GORDON                        </t>
  </si>
  <si>
    <t xml:space="preserve">JACOBS                        </t>
  </si>
  <si>
    <t xml:space="preserve">LA POINTE                     </t>
  </si>
  <si>
    <t xml:space="preserve">MARENGO                       </t>
  </si>
  <si>
    <t xml:space="preserve">MORSE                         </t>
  </si>
  <si>
    <t xml:space="preserve">PEEKSVILLE                    </t>
  </si>
  <si>
    <t xml:space="preserve">SANBORN                       </t>
  </si>
  <si>
    <t xml:space="preserve">SHANAGOLDEN                   </t>
  </si>
  <si>
    <t xml:space="preserve">WHITE RIVER                   </t>
  </si>
  <si>
    <t xml:space="preserve">BUTTERNUT                     </t>
  </si>
  <si>
    <t xml:space="preserve">MELLEN                        </t>
  </si>
  <si>
    <t xml:space="preserve">ALMENA                        </t>
  </si>
  <si>
    <t xml:space="preserve">ARLAND                        </t>
  </si>
  <si>
    <t xml:space="preserve">BARRON                        </t>
  </si>
  <si>
    <t xml:space="preserve">BEAR LAKE                     </t>
  </si>
  <si>
    <t xml:space="preserve">CEDAR LAKE                    </t>
  </si>
  <si>
    <t xml:space="preserve">CHETEK                        </t>
  </si>
  <si>
    <t xml:space="preserve">CLINTON                       </t>
  </si>
  <si>
    <t xml:space="preserve">CRYSTAL LAKE                  </t>
  </si>
  <si>
    <t xml:space="preserve">CUMBERLAND                    </t>
  </si>
  <si>
    <t xml:space="preserve">DALLAS                        </t>
  </si>
  <si>
    <t xml:space="preserve">DOVRE                         </t>
  </si>
  <si>
    <t xml:space="preserve">DOYLE                         </t>
  </si>
  <si>
    <t xml:space="preserve">LAKELAND                      </t>
  </si>
  <si>
    <t xml:space="preserve">MAPLE GROVE                   </t>
  </si>
  <si>
    <t xml:space="preserve">MAPLE PLAIN                   </t>
  </si>
  <si>
    <t xml:space="preserve">OAK GROVE                     </t>
  </si>
  <si>
    <t xml:space="preserve">PRAIRIE FARM                  </t>
  </si>
  <si>
    <t xml:space="preserve">PRAIRIE LAKE                  </t>
  </si>
  <si>
    <t xml:space="preserve">RICE LAKE                     </t>
  </si>
  <si>
    <t xml:space="preserve">SIOUX CREEK                   </t>
  </si>
  <si>
    <t xml:space="preserve">STANFOLD                      </t>
  </si>
  <si>
    <t xml:space="preserve">STANLEY                       </t>
  </si>
  <si>
    <t xml:space="preserve">SUMNER                        </t>
  </si>
  <si>
    <t xml:space="preserve">TURTLE LAKE                   </t>
  </si>
  <si>
    <t xml:space="preserve">VANCE CREEK                   </t>
  </si>
  <si>
    <t xml:space="preserve">CAMERON                       </t>
  </si>
  <si>
    <t xml:space="preserve">HAUGEN                        </t>
  </si>
  <si>
    <t xml:space="preserve">NEW AUBURN                    </t>
  </si>
  <si>
    <t xml:space="preserve">BARKSDALE                     </t>
  </si>
  <si>
    <t xml:space="preserve">BARNES                        </t>
  </si>
  <si>
    <t xml:space="preserve">BAYFIELD                      </t>
  </si>
  <si>
    <t xml:space="preserve">BAYVIEW                       </t>
  </si>
  <si>
    <t xml:space="preserve">BELL                          </t>
  </si>
  <si>
    <t xml:space="preserve">CABLE                         </t>
  </si>
  <si>
    <t xml:space="preserve">CLOVER                        </t>
  </si>
  <si>
    <t xml:space="preserve">DELTA                         </t>
  </si>
  <si>
    <t xml:space="preserve">DRUMMOND                      </t>
  </si>
  <si>
    <t xml:space="preserve">EILEEN                        </t>
  </si>
  <si>
    <t xml:space="preserve">GRAND VIEW                    </t>
  </si>
  <si>
    <t xml:space="preserve">HUGHES                        </t>
  </si>
  <si>
    <t xml:space="preserve">IRON RIVER                    </t>
  </si>
  <si>
    <t xml:space="preserve">KELLY                         </t>
  </si>
  <si>
    <t xml:space="preserve">KEYSTONE                      </t>
  </si>
  <si>
    <t xml:space="preserve">MASON                         </t>
  </si>
  <si>
    <t xml:space="preserve">NAMAKAGON                     </t>
  </si>
  <si>
    <t xml:space="preserve">ORIENTA                       </t>
  </si>
  <si>
    <t xml:space="preserve">OULU                          </t>
  </si>
  <si>
    <t xml:space="preserve">PILSEN                        </t>
  </si>
  <si>
    <t xml:space="preserve">PORT WING                     </t>
  </si>
  <si>
    <t xml:space="preserve">RUSSELL                       </t>
  </si>
  <si>
    <t xml:space="preserve">TRIPP                         </t>
  </si>
  <si>
    <t xml:space="preserve">WASHBURN                      </t>
  </si>
  <si>
    <t xml:space="preserve">EATON                         </t>
  </si>
  <si>
    <t xml:space="preserve">GLENMORE                      </t>
  </si>
  <si>
    <t xml:space="preserve">GREEN BAY                     </t>
  </si>
  <si>
    <t xml:space="preserve">HOLLAND                       </t>
  </si>
  <si>
    <t xml:space="preserve">HUMBOLDT                      </t>
  </si>
  <si>
    <t xml:space="preserve">LAWRENCE                      </t>
  </si>
  <si>
    <t xml:space="preserve">LEDGEVIEW                     </t>
  </si>
  <si>
    <t xml:space="preserve">MORRISON                      </t>
  </si>
  <si>
    <t xml:space="preserve">NEW DENMARK                   </t>
  </si>
  <si>
    <t xml:space="preserve">PITTSFIELD                    </t>
  </si>
  <si>
    <t xml:space="preserve">ROCKLAND                      </t>
  </si>
  <si>
    <t xml:space="preserve">SCOTT                         </t>
  </si>
  <si>
    <t xml:space="preserve">WRIGHTSTOWN                   </t>
  </si>
  <si>
    <t xml:space="preserve">ALLOUEZ                       </t>
  </si>
  <si>
    <t xml:space="preserve">ASHWAUBENON                   </t>
  </si>
  <si>
    <t xml:space="preserve">BELLEVUE                      </t>
  </si>
  <si>
    <t xml:space="preserve">DENMARK                       </t>
  </si>
  <si>
    <t xml:space="preserve">GREENLEAF                     </t>
  </si>
  <si>
    <t xml:space="preserve">HOBART                        </t>
  </si>
  <si>
    <t xml:space="preserve">HOWARD                        </t>
  </si>
  <si>
    <t xml:space="preserve">PULASKI                       </t>
  </si>
  <si>
    <t xml:space="preserve">SUAMICO                       </t>
  </si>
  <si>
    <t xml:space="preserve">DE PERE                       </t>
  </si>
  <si>
    <t xml:space="preserve">BROWN                         </t>
  </si>
  <si>
    <t xml:space="preserve">ALMA                          </t>
  </si>
  <si>
    <t xml:space="preserve">BELVIDERE                     </t>
  </si>
  <si>
    <t xml:space="preserve">BUFFALO                       </t>
  </si>
  <si>
    <t xml:space="preserve">CANTON                        </t>
  </si>
  <si>
    <t xml:space="preserve">CROSS                         </t>
  </si>
  <si>
    <t xml:space="preserve">DOVER                         </t>
  </si>
  <si>
    <t xml:space="preserve">GILMANTON                     </t>
  </si>
  <si>
    <t xml:space="preserve">GLENCOE                       </t>
  </si>
  <si>
    <t xml:space="preserve">MAXVILLE                      </t>
  </si>
  <si>
    <t xml:space="preserve">MILTON                        </t>
  </si>
  <si>
    <t xml:space="preserve">MODENA                        </t>
  </si>
  <si>
    <t xml:space="preserve">MONDOVI                       </t>
  </si>
  <si>
    <t xml:space="preserve">MONTANA                       </t>
  </si>
  <si>
    <t xml:space="preserve">NAPLES                        </t>
  </si>
  <si>
    <t xml:space="preserve">NELSON                        </t>
  </si>
  <si>
    <t xml:space="preserve">WAUMANDEE                     </t>
  </si>
  <si>
    <t xml:space="preserve">COCHRANE                      </t>
  </si>
  <si>
    <t xml:space="preserve">BUFFALO CITY                  </t>
  </si>
  <si>
    <t xml:space="preserve">FOUNTAIN CITY                 </t>
  </si>
  <si>
    <t xml:space="preserve">ANDERSON                      </t>
  </si>
  <si>
    <t xml:space="preserve">BLAINE                        </t>
  </si>
  <si>
    <t xml:space="preserve">DANIELS                       </t>
  </si>
  <si>
    <t xml:space="preserve">DEWEY                         </t>
  </si>
  <si>
    <t xml:space="preserve">GRANTSBURG                    </t>
  </si>
  <si>
    <t xml:space="preserve">LA FOLLETTE                   </t>
  </si>
  <si>
    <t xml:space="preserve">MEENON                        </t>
  </si>
  <si>
    <t xml:space="preserve">OAKLAND                       </t>
  </si>
  <si>
    <t xml:space="preserve">ROOSEVELT                     </t>
  </si>
  <si>
    <t xml:space="preserve">RUSK                          </t>
  </si>
  <si>
    <t xml:space="preserve">SAND LAKE                     </t>
  </si>
  <si>
    <t xml:space="preserve">SIREN                         </t>
  </si>
  <si>
    <t xml:space="preserve">SWISS                         </t>
  </si>
  <si>
    <t xml:space="preserve">TRADE LAKE                    </t>
  </si>
  <si>
    <t xml:space="preserve">UNION                         </t>
  </si>
  <si>
    <t xml:space="preserve">WEBB LAKE                     </t>
  </si>
  <si>
    <t xml:space="preserve">WEST MARSHLAND                </t>
  </si>
  <si>
    <t xml:space="preserve">WOOD RIVER                    </t>
  </si>
  <si>
    <t xml:space="preserve">WEBSTER                       </t>
  </si>
  <si>
    <t xml:space="preserve">BURNETT                       </t>
  </si>
  <si>
    <t xml:space="preserve">BRILLION                      </t>
  </si>
  <si>
    <t xml:space="preserve">BROTHERTOWN                   </t>
  </si>
  <si>
    <t xml:space="preserve">CHARLESTOWN                   </t>
  </si>
  <si>
    <t xml:space="preserve">CHILTON                       </t>
  </si>
  <si>
    <t xml:space="preserve">HARRISON                      </t>
  </si>
  <si>
    <t xml:space="preserve">NEW HOLSTEIN                  </t>
  </si>
  <si>
    <t xml:space="preserve">RANTOUL                       </t>
  </si>
  <si>
    <t xml:space="preserve">STOCKBRIDGE                   </t>
  </si>
  <si>
    <t xml:space="preserve">WOODVILLE                     </t>
  </si>
  <si>
    <t xml:space="preserve">HILBERT                       </t>
  </si>
  <si>
    <t xml:space="preserve">POTTER                        </t>
  </si>
  <si>
    <t xml:space="preserve">SHERWOOD                      </t>
  </si>
  <si>
    <t xml:space="preserve">APPLETON                      </t>
  </si>
  <si>
    <t xml:space="preserve">KAUKAUNA                      </t>
  </si>
  <si>
    <t xml:space="preserve">KIEL                          </t>
  </si>
  <si>
    <t xml:space="preserve">MENASHA                       </t>
  </si>
  <si>
    <t xml:space="preserve">CALUMET                       </t>
  </si>
  <si>
    <t xml:space="preserve">ANSON                         </t>
  </si>
  <si>
    <t xml:space="preserve">ARTHUR                        </t>
  </si>
  <si>
    <t xml:space="preserve">AUBURN                        </t>
  </si>
  <si>
    <t xml:space="preserve">BIRCH CREEK                   </t>
  </si>
  <si>
    <t xml:space="preserve">BLOOMER                       </t>
  </si>
  <si>
    <t xml:space="preserve">CLEVELAND                     </t>
  </si>
  <si>
    <t xml:space="preserve">COOKS VALLEY                  </t>
  </si>
  <si>
    <t xml:space="preserve">DELMAR                        </t>
  </si>
  <si>
    <t xml:space="preserve">EAGLE POINT                   </t>
  </si>
  <si>
    <t xml:space="preserve">EDSON                         </t>
  </si>
  <si>
    <t xml:space="preserve">ESTELLA                       </t>
  </si>
  <si>
    <t xml:space="preserve">GOETZ                         </t>
  </si>
  <si>
    <t xml:space="preserve">HALLIE                        </t>
  </si>
  <si>
    <t xml:space="preserve">LAFAYETTE                     </t>
  </si>
  <si>
    <t xml:space="preserve">LAKE HOLCOMBE                 </t>
  </si>
  <si>
    <t xml:space="preserve">RUBY                          </t>
  </si>
  <si>
    <t xml:space="preserve">SAMPSON                       </t>
  </si>
  <si>
    <t xml:space="preserve">SIGEL                         </t>
  </si>
  <si>
    <t xml:space="preserve">TILDEN                        </t>
  </si>
  <si>
    <t xml:space="preserve">WHEATON                       </t>
  </si>
  <si>
    <t xml:space="preserve">WOODMOHR                      </t>
  </si>
  <si>
    <t xml:space="preserve">BOYD                          </t>
  </si>
  <si>
    <t xml:space="preserve">CADOTT                        </t>
  </si>
  <si>
    <t xml:space="preserve">LAKE HALLIE                   </t>
  </si>
  <si>
    <t xml:space="preserve">CHIPPEWA FALLS                </t>
  </si>
  <si>
    <t xml:space="preserve">CORNELL                       </t>
  </si>
  <si>
    <t xml:space="preserve">EAU CLAIRE                    </t>
  </si>
  <si>
    <t xml:space="preserve">BEAVER                        </t>
  </si>
  <si>
    <t xml:space="preserve">BUTLER                        </t>
  </si>
  <si>
    <t xml:space="preserve">COLBY                         </t>
  </si>
  <si>
    <t xml:space="preserve">DEWHURST                      </t>
  </si>
  <si>
    <t xml:space="preserve">FOSTER                        </t>
  </si>
  <si>
    <t xml:space="preserve">FREMONT                       </t>
  </si>
  <si>
    <t xml:space="preserve">GRANT                         </t>
  </si>
  <si>
    <t xml:space="preserve">GREEN GROVE                   </t>
  </si>
  <si>
    <t xml:space="preserve">HENDREN                       </t>
  </si>
  <si>
    <t xml:space="preserve">HEWETT                        </t>
  </si>
  <si>
    <t xml:space="preserve">HIXON                         </t>
  </si>
  <si>
    <t xml:space="preserve">HOARD                         </t>
  </si>
  <si>
    <t xml:space="preserve">LEVIS                         </t>
  </si>
  <si>
    <t xml:space="preserve">LONGWOOD                      </t>
  </si>
  <si>
    <t xml:space="preserve">LOYAL                         </t>
  </si>
  <si>
    <t xml:space="preserve">LYNN                          </t>
  </si>
  <si>
    <t xml:space="preserve">MAYVILLE                      </t>
  </si>
  <si>
    <t xml:space="preserve">MEAD                          </t>
  </si>
  <si>
    <t xml:space="preserve">MENTOR                        </t>
  </si>
  <si>
    <t xml:space="preserve">PINE VALLEY                   </t>
  </si>
  <si>
    <t xml:space="preserve">RESEBURG                      </t>
  </si>
  <si>
    <t xml:space="preserve">SEIF                          </t>
  </si>
  <si>
    <t xml:space="preserve">SHERMAN                       </t>
  </si>
  <si>
    <t xml:space="preserve">THORP                         </t>
  </si>
  <si>
    <t xml:space="preserve">UNITY                         </t>
  </si>
  <si>
    <t xml:space="preserve">WARNER                        </t>
  </si>
  <si>
    <t xml:space="preserve">WESTON                        </t>
  </si>
  <si>
    <t xml:space="preserve">WITHEE                        </t>
  </si>
  <si>
    <t xml:space="preserve">WORDEN                        </t>
  </si>
  <si>
    <t xml:space="preserve">YORK                          </t>
  </si>
  <si>
    <t xml:space="preserve">CURTISS                       </t>
  </si>
  <si>
    <t xml:space="preserve">DORCHESTER                    </t>
  </si>
  <si>
    <t xml:space="preserve">GRANTON                       </t>
  </si>
  <si>
    <t xml:space="preserve">ABBOTSFORD                    </t>
  </si>
  <si>
    <t xml:space="preserve">GREENWOOD                     </t>
  </si>
  <si>
    <t xml:space="preserve">NEILLSVILLE                   </t>
  </si>
  <si>
    <t xml:space="preserve">OWEN                          </t>
  </si>
  <si>
    <t xml:space="preserve">CLARK                         </t>
  </si>
  <si>
    <t xml:space="preserve">ARLINGTON                     </t>
  </si>
  <si>
    <t xml:space="preserve">CALEDONIA                     </t>
  </si>
  <si>
    <t xml:space="preserve">COLUMBUS                      </t>
  </si>
  <si>
    <t xml:space="preserve">COURTLAND                     </t>
  </si>
  <si>
    <t xml:space="preserve">DEKORRA                       </t>
  </si>
  <si>
    <t xml:space="preserve">FORT WINNEBAGO                </t>
  </si>
  <si>
    <t xml:space="preserve">FOUNTAIN PRAIRIE              </t>
  </si>
  <si>
    <t xml:space="preserve">HAMPDEN                       </t>
  </si>
  <si>
    <t xml:space="preserve">LEEDS                         </t>
  </si>
  <si>
    <t xml:space="preserve">LEWISTON                      </t>
  </si>
  <si>
    <t xml:space="preserve">LODI                          </t>
  </si>
  <si>
    <t xml:space="preserve">LOWVILLE                      </t>
  </si>
  <si>
    <t xml:space="preserve">MARCELLON                     </t>
  </si>
  <si>
    <t xml:space="preserve">NEWPORT                       </t>
  </si>
  <si>
    <t xml:space="preserve">OTSEGO                        </t>
  </si>
  <si>
    <t xml:space="preserve">PACIFIC                       </t>
  </si>
  <si>
    <t xml:space="preserve">RANDOLPH                      </t>
  </si>
  <si>
    <t xml:space="preserve">SPRINGVALE                    </t>
  </si>
  <si>
    <t xml:space="preserve">WEST POINT                    </t>
  </si>
  <si>
    <t xml:space="preserve">WYOCENA                       </t>
  </si>
  <si>
    <t xml:space="preserve">CAMBRIA                       </t>
  </si>
  <si>
    <t xml:space="preserve">DOYLESTOWN                    </t>
  </si>
  <si>
    <t xml:space="preserve">FALL RIVER                    </t>
  </si>
  <si>
    <t xml:space="preserve">FRIESLAND                     </t>
  </si>
  <si>
    <t xml:space="preserve">PARDEEVILLE                   </t>
  </si>
  <si>
    <t xml:space="preserve">POYNETTE                      </t>
  </si>
  <si>
    <t xml:space="preserve">RIO                           </t>
  </si>
  <si>
    <t xml:space="preserve">PORTAGE                       </t>
  </si>
  <si>
    <t xml:space="preserve">COLUMBIA                      </t>
  </si>
  <si>
    <t xml:space="preserve">BRIDGEPORT                    </t>
  </si>
  <si>
    <t xml:space="preserve">CLAYTON                       </t>
  </si>
  <si>
    <t xml:space="preserve">EASTMAN                       </t>
  </si>
  <si>
    <t xml:space="preserve">FREEMAN                       </t>
  </si>
  <si>
    <t xml:space="preserve">HANEY                         </t>
  </si>
  <si>
    <t xml:space="preserve">MARIETTA                      </t>
  </si>
  <si>
    <t xml:space="preserve">PRAIRIE DU CHIEN              </t>
  </si>
  <si>
    <t xml:space="preserve">SENECA                        </t>
  </si>
  <si>
    <t xml:space="preserve">UTICA                         </t>
  </si>
  <si>
    <t xml:space="preserve">WAUZEKA                       </t>
  </si>
  <si>
    <t xml:space="preserve">BELL CENTER                   </t>
  </si>
  <si>
    <t xml:space="preserve">DE SOTO                       </t>
  </si>
  <si>
    <t xml:space="preserve">FERRYVILLE                    </t>
  </si>
  <si>
    <t xml:space="preserve">GAYS MILLS                    </t>
  </si>
  <si>
    <t xml:space="preserve">LYNXVILLE                     </t>
  </si>
  <si>
    <t xml:space="preserve">MOUNT STERLING                </t>
  </si>
  <si>
    <t xml:space="preserve">SOLDIERS GROVE                </t>
  </si>
  <si>
    <t xml:space="preserve">STEUBEN                       </t>
  </si>
  <si>
    <t xml:space="preserve">CRAWFORD                      </t>
  </si>
  <si>
    <t xml:space="preserve">ALBION                        </t>
  </si>
  <si>
    <t xml:space="preserve">BERRY                         </t>
  </si>
  <si>
    <t xml:space="preserve">BLACK EARTH                   </t>
  </si>
  <si>
    <t xml:space="preserve">BLOOMING GROVE                </t>
  </si>
  <si>
    <t xml:space="preserve">BLUE MOUNDS                   </t>
  </si>
  <si>
    <t xml:space="preserve">BRISTOL                       </t>
  </si>
  <si>
    <t xml:space="preserve">BURKE                         </t>
  </si>
  <si>
    <t xml:space="preserve">CHRISTIANA                    </t>
  </si>
  <si>
    <t xml:space="preserve">COTTAGE GROVE                 </t>
  </si>
  <si>
    <t xml:space="preserve">CROSS PLAINS                  </t>
  </si>
  <si>
    <t xml:space="preserve">DANE                          </t>
  </si>
  <si>
    <t xml:space="preserve">DEERFIELD                     </t>
  </si>
  <si>
    <t xml:space="preserve">DUNKIRK                       </t>
  </si>
  <si>
    <t xml:space="preserve">DUNN                          </t>
  </si>
  <si>
    <t xml:space="preserve">MAZOMANIE                     </t>
  </si>
  <si>
    <t xml:space="preserve">MEDINA                        </t>
  </si>
  <si>
    <t xml:space="preserve">MIDDLETON                     </t>
  </si>
  <si>
    <t xml:space="preserve">MONTROSE                      </t>
  </si>
  <si>
    <t xml:space="preserve">OREGON                        </t>
  </si>
  <si>
    <t xml:space="preserve">PERRY                         </t>
  </si>
  <si>
    <t xml:space="preserve">PLEASANT SPRINGS              </t>
  </si>
  <si>
    <t xml:space="preserve">PRIMROSE                      </t>
  </si>
  <si>
    <t xml:space="preserve">ROXBURY                       </t>
  </si>
  <si>
    <t xml:space="preserve">RUTLAND                       </t>
  </si>
  <si>
    <t xml:space="preserve">SPRINGDALE                    </t>
  </si>
  <si>
    <t xml:space="preserve">SPRINGFIELD                   </t>
  </si>
  <si>
    <t xml:space="preserve">SUN PRAIRIE                   </t>
  </si>
  <si>
    <t xml:space="preserve">VERMONT                       </t>
  </si>
  <si>
    <t xml:space="preserve">VERONA                        </t>
  </si>
  <si>
    <t xml:space="preserve">VIENNA                        </t>
  </si>
  <si>
    <t xml:space="preserve">WESTPORT                      </t>
  </si>
  <si>
    <t xml:space="preserve">BELLEVILLE                    </t>
  </si>
  <si>
    <t xml:space="preserve">BROOKLYN                      </t>
  </si>
  <si>
    <t xml:space="preserve">CAMBRIDGE                     </t>
  </si>
  <si>
    <t xml:space="preserve">DEFOREST                      </t>
  </si>
  <si>
    <t xml:space="preserve">MAPLE BLUFF                   </t>
  </si>
  <si>
    <t xml:space="preserve">MARSHALL                      </t>
  </si>
  <si>
    <t xml:space="preserve">MCFARLAND                     </t>
  </si>
  <si>
    <t xml:space="preserve">MOUNT HOREB                   </t>
  </si>
  <si>
    <t xml:space="preserve">ROCKDALE                      </t>
  </si>
  <si>
    <t xml:space="preserve">SHOREWOOD HILLS               </t>
  </si>
  <si>
    <t xml:space="preserve">WAUNAKEE                      </t>
  </si>
  <si>
    <t xml:space="preserve">WINDSOR                       </t>
  </si>
  <si>
    <t xml:space="preserve">EDGERTON                      </t>
  </si>
  <si>
    <t xml:space="preserve">FITCHBURG                     </t>
  </si>
  <si>
    <t xml:space="preserve">MADISON                       </t>
  </si>
  <si>
    <t xml:space="preserve">MONONA                        </t>
  </si>
  <si>
    <t xml:space="preserve">STOUGHTON                     </t>
  </si>
  <si>
    <t xml:space="preserve">ASHIPPUN                      </t>
  </si>
  <si>
    <t xml:space="preserve">BEAVER DAM                    </t>
  </si>
  <si>
    <t xml:space="preserve">CALAMUS                       </t>
  </si>
  <si>
    <t xml:space="preserve">CHESTER                       </t>
  </si>
  <si>
    <t xml:space="preserve">CLYMAN                        </t>
  </si>
  <si>
    <t xml:space="preserve">ELBA                          </t>
  </si>
  <si>
    <t xml:space="preserve">EMMET                         </t>
  </si>
  <si>
    <t xml:space="preserve">FOX LAKE                      </t>
  </si>
  <si>
    <t xml:space="preserve">HERMAN                        </t>
  </si>
  <si>
    <t xml:space="preserve">HUBBARD                       </t>
  </si>
  <si>
    <t xml:space="preserve">HUSTISFORD                    </t>
  </si>
  <si>
    <t xml:space="preserve">LEBANON                       </t>
  </si>
  <si>
    <t xml:space="preserve">LEROY                         </t>
  </si>
  <si>
    <t xml:space="preserve">LOMIRA                        </t>
  </si>
  <si>
    <t xml:space="preserve">LOWELL                        </t>
  </si>
  <si>
    <t xml:space="preserve">PORTLAND                      </t>
  </si>
  <si>
    <t xml:space="preserve">RUBICON                       </t>
  </si>
  <si>
    <t xml:space="preserve">SHIELDS                       </t>
  </si>
  <si>
    <t xml:space="preserve">THERESA                       </t>
  </si>
  <si>
    <t xml:space="preserve">TRENTON                       </t>
  </si>
  <si>
    <t xml:space="preserve">WESTFORD                      </t>
  </si>
  <si>
    <t xml:space="preserve">BROWNSVILLE                   </t>
  </si>
  <si>
    <t xml:space="preserve">IRON RIDGE                    </t>
  </si>
  <si>
    <t xml:space="preserve">KEKOSKEE                      </t>
  </si>
  <si>
    <t xml:space="preserve">NEOSHO                        </t>
  </si>
  <si>
    <t xml:space="preserve">REESEVILLE                    </t>
  </si>
  <si>
    <t xml:space="preserve">HARTFORD                      </t>
  </si>
  <si>
    <t xml:space="preserve">HORICON                       </t>
  </si>
  <si>
    <t xml:space="preserve">JUNEAU                        </t>
  </si>
  <si>
    <t xml:space="preserve">WATERTOWN                     </t>
  </si>
  <si>
    <t xml:space="preserve">WAUPUN                        </t>
  </si>
  <si>
    <t xml:space="preserve">DODGE                         </t>
  </si>
  <si>
    <t xml:space="preserve">BAILEYS HARBOR                </t>
  </si>
  <si>
    <t xml:space="preserve">BRUSSELS                      </t>
  </si>
  <si>
    <t xml:space="preserve">CLAY BANKS                    </t>
  </si>
  <si>
    <t xml:space="preserve">EGG HARBOR                    </t>
  </si>
  <si>
    <t xml:space="preserve">FORESTVILLE                   </t>
  </si>
  <si>
    <t xml:space="preserve">GARDNER                       </t>
  </si>
  <si>
    <t xml:space="preserve">GIBRALTAR                     </t>
  </si>
  <si>
    <t xml:space="preserve">JACKSONPORT                   </t>
  </si>
  <si>
    <t xml:space="preserve">LIBERTY GROVE                 </t>
  </si>
  <si>
    <t xml:space="preserve">NASEWAUPEE                    </t>
  </si>
  <si>
    <t xml:space="preserve">SEVASTOPOL                    </t>
  </si>
  <si>
    <t xml:space="preserve">STURGEON BAY                  </t>
  </si>
  <si>
    <t xml:space="preserve">WASHINGTON                    </t>
  </si>
  <si>
    <t xml:space="preserve">EPHRAIM                       </t>
  </si>
  <si>
    <t xml:space="preserve">SISTER BAY                    </t>
  </si>
  <si>
    <t xml:space="preserve">DOOR                          </t>
  </si>
  <si>
    <t xml:space="preserve">AMNICON                       </t>
  </si>
  <si>
    <t xml:space="preserve">BENNETT                       </t>
  </si>
  <si>
    <t xml:space="preserve">BRULE                         </t>
  </si>
  <si>
    <t xml:space="preserve">CLOVERLAND                    </t>
  </si>
  <si>
    <t xml:space="preserve">DAIRYLAND                     </t>
  </si>
  <si>
    <t xml:space="preserve">HAWTHORNE                     </t>
  </si>
  <si>
    <t xml:space="preserve">HIGHLAND                      </t>
  </si>
  <si>
    <t xml:space="preserve">LAKESIDE                      </t>
  </si>
  <si>
    <t xml:space="preserve">MAPLE                         </t>
  </si>
  <si>
    <t xml:space="preserve">PARKLAND                      </t>
  </si>
  <si>
    <t xml:space="preserve">SOLON SPRINGS                 </t>
  </si>
  <si>
    <t xml:space="preserve">SUMMIT                        </t>
  </si>
  <si>
    <t xml:space="preserve">SUPERIOR                      </t>
  </si>
  <si>
    <t xml:space="preserve">WASCOTT                       </t>
  </si>
  <si>
    <t xml:space="preserve">LAKE NEBAGAMON                </t>
  </si>
  <si>
    <t xml:space="preserve">OLIVER                        </t>
  </si>
  <si>
    <t xml:space="preserve">POPLAR                        </t>
  </si>
  <si>
    <t xml:space="preserve">DOUGLAS                       </t>
  </si>
  <si>
    <t xml:space="preserve">COLFAX                        </t>
  </si>
  <si>
    <t xml:space="preserve">EAU GALLE                     </t>
  </si>
  <si>
    <t xml:space="preserve">ELK MOUND                     </t>
  </si>
  <si>
    <t xml:space="preserve">HAY RIVER                     </t>
  </si>
  <si>
    <t xml:space="preserve">LUCAS                         </t>
  </si>
  <si>
    <t xml:space="preserve">MENOMONIE                     </t>
  </si>
  <si>
    <t xml:space="preserve">OTTER CREEK                   </t>
  </si>
  <si>
    <t xml:space="preserve">PERU                          </t>
  </si>
  <si>
    <t xml:space="preserve">RED CEDAR                     </t>
  </si>
  <si>
    <t xml:space="preserve">ROCK CREEK                    </t>
  </si>
  <si>
    <t xml:space="preserve">SAND CREEK                    </t>
  </si>
  <si>
    <t xml:space="preserve">SHERIDAN                      </t>
  </si>
  <si>
    <t xml:space="preserve">SPRING BROOK                  </t>
  </si>
  <si>
    <t xml:space="preserve">STANTON                       </t>
  </si>
  <si>
    <t xml:space="preserve">TAINTER                       </t>
  </si>
  <si>
    <t xml:space="preserve">TIFFANY                       </t>
  </si>
  <si>
    <t xml:space="preserve">WILSON                        </t>
  </si>
  <si>
    <t xml:space="preserve">BOYCEVILLE                    </t>
  </si>
  <si>
    <t xml:space="preserve">DOWNING                       </t>
  </si>
  <si>
    <t xml:space="preserve">KNAPP                         </t>
  </si>
  <si>
    <t xml:space="preserve">RIDGELAND                     </t>
  </si>
  <si>
    <t xml:space="preserve">WHEELER                       </t>
  </si>
  <si>
    <t xml:space="preserve">BRIDGE CREEK                  </t>
  </si>
  <si>
    <t xml:space="preserve">BRUNSWICK                     </t>
  </si>
  <si>
    <t xml:space="preserve">CLEAR CREEK                   </t>
  </si>
  <si>
    <t xml:space="preserve">DRAMMEN                       </t>
  </si>
  <si>
    <t xml:space="preserve">FAIRCHILD                     </t>
  </si>
  <si>
    <t xml:space="preserve">LUDINGTON                     </t>
  </si>
  <si>
    <t xml:space="preserve">PLEASANT VALLEY               </t>
  </si>
  <si>
    <t xml:space="preserve">SEYMOUR                       </t>
  </si>
  <si>
    <t xml:space="preserve">FALL CREEK                    </t>
  </si>
  <si>
    <t xml:space="preserve">ALTOONA                       </t>
  </si>
  <si>
    <t xml:space="preserve">AUGUSTA                       </t>
  </si>
  <si>
    <t xml:space="preserve">AURORA                        </t>
  </si>
  <si>
    <t xml:space="preserve">COMMONWEALTH                  </t>
  </si>
  <si>
    <t xml:space="preserve">FENCE                         </t>
  </si>
  <si>
    <t xml:space="preserve">FERN                          </t>
  </si>
  <si>
    <t xml:space="preserve">FLORENCE                      </t>
  </si>
  <si>
    <t xml:space="preserve">HOMESTEAD                     </t>
  </si>
  <si>
    <t xml:space="preserve">LONG LAKE                     </t>
  </si>
  <si>
    <t xml:space="preserve">TIPLER                        </t>
  </si>
  <si>
    <t xml:space="preserve">ALTO                          </t>
  </si>
  <si>
    <t xml:space="preserve">ASHFORD                       </t>
  </si>
  <si>
    <t xml:space="preserve">BYRON                         </t>
  </si>
  <si>
    <t xml:space="preserve">EDEN                          </t>
  </si>
  <si>
    <t xml:space="preserve">ELDORADO                      </t>
  </si>
  <si>
    <t xml:space="preserve">EMPIRE                        </t>
  </si>
  <si>
    <t xml:space="preserve">FOND DU LAC                   </t>
  </si>
  <si>
    <t xml:space="preserve">FOREST                        </t>
  </si>
  <si>
    <t xml:space="preserve">LAMARTINE                     </t>
  </si>
  <si>
    <t xml:space="preserve">MARSHFIELD                    </t>
  </si>
  <si>
    <t xml:space="preserve">METOMEN                       </t>
  </si>
  <si>
    <t xml:space="preserve">OAKFIELD                      </t>
  </si>
  <si>
    <t xml:space="preserve">OSCEOLA                       </t>
  </si>
  <si>
    <t xml:space="preserve">RIPON                         </t>
  </si>
  <si>
    <t xml:space="preserve">ROSENDALE                     </t>
  </si>
  <si>
    <t xml:space="preserve">TAYCHEEDAH                    </t>
  </si>
  <si>
    <t xml:space="preserve">BRANDON                       </t>
  </si>
  <si>
    <t xml:space="preserve">CAMPBELLSPORT                 </t>
  </si>
  <si>
    <t xml:space="preserve">FAIRWATER                     </t>
  </si>
  <si>
    <t xml:space="preserve">KEWASKUM                      </t>
  </si>
  <si>
    <t xml:space="preserve">MOUNT CALVARY                 </t>
  </si>
  <si>
    <t xml:space="preserve">NORTH FOND DU LAC             </t>
  </si>
  <si>
    <t xml:space="preserve">SAINT CLOUD                   </t>
  </si>
  <si>
    <t xml:space="preserve">ALVIN                         </t>
  </si>
  <si>
    <t xml:space="preserve">ARGONNE                       </t>
  </si>
  <si>
    <t xml:space="preserve">ARMSTRONG CREEK               </t>
  </si>
  <si>
    <t xml:space="preserve">BLACKWELL                     </t>
  </si>
  <si>
    <t xml:space="preserve">CASWELL                       </t>
  </si>
  <si>
    <t xml:space="preserve">CRANDON                       </t>
  </si>
  <si>
    <t xml:space="preserve">FREEDOM                       </t>
  </si>
  <si>
    <t xml:space="preserve">HILES                         </t>
  </si>
  <si>
    <t xml:space="preserve">LAONA                         </t>
  </si>
  <si>
    <t xml:space="preserve">NASHVILLE                     </t>
  </si>
  <si>
    <t xml:space="preserve">POPPLE RIVER                  </t>
  </si>
  <si>
    <t xml:space="preserve">ROSS                          </t>
  </si>
  <si>
    <t xml:space="preserve">WABENO                        </t>
  </si>
  <si>
    <t xml:space="preserve">BEETOWN                       </t>
  </si>
  <si>
    <t xml:space="preserve">BLOOMINGTON                   </t>
  </si>
  <si>
    <t xml:space="preserve">BOSCOBEL                      </t>
  </si>
  <si>
    <t xml:space="preserve">CASSVILLE                     </t>
  </si>
  <si>
    <t xml:space="preserve">CASTLE ROCK                   </t>
  </si>
  <si>
    <t xml:space="preserve">CLIFTON                       </t>
  </si>
  <si>
    <t xml:space="preserve">ELLENBORO                     </t>
  </si>
  <si>
    <t xml:space="preserve">FENNIMORE                     </t>
  </si>
  <si>
    <t xml:space="preserve">GLEN HAVEN                    </t>
  </si>
  <si>
    <t xml:space="preserve">HAZEL GREEN                   </t>
  </si>
  <si>
    <t xml:space="preserve">HICKORY GROVE                 </t>
  </si>
  <si>
    <t xml:space="preserve">JAMESTOWN                     </t>
  </si>
  <si>
    <t xml:space="preserve">LIBERTY                       </t>
  </si>
  <si>
    <t xml:space="preserve">LIMA                          </t>
  </si>
  <si>
    <t xml:space="preserve">LITTLE GRANT                  </t>
  </si>
  <si>
    <t xml:space="preserve">MARION                        </t>
  </si>
  <si>
    <t xml:space="preserve">MILLVILLE                     </t>
  </si>
  <si>
    <t xml:space="preserve">MOUNT HOPE                    </t>
  </si>
  <si>
    <t xml:space="preserve">MOUNT IDA                     </t>
  </si>
  <si>
    <t xml:space="preserve">MUSCODA                       </t>
  </si>
  <si>
    <t xml:space="preserve">NORTH LANCASTER               </t>
  </si>
  <si>
    <t xml:space="preserve">PARIS                         </t>
  </si>
  <si>
    <t xml:space="preserve">PATCH GROVE                   </t>
  </si>
  <si>
    <t xml:space="preserve">PLATTEVILLE                   </t>
  </si>
  <si>
    <t xml:space="preserve">POTOSI                        </t>
  </si>
  <si>
    <t xml:space="preserve">SMELSER                       </t>
  </si>
  <si>
    <t xml:space="preserve">SOUTH LANCASTER               </t>
  </si>
  <si>
    <t xml:space="preserve">WATERLOO                      </t>
  </si>
  <si>
    <t xml:space="preserve">WATTERSTOWN                   </t>
  </si>
  <si>
    <t xml:space="preserve">WINGVILLE                     </t>
  </si>
  <si>
    <t xml:space="preserve">WOODMAN                       </t>
  </si>
  <si>
    <t xml:space="preserve">WYALUSING                     </t>
  </si>
  <si>
    <t xml:space="preserve">BAGLEY                        </t>
  </si>
  <si>
    <t xml:space="preserve">BLUE RIVER                    </t>
  </si>
  <si>
    <t xml:space="preserve">DICKEYVILLE                   </t>
  </si>
  <si>
    <t xml:space="preserve">LIVINGSTON                    </t>
  </si>
  <si>
    <t xml:space="preserve">MONTFORT                      </t>
  </si>
  <si>
    <t xml:space="preserve">TENNYSON                      </t>
  </si>
  <si>
    <t xml:space="preserve">CUBA CITY                     </t>
  </si>
  <si>
    <t xml:space="preserve">LANCASTER                     </t>
  </si>
  <si>
    <t xml:space="preserve">ALBANY                        </t>
  </si>
  <si>
    <t xml:space="preserve">CADIZ                         </t>
  </si>
  <si>
    <t xml:space="preserve">CLARNO                        </t>
  </si>
  <si>
    <t xml:space="preserve">DECATUR                       </t>
  </si>
  <si>
    <t xml:space="preserve">EXETER                        </t>
  </si>
  <si>
    <t xml:space="preserve">JEFFERSON                     </t>
  </si>
  <si>
    <t xml:space="preserve">JORDAN                        </t>
  </si>
  <si>
    <t xml:space="preserve">MOUNT PLEASANT                </t>
  </si>
  <si>
    <t xml:space="preserve">NEW GLARUS                    </t>
  </si>
  <si>
    <t xml:space="preserve">SPRING GROVE                  </t>
  </si>
  <si>
    <t xml:space="preserve">SYLVESTER                     </t>
  </si>
  <si>
    <t xml:space="preserve">BROWNTOWN                     </t>
  </si>
  <si>
    <t xml:space="preserve">MONTICELLO                    </t>
  </si>
  <si>
    <t xml:space="preserve">BRODHEAD                      </t>
  </si>
  <si>
    <t xml:space="preserve">GREEN                         </t>
  </si>
  <si>
    <t xml:space="preserve">BERLIN                        </t>
  </si>
  <si>
    <t xml:space="preserve">GREEN LAKE                    </t>
  </si>
  <si>
    <t xml:space="preserve">KINGSTON                      </t>
  </si>
  <si>
    <t xml:space="preserve">MACKFORD                      </t>
  </si>
  <si>
    <t xml:space="preserve">MANCHESTER                    </t>
  </si>
  <si>
    <t xml:space="preserve">MARQUETTE                     </t>
  </si>
  <si>
    <t xml:space="preserve">PRINCETON                     </t>
  </si>
  <si>
    <t xml:space="preserve">SAINT MARIE                   </t>
  </si>
  <si>
    <t xml:space="preserve">MARKESAN                      </t>
  </si>
  <si>
    <t xml:space="preserve">ARENA                         </t>
  </si>
  <si>
    <t xml:space="preserve">BRIGHAM                       </t>
  </si>
  <si>
    <t xml:space="preserve">CLYDE                         </t>
  </si>
  <si>
    <t xml:space="preserve">DODGEVILLE                    </t>
  </si>
  <si>
    <t xml:space="preserve">LINDEN                        </t>
  </si>
  <si>
    <t xml:space="preserve">MIFFLIN                       </t>
  </si>
  <si>
    <t xml:space="preserve">MINERAL POINT                 </t>
  </si>
  <si>
    <t xml:space="preserve">MOSCOW                        </t>
  </si>
  <si>
    <t xml:space="preserve">RIDGEWAY                      </t>
  </si>
  <si>
    <t xml:space="preserve">WALDWICK                      </t>
  </si>
  <si>
    <t xml:space="preserve">WYOMING                       </t>
  </si>
  <si>
    <t xml:space="preserve">AVOCA                         </t>
  </si>
  <si>
    <t xml:space="preserve">BARNEVELD                     </t>
  </si>
  <si>
    <t xml:space="preserve">BLANCHARDVILLE                </t>
  </si>
  <si>
    <t xml:space="preserve">COBB                          </t>
  </si>
  <si>
    <t xml:space="preserve">HOLLANDALE                    </t>
  </si>
  <si>
    <t xml:space="preserve">REWEY                         </t>
  </si>
  <si>
    <t xml:space="preserve">IOWA                          </t>
  </si>
  <si>
    <t xml:space="preserve">CAREY                         </t>
  </si>
  <si>
    <t xml:space="preserve">GURNEY                        </t>
  </si>
  <si>
    <t xml:space="preserve">KIMBALL                       </t>
  </si>
  <si>
    <t xml:space="preserve">KNIGHT                        </t>
  </si>
  <si>
    <t xml:space="preserve">MERCER                        </t>
  </si>
  <si>
    <t xml:space="preserve">OMA                           </t>
  </si>
  <si>
    <t xml:space="preserve">PENCE                         </t>
  </si>
  <si>
    <t xml:space="preserve">SAXON                         </t>
  </si>
  <si>
    <t xml:space="preserve">HURLEY                        </t>
  </si>
  <si>
    <t xml:space="preserve">MONTREAL                      </t>
  </si>
  <si>
    <t xml:space="preserve">IRON                          </t>
  </si>
  <si>
    <t xml:space="preserve">BEAR BLUFF                    </t>
  </si>
  <si>
    <t xml:space="preserve">BROCKWAY                      </t>
  </si>
  <si>
    <t xml:space="preserve">CITY POINT                    </t>
  </si>
  <si>
    <t xml:space="preserve">CURRAN                        </t>
  </si>
  <si>
    <t xml:space="preserve">FRANKLIN                      </t>
  </si>
  <si>
    <t xml:space="preserve">GARDEN VALLEY                 </t>
  </si>
  <si>
    <t xml:space="preserve">GARFIELD                      </t>
  </si>
  <si>
    <t xml:space="preserve">HIXTON                        </t>
  </si>
  <si>
    <t xml:space="preserve">IRVING                        </t>
  </si>
  <si>
    <t xml:space="preserve">KOMENSKY                      </t>
  </si>
  <si>
    <t xml:space="preserve">MELROSE                       </t>
  </si>
  <si>
    <t xml:space="preserve">MILLSTON                      </t>
  </si>
  <si>
    <t xml:space="preserve">NORTH BEND                    </t>
  </si>
  <si>
    <t xml:space="preserve">NORTHFIELD                    </t>
  </si>
  <si>
    <t xml:space="preserve">ALMA CENTER                   </t>
  </si>
  <si>
    <t xml:space="preserve">MERRILLAN                     </t>
  </si>
  <si>
    <t xml:space="preserve">TAYLOR                        </t>
  </si>
  <si>
    <t xml:space="preserve">BLACK RIVER FALLS             </t>
  </si>
  <si>
    <t xml:space="preserve">AZTALAN                       </t>
  </si>
  <si>
    <t xml:space="preserve">COLD SPRING                   </t>
  </si>
  <si>
    <t xml:space="preserve">CONCORD                       </t>
  </si>
  <si>
    <t xml:space="preserve">FARMINGTON                    </t>
  </si>
  <si>
    <t xml:space="preserve">HEBRON                        </t>
  </si>
  <si>
    <t xml:space="preserve">IXONIA                        </t>
  </si>
  <si>
    <t xml:space="preserve">KOSHKONONG                    </t>
  </si>
  <si>
    <t xml:space="preserve">LAKE MILLS                    </t>
  </si>
  <si>
    <t xml:space="preserve">MILFORD                       </t>
  </si>
  <si>
    <t xml:space="preserve">PALMYRA                       </t>
  </si>
  <si>
    <t xml:space="preserve">SULLIVAN                      </t>
  </si>
  <si>
    <t xml:space="preserve">JOHNSON CREEK                 </t>
  </si>
  <si>
    <t xml:space="preserve">LAC LA BELLE                  </t>
  </si>
  <si>
    <t xml:space="preserve">FORT ATKINSON                 </t>
  </si>
  <si>
    <t xml:space="preserve">WHITEWATER                    </t>
  </si>
  <si>
    <t xml:space="preserve">ARMENIA                       </t>
  </si>
  <si>
    <t xml:space="preserve">CLEARFIELD                    </t>
  </si>
  <si>
    <t xml:space="preserve">CUTLER                        </t>
  </si>
  <si>
    <t xml:space="preserve">FINLEY                        </t>
  </si>
  <si>
    <t xml:space="preserve">FOUNTAIN                      </t>
  </si>
  <si>
    <t xml:space="preserve">GERMANTOWN                    </t>
  </si>
  <si>
    <t xml:space="preserve">KILDARE                       </t>
  </si>
  <si>
    <t xml:space="preserve">LEMONWEIR                     </t>
  </si>
  <si>
    <t xml:space="preserve">LINDINA                       </t>
  </si>
  <si>
    <t xml:space="preserve">LISBON                        </t>
  </si>
  <si>
    <t xml:space="preserve">LYNDON                        </t>
  </si>
  <si>
    <t xml:space="preserve">NECEDAH                       </t>
  </si>
  <si>
    <t xml:space="preserve">ORANGE                        </t>
  </si>
  <si>
    <t xml:space="preserve">PLYMOUTH                      </t>
  </si>
  <si>
    <t xml:space="preserve">SEVEN MILE CREEK              </t>
  </si>
  <si>
    <t xml:space="preserve">WONEWOC                       </t>
  </si>
  <si>
    <t xml:space="preserve">CAMP DOUGLAS                  </t>
  </si>
  <si>
    <t xml:space="preserve">HUSTLER                       </t>
  </si>
  <si>
    <t xml:space="preserve">LYNDON STATION                </t>
  </si>
  <si>
    <t xml:space="preserve">UNION CENTER                  </t>
  </si>
  <si>
    <t xml:space="preserve">ELROY                         </t>
  </si>
  <si>
    <t xml:space="preserve">MAUSTON                       </t>
  </si>
  <si>
    <t xml:space="preserve">NEW LISBON                    </t>
  </si>
  <si>
    <t xml:space="preserve">BRIGHTON                      </t>
  </si>
  <si>
    <t xml:space="preserve">RANDALL                       </t>
  </si>
  <si>
    <t xml:space="preserve">SOMERS                        </t>
  </si>
  <si>
    <t xml:space="preserve">WHEATLAND                     </t>
  </si>
  <si>
    <t xml:space="preserve">GENOA CITY                    </t>
  </si>
  <si>
    <t xml:space="preserve">PADDOCK LAKE                  </t>
  </si>
  <si>
    <t xml:space="preserve">PLEASANT PRAIRIE              </t>
  </si>
  <si>
    <t xml:space="preserve">SALEM LAKES                   </t>
  </si>
  <si>
    <t xml:space="preserve">TWIN LAKES                    </t>
  </si>
  <si>
    <t xml:space="preserve">KENOSHA                       </t>
  </si>
  <si>
    <t xml:space="preserve">AHNAPEE                       </t>
  </si>
  <si>
    <t xml:space="preserve">CARLTON                       </t>
  </si>
  <si>
    <t xml:space="preserve">CASCO                         </t>
  </si>
  <si>
    <t xml:space="preserve">LUXEMBURG                     </t>
  </si>
  <si>
    <t xml:space="preserve">MONTPELIER                    </t>
  </si>
  <si>
    <t xml:space="preserve">PIERCE                        </t>
  </si>
  <si>
    <t xml:space="preserve">RED RIVER                     </t>
  </si>
  <si>
    <t xml:space="preserve">WEST KEWAUNEE                 </t>
  </si>
  <si>
    <t xml:space="preserve">ALGOMA                        </t>
  </si>
  <si>
    <t xml:space="preserve">KEWAUNEE                      </t>
  </si>
  <si>
    <t xml:space="preserve">BANGOR                        </t>
  </si>
  <si>
    <t xml:space="preserve">BARRE                         </t>
  </si>
  <si>
    <t xml:space="preserve">BURNS                         </t>
  </si>
  <si>
    <t xml:space="preserve">CAMPBELL                      </t>
  </si>
  <si>
    <t xml:space="preserve">GREENFIELD                    </t>
  </si>
  <si>
    <t xml:space="preserve">HAMILTON                      </t>
  </si>
  <si>
    <t xml:space="preserve">MEDARY                        </t>
  </si>
  <si>
    <t xml:space="preserve">ONALASKA                      </t>
  </si>
  <si>
    <t xml:space="preserve">SHELBY                        </t>
  </si>
  <si>
    <t xml:space="preserve">HOLMEN                        </t>
  </si>
  <si>
    <t xml:space="preserve">WEST SALEM                    </t>
  </si>
  <si>
    <t xml:space="preserve">LA CROSSE                     </t>
  </si>
  <si>
    <t xml:space="preserve">ARGYLE                        </t>
  </si>
  <si>
    <t xml:space="preserve">BELMONT                       </t>
  </si>
  <si>
    <t xml:space="preserve">BENTON                        </t>
  </si>
  <si>
    <t xml:space="preserve">BLANCHARD                     </t>
  </si>
  <si>
    <t xml:space="preserve">DARLINGTON                    </t>
  </si>
  <si>
    <t xml:space="preserve">ELK GROVE                     </t>
  </si>
  <si>
    <t xml:space="preserve">FAYETTE                       </t>
  </si>
  <si>
    <t xml:space="preserve">GRATIOT                       </t>
  </si>
  <si>
    <t xml:space="preserve">KENDALL                       </t>
  </si>
  <si>
    <t xml:space="preserve">LAMONT                        </t>
  </si>
  <si>
    <t xml:space="preserve">NEW DIGGINGS                  </t>
  </si>
  <si>
    <t xml:space="preserve">SHULLSBURG                    </t>
  </si>
  <si>
    <t xml:space="preserve">WAYNE                         </t>
  </si>
  <si>
    <t xml:space="preserve">WHITE OAK SPRINGS             </t>
  </si>
  <si>
    <t xml:space="preserve">WILLOW SPRINGS                </t>
  </si>
  <si>
    <t xml:space="preserve">WIOTA                         </t>
  </si>
  <si>
    <t xml:space="preserve">SOUTH WAYNE                   </t>
  </si>
  <si>
    <t xml:space="preserve">ACKLEY                        </t>
  </si>
  <si>
    <t xml:space="preserve">AINSWORTH                     </t>
  </si>
  <si>
    <t xml:space="preserve">ANTIGO                        </t>
  </si>
  <si>
    <t xml:space="preserve">ELCHO                         </t>
  </si>
  <si>
    <t xml:space="preserve">EVERGREEN                     </t>
  </si>
  <si>
    <t xml:space="preserve">LANGLADE                      </t>
  </si>
  <si>
    <t xml:space="preserve">NEVA                          </t>
  </si>
  <si>
    <t xml:space="preserve">NORWOOD                       </t>
  </si>
  <si>
    <t xml:space="preserve">PARRISH                       </t>
  </si>
  <si>
    <t xml:space="preserve">PECK                          </t>
  </si>
  <si>
    <t xml:space="preserve">POLAR                         </t>
  </si>
  <si>
    <t xml:space="preserve">PRICE                         </t>
  </si>
  <si>
    <t xml:space="preserve">ROLLING                       </t>
  </si>
  <si>
    <t xml:space="preserve">UPHAM                         </t>
  </si>
  <si>
    <t xml:space="preserve">VILAS                         </t>
  </si>
  <si>
    <t xml:space="preserve">WOLF RIVER                    </t>
  </si>
  <si>
    <t xml:space="preserve">WHITE LAKE                    </t>
  </si>
  <si>
    <t xml:space="preserve">BIRCH                         </t>
  </si>
  <si>
    <t xml:space="preserve">BRADLEY                       </t>
  </si>
  <si>
    <t xml:space="preserve">CORNING                       </t>
  </si>
  <si>
    <t xml:space="preserve">HARDING                       </t>
  </si>
  <si>
    <t xml:space="preserve">KING                          </t>
  </si>
  <si>
    <t xml:space="preserve">MERRILL                       </t>
  </si>
  <si>
    <t xml:space="preserve">PINE RIVER                    </t>
  </si>
  <si>
    <t xml:space="preserve">ROCK FALLS                    </t>
  </si>
  <si>
    <t xml:space="preserve">SCHLEY                        </t>
  </si>
  <si>
    <t xml:space="preserve">SKANAWAN                      </t>
  </si>
  <si>
    <t xml:space="preserve">SOMO                          </t>
  </si>
  <si>
    <t xml:space="preserve">TOMAHAWK                      </t>
  </si>
  <si>
    <t xml:space="preserve">CATO                          </t>
  </si>
  <si>
    <t xml:space="preserve">CENTERVILLE                   </t>
  </si>
  <si>
    <t xml:space="preserve">COOPERSTOWN                   </t>
  </si>
  <si>
    <t xml:space="preserve">GIBSON                        </t>
  </si>
  <si>
    <t xml:space="preserve">KOSSUTH                       </t>
  </si>
  <si>
    <t xml:space="preserve">MANITOWOC                     </t>
  </si>
  <si>
    <t xml:space="preserve">MANITOWOC RAPIDS              </t>
  </si>
  <si>
    <t xml:space="preserve">MEEME                         </t>
  </si>
  <si>
    <t xml:space="preserve">MISHICOT                      </t>
  </si>
  <si>
    <t xml:space="preserve">NEWTON                        </t>
  </si>
  <si>
    <t xml:space="preserve">SCHLESWIG                     </t>
  </si>
  <si>
    <t xml:space="preserve">TWO CREEKS                    </t>
  </si>
  <si>
    <t xml:space="preserve">TWO RIVERS                    </t>
  </si>
  <si>
    <t xml:space="preserve">FRANCIS CREEK                 </t>
  </si>
  <si>
    <t xml:space="preserve">KELLNERSVILLE                 </t>
  </si>
  <si>
    <t xml:space="preserve">MARIBEL                       </t>
  </si>
  <si>
    <t xml:space="preserve">REEDSVILLE                    </t>
  </si>
  <si>
    <t xml:space="preserve">SAINT NAZIANZ                 </t>
  </si>
  <si>
    <t xml:space="preserve">VALDERS                       </t>
  </si>
  <si>
    <t xml:space="preserve">WHITELAW                      </t>
  </si>
  <si>
    <t xml:space="preserve">BERGEN                        </t>
  </si>
  <si>
    <t xml:space="preserve">BERN                          </t>
  </si>
  <si>
    <t xml:space="preserve">BEVENT                        </t>
  </si>
  <si>
    <t xml:space="preserve">CASSEL                        </t>
  </si>
  <si>
    <t xml:space="preserve">DAY                           </t>
  </si>
  <si>
    <t xml:space="preserve">EAU PLEINE                    </t>
  </si>
  <si>
    <t xml:space="preserve">ELDERON                       </t>
  </si>
  <si>
    <t xml:space="preserve">FRANKFORT                     </t>
  </si>
  <si>
    <t xml:space="preserve">FRANZEN                       </t>
  </si>
  <si>
    <t xml:space="preserve">GREEN VALLEY                  </t>
  </si>
  <si>
    <t xml:space="preserve">GUENTHER                      </t>
  </si>
  <si>
    <t xml:space="preserve">HALSEY                        </t>
  </si>
  <si>
    <t xml:space="preserve">HAMBURG                       </t>
  </si>
  <si>
    <t xml:space="preserve">HEWITT                        </t>
  </si>
  <si>
    <t xml:space="preserve">HOLTON                        </t>
  </si>
  <si>
    <t xml:space="preserve">HULL                          </t>
  </si>
  <si>
    <t xml:space="preserve">JOHNSON                       </t>
  </si>
  <si>
    <t xml:space="preserve">KNOWLTON                      </t>
  </si>
  <si>
    <t xml:space="preserve">MARATHON                      </t>
  </si>
  <si>
    <t xml:space="preserve">MCMILLAN                      </t>
  </si>
  <si>
    <t xml:space="preserve">MOSINEE                       </t>
  </si>
  <si>
    <t xml:space="preserve">NORRIE                        </t>
  </si>
  <si>
    <t xml:space="preserve">PLOVER                        </t>
  </si>
  <si>
    <t xml:space="preserve">REID                          </t>
  </si>
  <si>
    <t xml:space="preserve">RIB FALLS                     </t>
  </si>
  <si>
    <t xml:space="preserve">RIETBROCK                     </t>
  </si>
  <si>
    <t xml:space="preserve">RINGLE                        </t>
  </si>
  <si>
    <t xml:space="preserve">SPENCER                       </t>
  </si>
  <si>
    <t xml:space="preserve">STETTIN                       </t>
  </si>
  <si>
    <t xml:space="preserve">TEXAS                         </t>
  </si>
  <si>
    <t xml:space="preserve">WAUSAU                        </t>
  </si>
  <si>
    <t xml:space="preserve">WIEN                          </t>
  </si>
  <si>
    <t xml:space="preserve">ATHENS                        </t>
  </si>
  <si>
    <t xml:space="preserve">BIRNAMWOOD                    </t>
  </si>
  <si>
    <t xml:space="preserve">EDGAR                         </t>
  </si>
  <si>
    <t xml:space="preserve">FENWOOD                       </t>
  </si>
  <si>
    <t xml:space="preserve">HATLEY                        </t>
  </si>
  <si>
    <t xml:space="preserve">KRONENWETTER                  </t>
  </si>
  <si>
    <t xml:space="preserve">MAINE                         </t>
  </si>
  <si>
    <t xml:space="preserve">MARATHON CITY                 </t>
  </si>
  <si>
    <t xml:space="preserve">RIB MOUNTAIN                  </t>
  </si>
  <si>
    <t xml:space="preserve">ROTHSCHILD                    </t>
  </si>
  <si>
    <t xml:space="preserve">STRATFORD                     </t>
  </si>
  <si>
    <t xml:space="preserve">SCHOFIELD                     </t>
  </si>
  <si>
    <t xml:space="preserve">AMBERG                        </t>
  </si>
  <si>
    <t xml:space="preserve">ATHELSTANE                    </t>
  </si>
  <si>
    <t xml:space="preserve">BEECHER                       </t>
  </si>
  <si>
    <t xml:space="preserve">DUNBAR                        </t>
  </si>
  <si>
    <t xml:space="preserve">GOODMAN                       </t>
  </si>
  <si>
    <t xml:space="preserve">GROVER                        </t>
  </si>
  <si>
    <t xml:space="preserve">LAKE                          </t>
  </si>
  <si>
    <t xml:space="preserve">MIDDLE INLET                  </t>
  </si>
  <si>
    <t xml:space="preserve">NIAGARA                       </t>
  </si>
  <si>
    <t xml:space="preserve">PEMBINE                       </t>
  </si>
  <si>
    <t xml:space="preserve">PESHTIGO                      </t>
  </si>
  <si>
    <t xml:space="preserve">PORTERFIELD                   </t>
  </si>
  <si>
    <t xml:space="preserve">POUND                         </t>
  </si>
  <si>
    <t xml:space="preserve">SILVER CLIFF                  </t>
  </si>
  <si>
    <t xml:space="preserve">STEPHENSON                    </t>
  </si>
  <si>
    <t xml:space="preserve">WAGNER                        </t>
  </si>
  <si>
    <t xml:space="preserve">WAUSAUKEE                     </t>
  </si>
  <si>
    <t xml:space="preserve">COLEMAN                       </t>
  </si>
  <si>
    <t xml:space="preserve">CRIVITZ                       </t>
  </si>
  <si>
    <t xml:space="preserve">MARINETTE                     </t>
  </si>
  <si>
    <t xml:space="preserve">HARRIS                        </t>
  </si>
  <si>
    <t xml:space="preserve">MECAN                         </t>
  </si>
  <si>
    <t xml:space="preserve">MONTELLO                      </t>
  </si>
  <si>
    <t xml:space="preserve">MOUNDVILLE                    </t>
  </si>
  <si>
    <t xml:space="preserve">NESHKORO                      </t>
  </si>
  <si>
    <t xml:space="preserve">OXFORD                        </t>
  </si>
  <si>
    <t xml:space="preserve">PACKWAUKEE                    </t>
  </si>
  <si>
    <t xml:space="preserve">WESTFIELD                     </t>
  </si>
  <si>
    <t xml:space="preserve">ENDEAVOR                      </t>
  </si>
  <si>
    <t xml:space="preserve">BAYSIDE                       </t>
  </si>
  <si>
    <t xml:space="preserve">BROWN DEER                    </t>
  </si>
  <si>
    <t xml:space="preserve">FOX POINT                     </t>
  </si>
  <si>
    <t xml:space="preserve">GREENDALE                     </t>
  </si>
  <si>
    <t xml:space="preserve">HALES CORNERS                 </t>
  </si>
  <si>
    <t xml:space="preserve">RIVER HILLS                   </t>
  </si>
  <si>
    <t xml:space="preserve">SHOREWOOD                     </t>
  </si>
  <si>
    <t xml:space="preserve">WEST MILWAUKEE                </t>
  </si>
  <si>
    <t xml:space="preserve">WHITEFISH BAY                 </t>
  </si>
  <si>
    <t xml:space="preserve">CUDAHY                        </t>
  </si>
  <si>
    <t xml:space="preserve">GLENDALE                      </t>
  </si>
  <si>
    <t xml:space="preserve">MILWAUKEE                     </t>
  </si>
  <si>
    <t xml:space="preserve">OAK CREEK                     </t>
  </si>
  <si>
    <t xml:space="preserve">SAINT FRANCIS                 </t>
  </si>
  <si>
    <t xml:space="preserve">SOUTH MILWAUKEE               </t>
  </si>
  <si>
    <t xml:space="preserve">WAUWATOSA                     </t>
  </si>
  <si>
    <t xml:space="preserve">WEST ALLIS                    </t>
  </si>
  <si>
    <t xml:space="preserve">ADRIAN                        </t>
  </si>
  <si>
    <t xml:space="preserve">ANGELO                        </t>
  </si>
  <si>
    <t xml:space="preserve">LA FAYETTE                    </t>
  </si>
  <si>
    <t xml:space="preserve">LA GRANGE                     </t>
  </si>
  <si>
    <t xml:space="preserve">LEON                          </t>
  </si>
  <si>
    <t xml:space="preserve">LITTLE FALLS                  </t>
  </si>
  <si>
    <t xml:space="preserve">NEW LYME                      </t>
  </si>
  <si>
    <t xml:space="preserve">OAKDALE                       </t>
  </si>
  <si>
    <t xml:space="preserve">RIDGEVILLE                    </t>
  </si>
  <si>
    <t xml:space="preserve">SHELDON                       </t>
  </si>
  <si>
    <t xml:space="preserve">SPARTA                        </t>
  </si>
  <si>
    <t xml:space="preserve">TOMAH                         </t>
  </si>
  <si>
    <t xml:space="preserve">WELLINGTON                    </t>
  </si>
  <si>
    <t xml:space="preserve">WELLS                         </t>
  </si>
  <si>
    <t xml:space="preserve">WILTON                        </t>
  </si>
  <si>
    <t xml:space="preserve">CASHTON                       </t>
  </si>
  <si>
    <t xml:space="preserve">MELVINA                       </t>
  </si>
  <si>
    <t xml:space="preserve">NORWALK                       </t>
  </si>
  <si>
    <t xml:space="preserve">ONTARIO                       </t>
  </si>
  <si>
    <t xml:space="preserve">WARRENS                       </t>
  </si>
  <si>
    <t xml:space="preserve">WYEVILLE                      </t>
  </si>
  <si>
    <t xml:space="preserve">ABRAMS                        </t>
  </si>
  <si>
    <t xml:space="preserve">BRAZEAU                       </t>
  </si>
  <si>
    <t xml:space="preserve">BREED                         </t>
  </si>
  <si>
    <t xml:space="preserve">CHASE                         </t>
  </si>
  <si>
    <t xml:space="preserve">DOTY                          </t>
  </si>
  <si>
    <t xml:space="preserve">GILLETT                       </t>
  </si>
  <si>
    <t xml:space="preserve">HOW                           </t>
  </si>
  <si>
    <t xml:space="preserve">LAKEWOOD                      </t>
  </si>
  <si>
    <t xml:space="preserve">LENA                          </t>
  </si>
  <si>
    <t xml:space="preserve">LITTLE RIVER                  </t>
  </si>
  <si>
    <t xml:space="preserve">LITTLE SUAMICO                </t>
  </si>
  <si>
    <t xml:space="preserve">MAPLE VALLEY                  </t>
  </si>
  <si>
    <t xml:space="preserve">MORGAN                        </t>
  </si>
  <si>
    <t xml:space="preserve">MOUNTAIN                      </t>
  </si>
  <si>
    <t xml:space="preserve">OCONTO                        </t>
  </si>
  <si>
    <t xml:space="preserve">OCONTO FALLS                  </t>
  </si>
  <si>
    <t xml:space="preserve">PENSAUKEE                     </t>
  </si>
  <si>
    <t xml:space="preserve">RIVERVIEW                     </t>
  </si>
  <si>
    <t xml:space="preserve">SPRUCE                        </t>
  </si>
  <si>
    <t xml:space="preserve">STILES                        </t>
  </si>
  <si>
    <t xml:space="preserve">TOWNSEND                      </t>
  </si>
  <si>
    <t xml:space="preserve">UNDERHILL                     </t>
  </si>
  <si>
    <t xml:space="preserve">SURING                        </t>
  </si>
  <si>
    <t xml:space="preserve">CASSIAN                       </t>
  </si>
  <si>
    <t xml:space="preserve">CRESCENT                      </t>
  </si>
  <si>
    <t xml:space="preserve">ENTERPRISE                    </t>
  </si>
  <si>
    <t xml:space="preserve">HAZELHURST                    </t>
  </si>
  <si>
    <t xml:space="preserve">LAKE TOMAHAWK                 </t>
  </si>
  <si>
    <t xml:space="preserve">LITTLE RICE                   </t>
  </si>
  <si>
    <t xml:space="preserve">LYNNE                         </t>
  </si>
  <si>
    <t xml:space="preserve">MINOCQUA                      </t>
  </si>
  <si>
    <t xml:space="preserve">MONICO                        </t>
  </si>
  <si>
    <t xml:space="preserve">NEWBOLD                       </t>
  </si>
  <si>
    <t xml:space="preserve">NOKOMIS                       </t>
  </si>
  <si>
    <t xml:space="preserve">PELICAN                       </t>
  </si>
  <si>
    <t xml:space="preserve">PIEHL                         </t>
  </si>
  <si>
    <t xml:space="preserve">PINE LAKE                     </t>
  </si>
  <si>
    <t xml:space="preserve">SCHOEPKE                      </t>
  </si>
  <si>
    <t xml:space="preserve">STELLA                        </t>
  </si>
  <si>
    <t xml:space="preserve">SUGAR CAMP                    </t>
  </si>
  <si>
    <t xml:space="preserve">THREE LAKES                   </t>
  </si>
  <si>
    <t xml:space="preserve">WOODBORO                      </t>
  </si>
  <si>
    <t xml:space="preserve">WOODRUFF                      </t>
  </si>
  <si>
    <t xml:space="preserve">RHINELANDER                   </t>
  </si>
  <si>
    <t xml:space="preserve">ONEIDA                        </t>
  </si>
  <si>
    <t xml:space="preserve">BLACK CREEK                   </t>
  </si>
  <si>
    <t xml:space="preserve">BOVINA                        </t>
  </si>
  <si>
    <t xml:space="preserve">BUCHANAN                      </t>
  </si>
  <si>
    <t xml:space="preserve">CENTER                        </t>
  </si>
  <si>
    <t xml:space="preserve">CICERO                        </t>
  </si>
  <si>
    <t xml:space="preserve">DALE                          </t>
  </si>
  <si>
    <t xml:space="preserve">DEER CREEK                    </t>
  </si>
  <si>
    <t xml:space="preserve">ELLINGTON                     </t>
  </si>
  <si>
    <t xml:space="preserve">GRAND CHUTE                   </t>
  </si>
  <si>
    <t xml:space="preserve">HORTONIA                      </t>
  </si>
  <si>
    <t xml:space="preserve">MAPLE CREEK                   </t>
  </si>
  <si>
    <t xml:space="preserve">OSBORN                        </t>
  </si>
  <si>
    <t xml:space="preserve">VANDENBROEK                   </t>
  </si>
  <si>
    <t xml:space="preserve">BEAR CREEK                    </t>
  </si>
  <si>
    <t xml:space="preserve">COMBINED LOCKS                </t>
  </si>
  <si>
    <t xml:space="preserve">FOX CROSSING                  </t>
  </si>
  <si>
    <t xml:space="preserve">GREENVILLE                    </t>
  </si>
  <si>
    <t xml:space="preserve">HORTONVILLE                   </t>
  </si>
  <si>
    <t xml:space="preserve">KIMBERLY                      </t>
  </si>
  <si>
    <t xml:space="preserve">LITTLE CHUTE                  </t>
  </si>
  <si>
    <t xml:space="preserve">NICHOLS                       </t>
  </si>
  <si>
    <t xml:space="preserve">SHIOCTON                      </t>
  </si>
  <si>
    <t xml:space="preserve">NEW LONDON                    </t>
  </si>
  <si>
    <t xml:space="preserve">OUTAGAMIE                     </t>
  </si>
  <si>
    <t xml:space="preserve">BELGIUM                       </t>
  </si>
  <si>
    <t xml:space="preserve">CEDARBURG                     </t>
  </si>
  <si>
    <t xml:space="preserve">FREDONIA                      </t>
  </si>
  <si>
    <t xml:space="preserve">GRAFTON                       </t>
  </si>
  <si>
    <t xml:space="preserve">PORT WASHINGTON               </t>
  </si>
  <si>
    <t xml:space="preserve">SAUKVILLE                     </t>
  </si>
  <si>
    <t xml:space="preserve">NEWBURG                       </t>
  </si>
  <si>
    <t xml:space="preserve">THIENSVILLE                   </t>
  </si>
  <si>
    <t xml:space="preserve">MEQUON                        </t>
  </si>
  <si>
    <t xml:space="preserve">OZAUKEE                       </t>
  </si>
  <si>
    <t xml:space="preserve">DURAND                        </t>
  </si>
  <si>
    <t xml:space="preserve">PEPIN                         </t>
  </si>
  <si>
    <t xml:space="preserve">STOCKHOLM                     </t>
  </si>
  <si>
    <t xml:space="preserve">WATERVILLE                    </t>
  </si>
  <si>
    <t xml:space="preserve">WAUBEEK                       </t>
  </si>
  <si>
    <t xml:space="preserve">DIAMOND BLUFF                 </t>
  </si>
  <si>
    <t xml:space="preserve">ELLSWORTH                     </t>
  </si>
  <si>
    <t xml:space="preserve">EL PASO                       </t>
  </si>
  <si>
    <t xml:space="preserve">GILMAN                        </t>
  </si>
  <si>
    <t xml:space="preserve">HARTLAND                      </t>
  </si>
  <si>
    <t xml:space="preserve">ISABELLE                      </t>
  </si>
  <si>
    <t xml:space="preserve">MAIDEN ROCK                   </t>
  </si>
  <si>
    <t xml:space="preserve">MARTELL                       </t>
  </si>
  <si>
    <t xml:space="preserve">RIVER FALLS                   </t>
  </si>
  <si>
    <t xml:space="preserve">ROCK ELM                      </t>
  </si>
  <si>
    <t xml:space="preserve">SALEM                         </t>
  </si>
  <si>
    <t xml:space="preserve">SPRING LAKE                   </t>
  </si>
  <si>
    <t xml:space="preserve">TRIMBELLE                     </t>
  </si>
  <si>
    <t xml:space="preserve">BAY CITY                      </t>
  </si>
  <si>
    <t xml:space="preserve">ELMWOOD                       </t>
  </si>
  <si>
    <t xml:space="preserve">PLUM CITY                     </t>
  </si>
  <si>
    <t xml:space="preserve">SPRING VALLEY                 </t>
  </si>
  <si>
    <t xml:space="preserve">PRESCOTT                      </t>
  </si>
  <si>
    <t xml:space="preserve">ALDEN                         </t>
  </si>
  <si>
    <t xml:space="preserve">APPLE RIVER                   </t>
  </si>
  <si>
    <t xml:space="preserve">BALSAM LAKE                   </t>
  </si>
  <si>
    <t xml:space="preserve">BLACK BROOK                   </t>
  </si>
  <si>
    <t xml:space="preserve">BONE LAKE                     </t>
  </si>
  <si>
    <t xml:space="preserve">CLAM FALLS                    </t>
  </si>
  <si>
    <t xml:space="preserve">CLEAR LAKE                    </t>
  </si>
  <si>
    <t xml:space="preserve">EUREKA                        </t>
  </si>
  <si>
    <t xml:space="preserve">GEORGETOWN                    </t>
  </si>
  <si>
    <t xml:space="preserve">JOHNSTOWN                     </t>
  </si>
  <si>
    <t xml:space="preserve">LAKETOWN                      </t>
  </si>
  <si>
    <t xml:space="preserve">LORAIN                        </t>
  </si>
  <si>
    <t xml:space="preserve">LUCK                          </t>
  </si>
  <si>
    <t xml:space="preserve">MCKINLEY                      </t>
  </si>
  <si>
    <t xml:space="preserve">MILLTOWN                      </t>
  </si>
  <si>
    <t xml:space="preserve">SAINT CROIX FALLS             </t>
  </si>
  <si>
    <t xml:space="preserve">STERLING                      </t>
  </si>
  <si>
    <t xml:space="preserve">WEST SWEDEN                   </t>
  </si>
  <si>
    <t xml:space="preserve">CENTURIA                      </t>
  </si>
  <si>
    <t xml:space="preserve">DRESSER                       </t>
  </si>
  <si>
    <t xml:space="preserve">FREDERIC                      </t>
  </si>
  <si>
    <t xml:space="preserve">AMERY                         </t>
  </si>
  <si>
    <t xml:space="preserve">POLK                          </t>
  </si>
  <si>
    <t xml:space="preserve">ALBAN                         </t>
  </si>
  <si>
    <t xml:space="preserve">ALMOND                        </t>
  </si>
  <si>
    <t xml:space="preserve">AMHERST                       </t>
  </si>
  <si>
    <t xml:space="preserve">BUENA VISTA                   </t>
  </si>
  <si>
    <t xml:space="preserve">CARSON                        </t>
  </si>
  <si>
    <t xml:space="preserve">LANARK                        </t>
  </si>
  <si>
    <t xml:space="preserve">LINWOOD                       </t>
  </si>
  <si>
    <t xml:space="preserve">NEW HOPE                      </t>
  </si>
  <si>
    <t xml:space="preserve">PINE GROVE                    </t>
  </si>
  <si>
    <t xml:space="preserve">SHARON                        </t>
  </si>
  <si>
    <t xml:space="preserve">STOCKTON                      </t>
  </si>
  <si>
    <t xml:space="preserve">AMHERST JUNCTION              </t>
  </si>
  <si>
    <t xml:space="preserve">JUNCTION CITY                 </t>
  </si>
  <si>
    <t xml:space="preserve">MILLADORE                     </t>
  </si>
  <si>
    <t xml:space="preserve">NELSONVILLE                   </t>
  </si>
  <si>
    <t xml:space="preserve">PARK RIDGE                    </t>
  </si>
  <si>
    <t xml:space="preserve">ROSHOLT                       </t>
  </si>
  <si>
    <t xml:space="preserve">WHITING                       </t>
  </si>
  <si>
    <t xml:space="preserve">STEVENS POINT                 </t>
  </si>
  <si>
    <t xml:space="preserve">CATAWBA                       </t>
  </si>
  <si>
    <t xml:space="preserve">EISENSTEIN                    </t>
  </si>
  <si>
    <t xml:space="preserve">ELK                           </t>
  </si>
  <si>
    <t xml:space="preserve">EMERY                         </t>
  </si>
  <si>
    <t xml:space="preserve">FIFIELD                       </t>
  </si>
  <si>
    <t xml:space="preserve">FLAMBEAU                      </t>
  </si>
  <si>
    <t xml:space="preserve">HACKETT                       </t>
  </si>
  <si>
    <t xml:space="preserve">HARMONY                       </t>
  </si>
  <si>
    <t xml:space="preserve">HILL                          </t>
  </si>
  <si>
    <t xml:space="preserve">KENNAN                        </t>
  </si>
  <si>
    <t xml:space="preserve">KNOX                          </t>
  </si>
  <si>
    <t xml:space="preserve">OGEMA                         </t>
  </si>
  <si>
    <t xml:space="preserve">PRENTICE                      </t>
  </si>
  <si>
    <t xml:space="preserve">SPIRIT                        </t>
  </si>
  <si>
    <t xml:space="preserve">WORCESTER                     </t>
  </si>
  <si>
    <t xml:space="preserve">PARK FALLS                    </t>
  </si>
  <si>
    <t xml:space="preserve">PHILLIPS                      </t>
  </si>
  <si>
    <t xml:space="preserve">BURLINGTON                    </t>
  </si>
  <si>
    <t xml:space="preserve">NORWAY                        </t>
  </si>
  <si>
    <t xml:space="preserve">WATERFORD                     </t>
  </si>
  <si>
    <t xml:space="preserve">ELMWOOD PARK                  </t>
  </si>
  <si>
    <t xml:space="preserve">NORTH BAY                     </t>
  </si>
  <si>
    <t xml:space="preserve">RAYMOND                       </t>
  </si>
  <si>
    <t xml:space="preserve">ROCHESTER                     </t>
  </si>
  <si>
    <t xml:space="preserve">STURTEVANT                    </t>
  </si>
  <si>
    <t xml:space="preserve">UNION GROVE                   </t>
  </si>
  <si>
    <t xml:space="preserve">WIND POINT                    </t>
  </si>
  <si>
    <t xml:space="preserve">YORKVILLE                     </t>
  </si>
  <si>
    <t xml:space="preserve">RACINE                        </t>
  </si>
  <si>
    <t xml:space="preserve">AKAN                          </t>
  </si>
  <si>
    <t xml:space="preserve">BLOOM                         </t>
  </si>
  <si>
    <t xml:space="preserve">DAYTON                        </t>
  </si>
  <si>
    <t xml:space="preserve">EAGLE                         </t>
  </si>
  <si>
    <t xml:space="preserve">HENRIETTA                     </t>
  </si>
  <si>
    <t xml:space="preserve">ITHACA                        </t>
  </si>
  <si>
    <t xml:space="preserve">ORION                         </t>
  </si>
  <si>
    <t xml:space="preserve">RICHLAND                      </t>
  </si>
  <si>
    <t xml:space="preserve">RICHWOOD                      </t>
  </si>
  <si>
    <t xml:space="preserve">ROCKBRIDGE                    </t>
  </si>
  <si>
    <t xml:space="preserve">SYLVAN                        </t>
  </si>
  <si>
    <t xml:space="preserve">WILLOW                        </t>
  </si>
  <si>
    <t xml:space="preserve">BOAZ                          </t>
  </si>
  <si>
    <t xml:space="preserve">CAZENOVIA                     </t>
  </si>
  <si>
    <t xml:space="preserve">LONE ROCK                     </t>
  </si>
  <si>
    <t xml:space="preserve">VIOLA                         </t>
  </si>
  <si>
    <t xml:space="preserve">YUBA                          </t>
  </si>
  <si>
    <t xml:space="preserve">RICHLAND CENTER               </t>
  </si>
  <si>
    <t xml:space="preserve">AVON                          </t>
  </si>
  <si>
    <t xml:space="preserve">BELOIT                        </t>
  </si>
  <si>
    <t xml:space="preserve">BRADFORD                      </t>
  </si>
  <si>
    <t xml:space="preserve">FULTON                        </t>
  </si>
  <si>
    <t xml:space="preserve">JANESVILLE                    </t>
  </si>
  <si>
    <t xml:space="preserve">LA PRAIRIE                    </t>
  </si>
  <si>
    <t xml:space="preserve">MAGNOLIA                      </t>
  </si>
  <si>
    <t xml:space="preserve">NEWARK                        </t>
  </si>
  <si>
    <t xml:space="preserve">PORTER                        </t>
  </si>
  <si>
    <t xml:space="preserve">ROCK                          </t>
  </si>
  <si>
    <t xml:space="preserve">TURTLE                        </t>
  </si>
  <si>
    <t xml:space="preserve">FOOTVILLE                     </t>
  </si>
  <si>
    <t xml:space="preserve">ORFORDVILLE                   </t>
  </si>
  <si>
    <t xml:space="preserve">EVANSVILLE                    </t>
  </si>
  <si>
    <t xml:space="preserve">ATLANTA                       </t>
  </si>
  <si>
    <t xml:space="preserve">BIG BEND                      </t>
  </si>
  <si>
    <t xml:space="preserve">BIG FALLS                     </t>
  </si>
  <si>
    <t xml:space="preserve">CEDAR RAPIDS                  </t>
  </si>
  <si>
    <t xml:space="preserve">GROW                          </t>
  </si>
  <si>
    <t xml:space="preserve">HAWKINS                       </t>
  </si>
  <si>
    <t xml:space="preserve">MURRY                         </t>
  </si>
  <si>
    <t xml:space="preserve">SOUTH FORK                    </t>
  </si>
  <si>
    <t xml:space="preserve">STRICKLAND                    </t>
  </si>
  <si>
    <t xml:space="preserve">STUBBS                        </t>
  </si>
  <si>
    <t xml:space="preserve">THORNAPPLE                    </t>
  </si>
  <si>
    <t xml:space="preserve">TRUE                          </t>
  </si>
  <si>
    <t xml:space="preserve">WILKINSON                     </t>
  </si>
  <si>
    <t xml:space="preserve">WILLARD                       </t>
  </si>
  <si>
    <t xml:space="preserve">BRUCE                         </t>
  </si>
  <si>
    <t xml:space="preserve">CONRATH                       </t>
  </si>
  <si>
    <t xml:space="preserve">GLEN FLORA                    </t>
  </si>
  <si>
    <t xml:space="preserve">INGRAM                        </t>
  </si>
  <si>
    <t xml:space="preserve">TONY                          </t>
  </si>
  <si>
    <t xml:space="preserve">WEYERHAEUSER                  </t>
  </si>
  <si>
    <t xml:space="preserve">LADYSMITH                     </t>
  </si>
  <si>
    <t xml:space="preserve">BALDWIN                       </t>
  </si>
  <si>
    <t xml:space="preserve">CADY                          </t>
  </si>
  <si>
    <t xml:space="preserve">CYLON                         </t>
  </si>
  <si>
    <t xml:space="preserve">EMERALD                       </t>
  </si>
  <si>
    <t xml:space="preserve">ERIN PRAIRIE                  </t>
  </si>
  <si>
    <t xml:space="preserve">GLENWOOD                      </t>
  </si>
  <si>
    <t xml:space="preserve">HAMMOND                       </t>
  </si>
  <si>
    <t xml:space="preserve">HUDSON                        </t>
  </si>
  <si>
    <t xml:space="preserve">KINNICKINNIC                  </t>
  </si>
  <si>
    <t xml:space="preserve">RICHMOND                      </t>
  </si>
  <si>
    <t xml:space="preserve">RUSH RIVER                    </t>
  </si>
  <si>
    <t xml:space="preserve">SAINT JOSEPH                  </t>
  </si>
  <si>
    <t xml:space="preserve">SOMERSET                      </t>
  </si>
  <si>
    <t xml:space="preserve">STAR PRAIRIE                  </t>
  </si>
  <si>
    <t xml:space="preserve">TROY                          </t>
  </si>
  <si>
    <t xml:space="preserve">WARREN                        </t>
  </si>
  <si>
    <t xml:space="preserve">DEER PARK                     </t>
  </si>
  <si>
    <t xml:space="preserve">NORTH HUDSON                  </t>
  </si>
  <si>
    <t xml:space="preserve">ROBERTS                       </t>
  </si>
  <si>
    <t xml:space="preserve">GLENWOOD CITY                 </t>
  </si>
  <si>
    <t xml:space="preserve">NEW RICHMOND                  </t>
  </si>
  <si>
    <t xml:space="preserve">ST CROIX                      </t>
  </si>
  <si>
    <t xml:space="preserve">BARABOO                       </t>
  </si>
  <si>
    <t xml:space="preserve">DELLONA                       </t>
  </si>
  <si>
    <t xml:space="preserve">DELTON                        </t>
  </si>
  <si>
    <t xml:space="preserve">EXCELSIOR                     </t>
  </si>
  <si>
    <t xml:space="preserve">FAIRFIELD                     </t>
  </si>
  <si>
    <t xml:space="preserve">HONEY CREEK                   </t>
  </si>
  <si>
    <t xml:space="preserve">IRONTON                       </t>
  </si>
  <si>
    <t xml:space="preserve">LA VALLE                      </t>
  </si>
  <si>
    <t xml:space="preserve">MERRIMAC                      </t>
  </si>
  <si>
    <t xml:space="preserve">PRAIRIE DU SAC                </t>
  </si>
  <si>
    <t xml:space="preserve">REEDSBURG                     </t>
  </si>
  <si>
    <t xml:space="preserve">SPRING GREEN                  </t>
  </si>
  <si>
    <t xml:space="preserve">SUMPTER                       </t>
  </si>
  <si>
    <t xml:space="preserve">WINFIELD                      </t>
  </si>
  <si>
    <t xml:space="preserve">WOODLAND                      </t>
  </si>
  <si>
    <t xml:space="preserve">LAKE DELTON                   </t>
  </si>
  <si>
    <t xml:space="preserve">LIME RIDGE                    </t>
  </si>
  <si>
    <t xml:space="preserve">LOGANVILLE                    </t>
  </si>
  <si>
    <t xml:space="preserve">NORTH FREEDOM                 </t>
  </si>
  <si>
    <t xml:space="preserve">PLAIN                         </t>
  </si>
  <si>
    <t xml:space="preserve">ROCK SPRINGS                  </t>
  </si>
  <si>
    <t xml:space="preserve">SAUK CITY                     </t>
  </si>
  <si>
    <t xml:space="preserve">WEST BARABOO                  </t>
  </si>
  <si>
    <t xml:space="preserve">SAUK                          </t>
  </si>
  <si>
    <t xml:space="preserve">BASS LAKE                     </t>
  </si>
  <si>
    <t xml:space="preserve">COUDERAY                      </t>
  </si>
  <si>
    <t xml:space="preserve">DRAPER                        </t>
  </si>
  <si>
    <t xml:space="preserve">EDGEWATER                     </t>
  </si>
  <si>
    <t xml:space="preserve">HAYWARD                       </t>
  </si>
  <si>
    <t xml:space="preserve">HUNTER                        </t>
  </si>
  <si>
    <t xml:space="preserve">LENROOT                       </t>
  </si>
  <si>
    <t xml:space="preserve">MEADOWBROOK                   </t>
  </si>
  <si>
    <t xml:space="preserve">METEOR                        </t>
  </si>
  <si>
    <t xml:space="preserve">OJIBWA                        </t>
  </si>
  <si>
    <t xml:space="preserve">RADISSON                      </t>
  </si>
  <si>
    <t xml:space="preserve">ROUND LAKE                    </t>
  </si>
  <si>
    <t xml:space="preserve">SPIDER LAKE                   </t>
  </si>
  <si>
    <t xml:space="preserve">WEIRGOR                       </t>
  </si>
  <si>
    <t xml:space="preserve">WINTER                        </t>
  </si>
  <si>
    <t xml:space="preserve">EXELAND                       </t>
  </si>
  <si>
    <t xml:space="preserve">SAWYER                        </t>
  </si>
  <si>
    <t xml:space="preserve">ALMON                         </t>
  </si>
  <si>
    <t xml:space="preserve">ANGELICA                      </t>
  </si>
  <si>
    <t xml:space="preserve">ANIWA                         </t>
  </si>
  <si>
    <t xml:space="preserve">BARTELME                      </t>
  </si>
  <si>
    <t xml:space="preserve">BELLE PLAINE                  </t>
  </si>
  <si>
    <t xml:space="preserve">FAIRBANKS                     </t>
  </si>
  <si>
    <t xml:space="preserve">GERMANIA                      </t>
  </si>
  <si>
    <t xml:space="preserve">HUTCHINS                      </t>
  </si>
  <si>
    <t xml:space="preserve">LESSOR                        </t>
  </si>
  <si>
    <t xml:space="preserve">MORRIS                        </t>
  </si>
  <si>
    <t xml:space="preserve">NAVARINO                      </t>
  </si>
  <si>
    <t xml:space="preserve">PELLA                         </t>
  </si>
  <si>
    <t xml:space="preserve">RED SPRINGS                   </t>
  </si>
  <si>
    <t xml:space="preserve">WAUKECHON                     </t>
  </si>
  <si>
    <t xml:space="preserve">WESCOTT                       </t>
  </si>
  <si>
    <t xml:space="preserve">WITTENBERG                    </t>
  </si>
  <si>
    <t xml:space="preserve">BONDUEL                       </t>
  </si>
  <si>
    <t xml:space="preserve">BOWLER                        </t>
  </si>
  <si>
    <t xml:space="preserve">CECIL                         </t>
  </si>
  <si>
    <t xml:space="preserve">ELAND                         </t>
  </si>
  <si>
    <t xml:space="preserve">GRESHAM                       </t>
  </si>
  <si>
    <t xml:space="preserve">MATTOON                       </t>
  </si>
  <si>
    <t xml:space="preserve">TIGERTON                      </t>
  </si>
  <si>
    <t xml:space="preserve">SHAWANO                       </t>
  </si>
  <si>
    <t xml:space="preserve">GREENBUSH                     </t>
  </si>
  <si>
    <t xml:space="preserve">MITCHELL                      </t>
  </si>
  <si>
    <t xml:space="preserve">MOSEL                         </t>
  </si>
  <si>
    <t xml:space="preserve">RHINE                         </t>
  </si>
  <si>
    <t xml:space="preserve">SHEBOYGAN                     </t>
  </si>
  <si>
    <t xml:space="preserve">SHEBOYGAN FALLS               </t>
  </si>
  <si>
    <t xml:space="preserve">ADELL                         </t>
  </si>
  <si>
    <t xml:space="preserve">CASCADE                       </t>
  </si>
  <si>
    <t xml:space="preserve">CEDAR GROVE                   </t>
  </si>
  <si>
    <t xml:space="preserve">ELKHART LAKE                  </t>
  </si>
  <si>
    <t xml:space="preserve">GLENBEULAH                    </t>
  </si>
  <si>
    <t xml:space="preserve">HOWARDS GROVE                 </t>
  </si>
  <si>
    <t xml:space="preserve">KOHLER                        </t>
  </si>
  <si>
    <t xml:space="preserve">OOSTBURG                      </t>
  </si>
  <si>
    <t xml:space="preserve">RANDOM LAKE                   </t>
  </si>
  <si>
    <t xml:space="preserve">WALDO                         </t>
  </si>
  <si>
    <t xml:space="preserve">BROWNING                      </t>
  </si>
  <si>
    <t xml:space="preserve">CHELSEA                       </t>
  </si>
  <si>
    <t xml:space="preserve">FORD                          </t>
  </si>
  <si>
    <t xml:space="preserve">GOODRICH                      </t>
  </si>
  <si>
    <t xml:space="preserve">HAMMEL                        </t>
  </si>
  <si>
    <t xml:space="preserve">HOLWAY                        </t>
  </si>
  <si>
    <t xml:space="preserve">JUMP RIVER                    </t>
  </si>
  <si>
    <t xml:space="preserve">LITTLE BLACK                  </t>
  </si>
  <si>
    <t xml:space="preserve">MAPLEHURST                    </t>
  </si>
  <si>
    <t xml:space="preserve">MEDFORD                       </t>
  </si>
  <si>
    <t xml:space="preserve">MOLITOR                       </t>
  </si>
  <si>
    <t xml:space="preserve">PERSHING                      </t>
  </si>
  <si>
    <t xml:space="preserve">RIB LAKE                      </t>
  </si>
  <si>
    <t xml:space="preserve">TAFT                          </t>
  </si>
  <si>
    <t xml:space="preserve">WESTBORO                      </t>
  </si>
  <si>
    <t xml:space="preserve">LUBLIN                        </t>
  </si>
  <si>
    <t xml:space="preserve">STETSONVILLE                  </t>
  </si>
  <si>
    <t xml:space="preserve">ARCADIA                       </t>
  </si>
  <si>
    <t xml:space="preserve">BURNSIDE                      </t>
  </si>
  <si>
    <t xml:space="preserve">CHIMNEY ROCK                  </t>
  </si>
  <si>
    <t xml:space="preserve">ETTRICK                       </t>
  </si>
  <si>
    <t xml:space="preserve">GALE                          </t>
  </si>
  <si>
    <t xml:space="preserve">HALE                          </t>
  </si>
  <si>
    <t xml:space="preserve">PIGEON                        </t>
  </si>
  <si>
    <t xml:space="preserve">TREMPEALEAU                   </t>
  </si>
  <si>
    <t xml:space="preserve">ELEVA                         </t>
  </si>
  <si>
    <t xml:space="preserve">PIGEON FALLS                  </t>
  </si>
  <si>
    <t xml:space="preserve">STRUM                         </t>
  </si>
  <si>
    <t xml:space="preserve">BLAIR                         </t>
  </si>
  <si>
    <t xml:space="preserve">GALESVILLE                    </t>
  </si>
  <si>
    <t xml:space="preserve">INDEPENDENCE                  </t>
  </si>
  <si>
    <t xml:space="preserve">OSSEO                         </t>
  </si>
  <si>
    <t xml:space="preserve">WHITEHALL                     </t>
  </si>
  <si>
    <t xml:space="preserve">COON                          </t>
  </si>
  <si>
    <t xml:space="preserve">GENOA                         </t>
  </si>
  <si>
    <t xml:space="preserve">HILLSBORO                     </t>
  </si>
  <si>
    <t xml:space="preserve">KICKAPOO                      </t>
  </si>
  <si>
    <t xml:space="preserve">STARK                         </t>
  </si>
  <si>
    <t xml:space="preserve">VIROQUA                       </t>
  </si>
  <si>
    <t xml:space="preserve">WHITESTOWN                    </t>
  </si>
  <si>
    <t xml:space="preserve">CHASEBURG                     </t>
  </si>
  <si>
    <t xml:space="preserve">COON VALLEY                   </t>
  </si>
  <si>
    <t xml:space="preserve">LA FARGE                      </t>
  </si>
  <si>
    <t xml:space="preserve">READSTOWN                     </t>
  </si>
  <si>
    <t xml:space="preserve">STODDARD                      </t>
  </si>
  <si>
    <t xml:space="preserve">WESTBY                        </t>
  </si>
  <si>
    <t xml:space="preserve">VERNON                        </t>
  </si>
  <si>
    <t xml:space="preserve">ARBOR VITAE                   </t>
  </si>
  <si>
    <t xml:space="preserve">BOULDER JUNCTION              </t>
  </si>
  <si>
    <t xml:space="preserve">CONOVER                       </t>
  </si>
  <si>
    <t xml:space="preserve">LAC DU FLAMBEAU               </t>
  </si>
  <si>
    <t xml:space="preserve">LAND O LAKES                  </t>
  </si>
  <si>
    <t xml:space="preserve">MANITOWISH WATERS             </t>
  </si>
  <si>
    <t xml:space="preserve">PHELPS                        </t>
  </si>
  <si>
    <t xml:space="preserve">PLUM LAKE                     </t>
  </si>
  <si>
    <t xml:space="preserve">PRESQUE ISLE                  </t>
  </si>
  <si>
    <t xml:space="preserve">SAINT GERMAIN                 </t>
  </si>
  <si>
    <t xml:space="preserve">WINCHESTER                    </t>
  </si>
  <si>
    <t xml:space="preserve">EAGLE RIVER                   </t>
  </si>
  <si>
    <t xml:space="preserve">BLOOMFIELD                    </t>
  </si>
  <si>
    <t xml:space="preserve">DARIEN                        </t>
  </si>
  <si>
    <t xml:space="preserve">DELAVAN                       </t>
  </si>
  <si>
    <t xml:space="preserve">EAST TROY                     </t>
  </si>
  <si>
    <t xml:space="preserve">GENEVA                        </t>
  </si>
  <si>
    <t xml:space="preserve">LINN                          </t>
  </si>
  <si>
    <t xml:space="preserve">LYONS                         </t>
  </si>
  <si>
    <t xml:space="preserve">SPRING PRAIRIE                </t>
  </si>
  <si>
    <t xml:space="preserve">SUGAR CREEK                   </t>
  </si>
  <si>
    <t xml:space="preserve">WALWORTH                      </t>
  </si>
  <si>
    <t xml:space="preserve">FONTANA-ON-GENEVA-LAKE        </t>
  </si>
  <si>
    <t xml:space="preserve">MUKWONAGO                     </t>
  </si>
  <si>
    <t xml:space="preserve">WILLIAMS BAY                  </t>
  </si>
  <si>
    <t xml:space="preserve">ELKHORN                       </t>
  </si>
  <si>
    <t xml:space="preserve">LAKE GENEVA                   </t>
  </si>
  <si>
    <t xml:space="preserve">BARRONETT                     </t>
  </si>
  <si>
    <t xml:space="preserve">BASHAW                        </t>
  </si>
  <si>
    <t xml:space="preserve">BEAVER BROOK                  </t>
  </si>
  <si>
    <t xml:space="preserve">BIRCHWOOD                     </t>
  </si>
  <si>
    <t xml:space="preserve">CASEY                         </t>
  </si>
  <si>
    <t xml:space="preserve">CHICOG                        </t>
  </si>
  <si>
    <t xml:space="preserve">CRYSTAL                       </t>
  </si>
  <si>
    <t xml:space="preserve">FROG CREEK                    </t>
  </si>
  <si>
    <t xml:space="preserve">GULL LAKE                     </t>
  </si>
  <si>
    <t xml:space="preserve">MADGE                         </t>
  </si>
  <si>
    <t xml:space="preserve">MINONG                        </t>
  </si>
  <si>
    <t xml:space="preserve">SARONA                        </t>
  </si>
  <si>
    <t xml:space="preserve">SPOONER                       </t>
  </si>
  <si>
    <t xml:space="preserve">SPRINGBROOK                   </t>
  </si>
  <si>
    <t xml:space="preserve">STINNETT                      </t>
  </si>
  <si>
    <t xml:space="preserve">STONE LAKE                    </t>
  </si>
  <si>
    <t xml:space="preserve">TREGO                         </t>
  </si>
  <si>
    <t xml:space="preserve">SHELL LAKE                    </t>
  </si>
  <si>
    <t xml:space="preserve">ADDISON                       </t>
  </si>
  <si>
    <t xml:space="preserve">BARTON                        </t>
  </si>
  <si>
    <t xml:space="preserve">ERIN                          </t>
  </si>
  <si>
    <t xml:space="preserve">WEST BEND                     </t>
  </si>
  <si>
    <t xml:space="preserve">SLINGER                       </t>
  </si>
  <si>
    <t xml:space="preserve">BROOKFIELD                    </t>
  </si>
  <si>
    <t xml:space="preserve">DELAFIELD                     </t>
  </si>
  <si>
    <t xml:space="preserve">GENESEE                       </t>
  </si>
  <si>
    <t xml:space="preserve">MERTON                        </t>
  </si>
  <si>
    <t xml:space="preserve">OCONOMOWOC                    </t>
  </si>
  <si>
    <t xml:space="preserve">OTTAWA                        </t>
  </si>
  <si>
    <t xml:space="preserve">CHENEQUA                      </t>
  </si>
  <si>
    <t xml:space="preserve">DOUSMAN                       </t>
  </si>
  <si>
    <t xml:space="preserve">ELM GROVE                     </t>
  </si>
  <si>
    <t xml:space="preserve">LANNON                        </t>
  </si>
  <si>
    <t xml:space="preserve">MENOMONEE FALLS               </t>
  </si>
  <si>
    <t xml:space="preserve">NASHOTAH                      </t>
  </si>
  <si>
    <t xml:space="preserve">NORTH PRAIRIE                 </t>
  </si>
  <si>
    <t xml:space="preserve">OCONOMOWOC LAKE               </t>
  </si>
  <si>
    <t xml:space="preserve">PEWAUKEE                      </t>
  </si>
  <si>
    <t xml:space="preserve">SUSSEX                        </t>
  </si>
  <si>
    <t xml:space="preserve">WALES                         </t>
  </si>
  <si>
    <t xml:space="preserve">WAUKESHA                      </t>
  </si>
  <si>
    <t xml:space="preserve">MUSKEGO                       </t>
  </si>
  <si>
    <t xml:space="preserve">NEW BERLIN                    </t>
  </si>
  <si>
    <t xml:space="preserve">DUPONT                        </t>
  </si>
  <si>
    <t xml:space="preserve">HELVETIA                      </t>
  </si>
  <si>
    <t xml:space="preserve">IOLA                          </t>
  </si>
  <si>
    <t xml:space="preserve">LARRABEE                      </t>
  </si>
  <si>
    <t xml:space="preserve">LIND                          </t>
  </si>
  <si>
    <t xml:space="preserve">LITTLE WOLF                   </t>
  </si>
  <si>
    <t xml:space="preserve">MATTESON                      </t>
  </si>
  <si>
    <t xml:space="preserve">MUKWA                         </t>
  </si>
  <si>
    <t xml:space="preserve">ROYALTON                      </t>
  </si>
  <si>
    <t xml:space="preserve">SAINT LAWRENCE                </t>
  </si>
  <si>
    <t xml:space="preserve">SCANDINAVIA                   </t>
  </si>
  <si>
    <t xml:space="preserve">WAUPACA                       </t>
  </si>
  <si>
    <t xml:space="preserve">WEYAUWEGA                     </t>
  </si>
  <si>
    <t xml:space="preserve">EMBARRASS                     </t>
  </si>
  <si>
    <t xml:space="preserve">OGDENSBURG                    </t>
  </si>
  <si>
    <t xml:space="preserve">CLINTONVILLE                  </t>
  </si>
  <si>
    <t xml:space="preserve">MANAWA                        </t>
  </si>
  <si>
    <t xml:space="preserve">COLOMA                        </t>
  </si>
  <si>
    <t xml:space="preserve">DAKOTA                        </t>
  </si>
  <si>
    <t xml:space="preserve">HANCOCK                       </t>
  </si>
  <si>
    <t xml:space="preserve">MOUNT MORRIS                  </t>
  </si>
  <si>
    <t xml:space="preserve">OASIS                         </t>
  </si>
  <si>
    <t xml:space="preserve">PLAINFIELD                    </t>
  </si>
  <si>
    <t xml:space="preserve">POY SIPPI                     </t>
  </si>
  <si>
    <t xml:space="preserve">RICHFORD                      </t>
  </si>
  <si>
    <t xml:space="preserve">ROSE                          </t>
  </si>
  <si>
    <t xml:space="preserve">SAXEVILLE                     </t>
  </si>
  <si>
    <t xml:space="preserve">SPRINGWATER                   </t>
  </si>
  <si>
    <t xml:space="preserve">WAUTOMA                       </t>
  </si>
  <si>
    <t xml:space="preserve">LOHRVILLE                     </t>
  </si>
  <si>
    <t xml:space="preserve">REDGRANITE                    </t>
  </si>
  <si>
    <t xml:space="preserve">WILD ROSE                     </t>
  </si>
  <si>
    <t xml:space="preserve">WAUSHARA                      </t>
  </si>
  <si>
    <t xml:space="preserve">BLACK WOLF                    </t>
  </si>
  <si>
    <t xml:space="preserve">NEENAH                        </t>
  </si>
  <si>
    <t xml:space="preserve">NEKIMI                        </t>
  </si>
  <si>
    <t xml:space="preserve">NEPEUSKUN                     </t>
  </si>
  <si>
    <t xml:space="preserve">OMRO                          </t>
  </si>
  <si>
    <t xml:space="preserve">OSHKOSH                       </t>
  </si>
  <si>
    <t xml:space="preserve">POYGAN                        </t>
  </si>
  <si>
    <t xml:space="preserve">RUSHFORD                      </t>
  </si>
  <si>
    <t xml:space="preserve">VINLAND                       </t>
  </si>
  <si>
    <t xml:space="preserve">WINNECONNE                    </t>
  </si>
  <si>
    <t xml:space="preserve">WINNEBAGO                     </t>
  </si>
  <si>
    <t xml:space="preserve">ARPIN                         </t>
  </si>
  <si>
    <t xml:space="preserve">AUBURNDALE                    </t>
  </si>
  <si>
    <t xml:space="preserve">CARY                          </t>
  </si>
  <si>
    <t xml:space="preserve">CRANMOOR                      </t>
  </si>
  <si>
    <t xml:space="preserve">DEXTER                        </t>
  </si>
  <si>
    <t xml:space="preserve">GRAND RAPIDS                  </t>
  </si>
  <si>
    <t xml:space="preserve">HANSEN                        </t>
  </si>
  <si>
    <t xml:space="preserve">PORT EDWARDS                  </t>
  </si>
  <si>
    <t xml:space="preserve">REMINGTON                     </t>
  </si>
  <si>
    <t xml:space="preserve">RUDOLPH                       </t>
  </si>
  <si>
    <t xml:space="preserve">SARATOGA                      </t>
  </si>
  <si>
    <t xml:space="preserve">SHERRY                        </t>
  </si>
  <si>
    <t xml:space="preserve">WOOD                          </t>
  </si>
  <si>
    <t xml:space="preserve">BIRON                         </t>
  </si>
  <si>
    <t xml:space="preserve">VESPER                        </t>
  </si>
  <si>
    <t xml:space="preserve">NEKOOSA                       </t>
  </si>
  <si>
    <t xml:space="preserve">PITTSVILLE                    </t>
  </si>
  <si>
    <t xml:space="preserve">WISCONSIN RAPIDS              </t>
  </si>
  <si>
    <t xml:space="preserve">MENOMINEE                     </t>
  </si>
  <si>
    <t xml:space="preserve"> </t>
  </si>
  <si>
    <t>Town Total</t>
  </si>
  <si>
    <t>Village Total</t>
  </si>
  <si>
    <t>City Total</t>
  </si>
  <si>
    <t>State Total (Reduced by TID Value Increment)</t>
  </si>
  <si>
    <t>Total Equalized Value for State</t>
  </si>
  <si>
    <t>Total TID Increments for State</t>
  </si>
  <si>
    <t>Total Equalized Value less TID Increments</t>
  </si>
  <si>
    <t>MUNI TYPE</t>
  </si>
  <si>
    <t>MUNI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</si>
</sst>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3" fontId="16" fillId="0" borderId="0" xfId="0" applyNumberFormat="1" applyFont="1"/>
    <xf numFmtId="3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16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4A68-9D31-4195-AA4E-08A45E0D6350}">
  <dimension ref="A1:I3623"/>
  <sheetViews>
    <sheetView tabSelected="1" workbookViewId="0">
      <pane ySplit="4" topLeftCell="A8" activePane="bottomLeft" state="frozen"/>
      <selection pane="bottomLeft" activeCell="C160" sqref="C160"/>
    </sheetView>
  </sheetViews>
  <sheetFormatPr defaultRowHeight="14.5" x14ac:dyDescent="0.35"/>
  <cols>
    <col min="1" max="1" width="16.1796875" customWidth="1"/>
    <col min="2" max="2" width="40.7265625" customWidth="1"/>
    <col min="3" max="3" width="28.453125" bestFit="1" customWidth="1"/>
    <col min="4" max="4" width="5.7265625" style="5" customWidth="1"/>
    <col min="5" max="5" width="11.7265625" style="5" customWidth="1"/>
    <col min="6" max="6" width="10.81640625" style="3" bestFit="1" customWidth="1"/>
    <col min="7" max="7" width="12.453125" style="3" bestFit="1" customWidth="1"/>
    <col min="8" max="8" width="16.7265625" style="3" customWidth="1"/>
    <col min="9" max="9" width="23.453125" style="3" bestFit="1" customWidth="1"/>
  </cols>
  <sheetData>
    <row r="1" spans="1:9" s="1" customFormat="1" x14ac:dyDescent="0.35">
      <c r="A1" s="1" t="s">
        <v>0</v>
      </c>
      <c r="D1" s="4"/>
      <c r="E1" s="4"/>
      <c r="F1" s="2"/>
      <c r="G1" s="2"/>
      <c r="H1" s="2"/>
      <c r="I1" s="2"/>
    </row>
    <row r="2" spans="1:9" s="1" customFormat="1" x14ac:dyDescent="0.35">
      <c r="A2" s="1" t="s">
        <v>1</v>
      </c>
      <c r="D2" s="4"/>
      <c r="E2" s="4"/>
      <c r="F2" s="2"/>
      <c r="G2" s="2"/>
      <c r="H2" s="2"/>
      <c r="I2" s="2"/>
    </row>
    <row r="3" spans="1:9" s="1" customFormat="1" x14ac:dyDescent="0.35">
      <c r="D3" s="4"/>
      <c r="E3" s="4"/>
      <c r="F3" s="2"/>
      <c r="G3" s="2"/>
      <c r="H3" s="2"/>
      <c r="I3" s="2"/>
    </row>
    <row r="4" spans="1:9" s="1" customFormat="1" x14ac:dyDescent="0.35">
      <c r="A4" s="1" t="s">
        <v>2</v>
      </c>
      <c r="B4" s="1" t="s">
        <v>1366</v>
      </c>
      <c r="C4" s="1" t="s">
        <v>1367</v>
      </c>
      <c r="D4" s="4" t="s">
        <v>3</v>
      </c>
      <c r="E4" s="4" t="s">
        <v>4</v>
      </c>
      <c r="F4" s="6" t="s">
        <v>5</v>
      </c>
      <c r="G4" s="6" t="s">
        <v>6</v>
      </c>
      <c r="H4" s="2" t="s">
        <v>7</v>
      </c>
      <c r="I4" s="2" t="s">
        <v>8</v>
      </c>
    </row>
    <row r="5" spans="1:9" x14ac:dyDescent="0.35">
      <c r="A5" t="str">
        <f>"01002"</f>
        <v>01002</v>
      </c>
      <c r="B5" t="s">
        <v>9</v>
      </c>
      <c r="C5" t="s">
        <v>10</v>
      </c>
      <c r="D5" s="5" t="s">
        <v>11</v>
      </c>
      <c r="E5" s="5" t="s">
        <v>12</v>
      </c>
      <c r="F5" s="3" t="s">
        <v>13</v>
      </c>
      <c r="G5" s="3" t="s">
        <v>13</v>
      </c>
      <c r="H5" s="3" t="s">
        <v>13</v>
      </c>
      <c r="I5" s="3">
        <v>285854900</v>
      </c>
    </row>
    <row r="6" spans="1:9" x14ac:dyDescent="0.35">
      <c r="A6" t="str">
        <f>"01004"</f>
        <v>01004</v>
      </c>
      <c r="B6" t="s">
        <v>9</v>
      </c>
      <c r="C6" t="s">
        <v>14</v>
      </c>
      <c r="D6" s="5" t="s">
        <v>11</v>
      </c>
      <c r="E6" s="5" t="s">
        <v>12</v>
      </c>
      <c r="F6" s="3" t="s">
        <v>13</v>
      </c>
      <c r="G6" s="3" t="s">
        <v>13</v>
      </c>
      <c r="H6" s="3" t="s">
        <v>13</v>
      </c>
      <c r="I6" s="3">
        <v>228849800</v>
      </c>
    </row>
    <row r="7" spans="1:9" x14ac:dyDescent="0.35">
      <c r="A7" t="str">
        <f>"01006"</f>
        <v>01006</v>
      </c>
      <c r="B7" t="s">
        <v>9</v>
      </c>
      <c r="C7" t="s">
        <v>15</v>
      </c>
      <c r="D7" s="5" t="s">
        <v>11</v>
      </c>
      <c r="E7" s="5" t="s">
        <v>12</v>
      </c>
      <c r="F7" s="3" t="s">
        <v>13</v>
      </c>
      <c r="G7" s="3" t="s">
        <v>13</v>
      </c>
      <c r="H7" s="3" t="s">
        <v>13</v>
      </c>
      <c r="I7" s="3">
        <v>111087800</v>
      </c>
    </row>
    <row r="8" spans="1:9" x14ac:dyDescent="0.35">
      <c r="A8" t="str">
        <f>"01008"</f>
        <v>01008</v>
      </c>
      <c r="B8" t="s">
        <v>9</v>
      </c>
      <c r="C8" t="s">
        <v>16</v>
      </c>
      <c r="D8" s="5" t="s">
        <v>11</v>
      </c>
      <c r="E8" s="5" t="s">
        <v>12</v>
      </c>
      <c r="F8" s="3" t="s">
        <v>13</v>
      </c>
      <c r="G8" s="3" t="s">
        <v>13</v>
      </c>
      <c r="H8" s="3" t="s">
        <v>13</v>
      </c>
      <c r="I8" s="3">
        <v>394388700</v>
      </c>
    </row>
    <row r="9" spans="1:9" x14ac:dyDescent="0.35">
      <c r="A9" t="str">
        <f>"01010"</f>
        <v>01010</v>
      </c>
      <c r="B9" t="s">
        <v>9</v>
      </c>
      <c r="C9" t="s">
        <v>17</v>
      </c>
      <c r="D9" s="5" t="s">
        <v>11</v>
      </c>
      <c r="E9" s="5" t="s">
        <v>12</v>
      </c>
      <c r="F9" s="3" t="s">
        <v>13</v>
      </c>
      <c r="G9" s="3" t="s">
        <v>13</v>
      </c>
      <c r="H9" s="3" t="s">
        <v>13</v>
      </c>
      <c r="I9" s="3">
        <v>202412000</v>
      </c>
    </row>
    <row r="10" spans="1:9" x14ac:dyDescent="0.35">
      <c r="A10" t="str">
        <f>"01012"</f>
        <v>01012</v>
      </c>
      <c r="B10" t="s">
        <v>9</v>
      </c>
      <c r="C10" t="s">
        <v>18</v>
      </c>
      <c r="D10" s="5" t="s">
        <v>11</v>
      </c>
      <c r="E10" s="5" t="s">
        <v>12</v>
      </c>
      <c r="F10" s="3" t="s">
        <v>13</v>
      </c>
      <c r="G10" s="3" t="s">
        <v>13</v>
      </c>
      <c r="H10" s="3" t="s">
        <v>13</v>
      </c>
      <c r="I10" s="3">
        <v>396074800</v>
      </c>
    </row>
    <row r="11" spans="1:9" x14ac:dyDescent="0.35">
      <c r="A11" t="str">
        <f>"01014"</f>
        <v>01014</v>
      </c>
      <c r="B11" t="s">
        <v>9</v>
      </c>
      <c r="C11" t="s">
        <v>19</v>
      </c>
      <c r="D11" s="5" t="s">
        <v>11</v>
      </c>
      <c r="E11" s="5" t="s">
        <v>12</v>
      </c>
      <c r="F11" s="3" t="s">
        <v>13</v>
      </c>
      <c r="G11" s="3" t="s">
        <v>13</v>
      </c>
      <c r="H11" s="3" t="s">
        <v>13</v>
      </c>
      <c r="I11" s="3">
        <v>71881500</v>
      </c>
    </row>
    <row r="12" spans="1:9" x14ac:dyDescent="0.35">
      <c r="A12" t="str">
        <f>"01016"</f>
        <v>01016</v>
      </c>
      <c r="B12" t="s">
        <v>9</v>
      </c>
      <c r="C12" t="s">
        <v>20</v>
      </c>
      <c r="D12" s="5" t="s">
        <v>11</v>
      </c>
      <c r="E12" s="5" t="s">
        <v>12</v>
      </c>
      <c r="F12" s="3" t="s">
        <v>13</v>
      </c>
      <c r="G12" s="3" t="s">
        <v>13</v>
      </c>
      <c r="H12" s="3" t="s">
        <v>13</v>
      </c>
      <c r="I12" s="3">
        <v>91272900</v>
      </c>
    </row>
    <row r="13" spans="1:9" x14ac:dyDescent="0.35">
      <c r="A13" t="str">
        <f>"01018"</f>
        <v>01018</v>
      </c>
      <c r="B13" t="s">
        <v>9</v>
      </c>
      <c r="C13" t="s">
        <v>21</v>
      </c>
      <c r="D13" s="5" t="s">
        <v>11</v>
      </c>
      <c r="E13" s="5" t="s">
        <v>12</v>
      </c>
      <c r="F13" s="3" t="s">
        <v>13</v>
      </c>
      <c r="G13" s="3" t="s">
        <v>13</v>
      </c>
      <c r="H13" s="3" t="s">
        <v>13</v>
      </c>
      <c r="I13" s="3">
        <v>215846600</v>
      </c>
    </row>
    <row r="14" spans="1:9" x14ac:dyDescent="0.35">
      <c r="A14" t="str">
        <f>"01020"</f>
        <v>01020</v>
      </c>
      <c r="B14" t="s">
        <v>9</v>
      </c>
      <c r="C14" t="s">
        <v>22</v>
      </c>
      <c r="D14" s="5" t="s">
        <v>11</v>
      </c>
      <c r="E14" s="5" t="s">
        <v>12</v>
      </c>
      <c r="F14" s="3" t="s">
        <v>13</v>
      </c>
      <c r="G14" s="3" t="s">
        <v>13</v>
      </c>
      <c r="H14" s="3" t="s">
        <v>13</v>
      </c>
      <c r="I14" s="3">
        <v>203385300</v>
      </c>
    </row>
    <row r="15" spans="1:9" x14ac:dyDescent="0.35">
      <c r="A15" t="str">
        <f>"01022"</f>
        <v>01022</v>
      </c>
      <c r="B15" t="s">
        <v>9</v>
      </c>
      <c r="C15" t="s">
        <v>23</v>
      </c>
      <c r="D15" s="5" t="s">
        <v>11</v>
      </c>
      <c r="E15" s="5" t="s">
        <v>12</v>
      </c>
      <c r="F15" s="3" t="s">
        <v>13</v>
      </c>
      <c r="G15" s="3" t="s">
        <v>13</v>
      </c>
      <c r="H15" s="3" t="s">
        <v>13</v>
      </c>
      <c r="I15" s="3">
        <v>136072000</v>
      </c>
    </row>
    <row r="16" spans="1:9" x14ac:dyDescent="0.35">
      <c r="A16" t="str">
        <f>"01024"</f>
        <v>01024</v>
      </c>
      <c r="B16" t="s">
        <v>9</v>
      </c>
      <c r="C16" t="s">
        <v>24</v>
      </c>
      <c r="D16" s="5" t="s">
        <v>11</v>
      </c>
      <c r="E16" s="5" t="s">
        <v>12</v>
      </c>
      <c r="F16" s="3" t="s">
        <v>13</v>
      </c>
      <c r="G16" s="3" t="s">
        <v>13</v>
      </c>
      <c r="H16" s="3" t="s">
        <v>13</v>
      </c>
      <c r="I16" s="3">
        <v>348408800</v>
      </c>
    </row>
    <row r="17" spans="1:9" x14ac:dyDescent="0.35">
      <c r="A17" t="str">
        <f>"01026"</f>
        <v>01026</v>
      </c>
      <c r="B17" t="s">
        <v>9</v>
      </c>
      <c r="C17" t="s">
        <v>25</v>
      </c>
      <c r="D17" s="5" t="s">
        <v>11</v>
      </c>
      <c r="E17" s="5" t="s">
        <v>12</v>
      </c>
      <c r="F17" s="3" t="s">
        <v>13</v>
      </c>
      <c r="G17" s="3" t="s">
        <v>13</v>
      </c>
      <c r="H17" s="3" t="s">
        <v>13</v>
      </c>
      <c r="I17" s="3">
        <v>450784700</v>
      </c>
    </row>
    <row r="18" spans="1:9" x14ac:dyDescent="0.35">
      <c r="A18" t="str">
        <f>"01028"</f>
        <v>01028</v>
      </c>
      <c r="B18" t="s">
        <v>9</v>
      </c>
      <c r="C18" t="s">
        <v>26</v>
      </c>
      <c r="D18" s="5" t="s">
        <v>11</v>
      </c>
      <c r="E18" s="5" t="s">
        <v>12</v>
      </c>
      <c r="F18" s="3" t="s">
        <v>13</v>
      </c>
      <c r="G18" s="3" t="s">
        <v>13</v>
      </c>
      <c r="H18" s="3" t="s">
        <v>13</v>
      </c>
      <c r="I18" s="3">
        <v>62600900</v>
      </c>
    </row>
    <row r="19" spans="1:9" x14ac:dyDescent="0.35">
      <c r="A19" t="str">
        <f>"01030"</f>
        <v>01030</v>
      </c>
      <c r="B19" t="s">
        <v>9</v>
      </c>
      <c r="C19" t="s">
        <v>27</v>
      </c>
      <c r="D19" s="5" t="str">
        <f>"001T"</f>
        <v>001T</v>
      </c>
      <c r="E19" s="5">
        <v>2015</v>
      </c>
      <c r="F19" s="3">
        <v>1249400</v>
      </c>
      <c r="G19" s="3">
        <v>222648200</v>
      </c>
      <c r="H19" s="3">
        <v>221398800</v>
      </c>
    </row>
    <row r="20" spans="1:9" x14ac:dyDescent="0.35">
      <c r="A20" t="str">
        <f>"01030"</f>
        <v>01030</v>
      </c>
      <c r="B20" t="s">
        <v>9</v>
      </c>
      <c r="C20" t="s">
        <v>27</v>
      </c>
      <c r="D20" s="5" t="s">
        <v>11</v>
      </c>
      <c r="E20" s="5" t="s">
        <v>12</v>
      </c>
      <c r="F20" s="3" t="s">
        <v>13</v>
      </c>
      <c r="G20" s="3" t="s">
        <v>13</v>
      </c>
      <c r="H20" s="3" t="s">
        <v>13</v>
      </c>
      <c r="I20" s="3">
        <v>1771774400</v>
      </c>
    </row>
    <row r="21" spans="1:9" x14ac:dyDescent="0.35">
      <c r="A21" t="str">
        <f>"01032"</f>
        <v>01032</v>
      </c>
      <c r="B21" t="s">
        <v>9</v>
      </c>
      <c r="C21" t="s">
        <v>28</v>
      </c>
      <c r="D21" s="5" t="s">
        <v>11</v>
      </c>
      <c r="E21" s="5" t="s">
        <v>12</v>
      </c>
      <c r="F21" s="3" t="s">
        <v>13</v>
      </c>
      <c r="G21" s="3" t="s">
        <v>13</v>
      </c>
      <c r="H21" s="3" t="s">
        <v>13</v>
      </c>
      <c r="I21" s="3">
        <v>270660300</v>
      </c>
    </row>
    <row r="22" spans="1:9" x14ac:dyDescent="0.35">
      <c r="A22" t="str">
        <f>"01034"</f>
        <v>01034</v>
      </c>
      <c r="B22" t="s">
        <v>9</v>
      </c>
      <c r="C22" t="s">
        <v>29</v>
      </c>
      <c r="D22" s="5" t="s">
        <v>11</v>
      </c>
      <c r="E22" s="5" t="s">
        <v>12</v>
      </c>
      <c r="F22" s="3" t="s">
        <v>13</v>
      </c>
      <c r="G22" s="3" t="s">
        <v>13</v>
      </c>
      <c r="H22" s="3" t="s">
        <v>13</v>
      </c>
      <c r="I22" s="3">
        <v>409733800</v>
      </c>
    </row>
    <row r="23" spans="1:9" x14ac:dyDescent="0.35">
      <c r="A23" t="s">
        <v>30</v>
      </c>
      <c r="B23" t="s">
        <v>31</v>
      </c>
      <c r="C23" t="s">
        <v>32</v>
      </c>
      <c r="D23" s="5" t="s">
        <v>11</v>
      </c>
      <c r="E23" s="5" t="s">
        <v>12</v>
      </c>
      <c r="F23" s="3" t="s">
        <v>13</v>
      </c>
      <c r="G23" s="3" t="s">
        <v>13</v>
      </c>
      <c r="H23" s="3" t="s">
        <v>13</v>
      </c>
      <c r="I23" s="3">
        <v>5651089200</v>
      </c>
    </row>
    <row r="24" spans="1:9" x14ac:dyDescent="0.35">
      <c r="A24" t="str">
        <f>"01126"</f>
        <v>01126</v>
      </c>
      <c r="B24" t="s">
        <v>33</v>
      </c>
      <c r="C24" t="s">
        <v>34</v>
      </c>
      <c r="D24" s="5" t="s">
        <v>11</v>
      </c>
      <c r="E24" s="5" t="s">
        <v>12</v>
      </c>
      <c r="F24" s="3" t="s">
        <v>13</v>
      </c>
      <c r="G24" s="3" t="s">
        <v>13</v>
      </c>
      <c r="H24" s="3" t="s">
        <v>13</v>
      </c>
      <c r="I24" s="3">
        <v>58802400</v>
      </c>
    </row>
    <row r="25" spans="1:9" x14ac:dyDescent="0.35">
      <c r="A25" t="s">
        <v>30</v>
      </c>
      <c r="B25" t="s">
        <v>35</v>
      </c>
      <c r="C25" t="s">
        <v>32</v>
      </c>
      <c r="D25" s="5" t="s">
        <v>11</v>
      </c>
      <c r="E25" s="5" t="s">
        <v>12</v>
      </c>
      <c r="F25" s="3" t="s">
        <v>13</v>
      </c>
      <c r="G25" s="3" t="s">
        <v>13</v>
      </c>
      <c r="H25" s="3" t="s">
        <v>13</v>
      </c>
      <c r="I25" s="3">
        <v>58802400</v>
      </c>
    </row>
    <row r="26" spans="1:9" x14ac:dyDescent="0.35">
      <c r="A26" t="str">
        <f>"01201"</f>
        <v>01201</v>
      </c>
      <c r="B26" t="s">
        <v>36</v>
      </c>
      <c r="C26" t="s">
        <v>10</v>
      </c>
      <c r="D26" s="5" t="s">
        <v>11</v>
      </c>
      <c r="E26" s="5" t="s">
        <v>12</v>
      </c>
      <c r="F26" s="3" t="s">
        <v>13</v>
      </c>
      <c r="G26" s="3" t="s">
        <v>13</v>
      </c>
      <c r="H26" s="3" t="s">
        <v>13</v>
      </c>
      <c r="I26" s="3">
        <v>150218100</v>
      </c>
    </row>
    <row r="27" spans="1:9" x14ac:dyDescent="0.35">
      <c r="A27" t="str">
        <f>"01291"</f>
        <v>01291</v>
      </c>
      <c r="B27" t="s">
        <v>36</v>
      </c>
      <c r="C27" t="s">
        <v>37</v>
      </c>
      <c r="D27" s="5" t="str">
        <f>"003"</f>
        <v>003</v>
      </c>
      <c r="E27" s="5">
        <v>2005</v>
      </c>
      <c r="F27" s="3">
        <v>2038600</v>
      </c>
      <c r="G27" s="3">
        <v>76935100</v>
      </c>
      <c r="H27" s="3">
        <v>74896500</v>
      </c>
    </row>
    <row r="28" spans="1:9" x14ac:dyDescent="0.35">
      <c r="A28" t="str">
        <f>"01291"</f>
        <v>01291</v>
      </c>
      <c r="B28" t="s">
        <v>36</v>
      </c>
      <c r="C28" t="s">
        <v>37</v>
      </c>
      <c r="D28" s="5" t="s">
        <v>11</v>
      </c>
      <c r="E28" s="5" t="s">
        <v>12</v>
      </c>
      <c r="F28" s="3" t="s">
        <v>13</v>
      </c>
      <c r="G28" s="3" t="s">
        <v>13</v>
      </c>
      <c r="H28" s="3" t="s">
        <v>13</v>
      </c>
      <c r="I28" s="3">
        <v>38532000</v>
      </c>
    </row>
    <row r="29" spans="1:9" x14ac:dyDescent="0.35">
      <c r="A29" t="s">
        <v>30</v>
      </c>
      <c r="B29" t="s">
        <v>38</v>
      </c>
      <c r="C29" t="s">
        <v>32</v>
      </c>
      <c r="D29" s="5" t="s">
        <v>11</v>
      </c>
      <c r="E29" s="5" t="s">
        <v>12</v>
      </c>
      <c r="F29" s="3" t="s">
        <v>13</v>
      </c>
      <c r="G29" s="3" t="s">
        <v>13</v>
      </c>
      <c r="H29" s="3" t="s">
        <v>13</v>
      </c>
      <c r="I29" s="3">
        <v>188750100</v>
      </c>
    </row>
    <row r="30" spans="1:9" x14ac:dyDescent="0.35">
      <c r="A30" t="s">
        <v>30</v>
      </c>
      <c r="B30" t="s">
        <v>39</v>
      </c>
      <c r="C30" t="s">
        <v>10</v>
      </c>
      <c r="D30" s="5" t="s">
        <v>11</v>
      </c>
      <c r="E30" s="5" t="s">
        <v>12</v>
      </c>
      <c r="F30" s="3" t="s">
        <v>13</v>
      </c>
      <c r="G30" s="3" t="s">
        <v>13</v>
      </c>
      <c r="H30" s="3" t="s">
        <v>13</v>
      </c>
      <c r="I30" s="3">
        <v>5898641700</v>
      </c>
    </row>
    <row r="31" spans="1:9" x14ac:dyDescent="0.35">
      <c r="A31" t="str">
        <f>"02002"</f>
        <v>02002</v>
      </c>
      <c r="B31" t="s">
        <v>9</v>
      </c>
      <c r="C31" t="s">
        <v>40</v>
      </c>
      <c r="D31" s="5" t="s">
        <v>11</v>
      </c>
      <c r="E31" s="5" t="s">
        <v>12</v>
      </c>
      <c r="F31" s="3" t="s">
        <v>13</v>
      </c>
      <c r="G31" s="3" t="s">
        <v>13</v>
      </c>
      <c r="H31" s="3" t="s">
        <v>13</v>
      </c>
      <c r="I31" s="3">
        <v>75657200</v>
      </c>
    </row>
    <row r="32" spans="1:9" x14ac:dyDescent="0.35">
      <c r="A32" t="str">
        <f>"02004"</f>
        <v>02004</v>
      </c>
      <c r="B32" t="s">
        <v>9</v>
      </c>
      <c r="C32" t="s">
        <v>41</v>
      </c>
      <c r="D32" s="5" t="s">
        <v>11</v>
      </c>
      <c r="E32" s="5" t="s">
        <v>12</v>
      </c>
      <c r="F32" s="3" t="s">
        <v>13</v>
      </c>
      <c r="G32" s="3" t="s">
        <v>13</v>
      </c>
      <c r="H32" s="3" t="s">
        <v>13</v>
      </c>
      <c r="I32" s="3">
        <v>83206600</v>
      </c>
    </row>
    <row r="33" spans="1:9" x14ac:dyDescent="0.35">
      <c r="A33" t="str">
        <f>"02006"</f>
        <v>02006</v>
      </c>
      <c r="B33" t="s">
        <v>9</v>
      </c>
      <c r="C33" t="s">
        <v>42</v>
      </c>
      <c r="D33" s="5" t="s">
        <v>11</v>
      </c>
      <c r="E33" s="5" t="s">
        <v>12</v>
      </c>
      <c r="F33" s="3" t="s">
        <v>13</v>
      </c>
      <c r="G33" s="3" t="s">
        <v>13</v>
      </c>
      <c r="H33" s="3" t="s">
        <v>13</v>
      </c>
      <c r="I33" s="3">
        <v>86427600</v>
      </c>
    </row>
    <row r="34" spans="1:9" x14ac:dyDescent="0.35">
      <c r="A34" t="str">
        <f>"02008"</f>
        <v>02008</v>
      </c>
      <c r="B34" t="s">
        <v>9</v>
      </c>
      <c r="C34" t="s">
        <v>43</v>
      </c>
      <c r="D34" s="5" t="s">
        <v>11</v>
      </c>
      <c r="E34" s="5" t="s">
        <v>12</v>
      </c>
      <c r="F34" s="3" t="s">
        <v>13</v>
      </c>
      <c r="G34" s="3" t="s">
        <v>13</v>
      </c>
      <c r="H34" s="3" t="s">
        <v>13</v>
      </c>
      <c r="I34" s="3">
        <v>112166600</v>
      </c>
    </row>
    <row r="35" spans="1:9" x14ac:dyDescent="0.35">
      <c r="A35" t="str">
        <f>"02010"</f>
        <v>02010</v>
      </c>
      <c r="B35" t="s">
        <v>9</v>
      </c>
      <c r="C35" t="s">
        <v>44</v>
      </c>
      <c r="D35" s="5" t="s">
        <v>11</v>
      </c>
      <c r="E35" s="5" t="s">
        <v>12</v>
      </c>
      <c r="F35" s="3" t="s">
        <v>13</v>
      </c>
      <c r="G35" s="3" t="s">
        <v>13</v>
      </c>
      <c r="H35" s="3" t="s">
        <v>13</v>
      </c>
      <c r="I35" s="3">
        <v>121634100</v>
      </c>
    </row>
    <row r="36" spans="1:9" x14ac:dyDescent="0.35">
      <c r="A36" t="str">
        <f>"02012"</f>
        <v>02012</v>
      </c>
      <c r="B36" t="s">
        <v>9</v>
      </c>
      <c r="C36" t="s">
        <v>45</v>
      </c>
      <c r="D36" s="5" t="s">
        <v>11</v>
      </c>
      <c r="E36" s="5" t="s">
        <v>12</v>
      </c>
      <c r="F36" s="3" t="s">
        <v>13</v>
      </c>
      <c r="G36" s="3" t="s">
        <v>13</v>
      </c>
      <c r="H36" s="3" t="s">
        <v>13</v>
      </c>
      <c r="I36" s="3">
        <v>67275600</v>
      </c>
    </row>
    <row r="37" spans="1:9" x14ac:dyDescent="0.35">
      <c r="A37" t="str">
        <f>"02014"</f>
        <v>02014</v>
      </c>
      <c r="B37" t="s">
        <v>9</v>
      </c>
      <c r="C37" t="s">
        <v>46</v>
      </c>
      <c r="D37" s="5" t="s">
        <v>11</v>
      </c>
      <c r="E37" s="5" t="s">
        <v>12</v>
      </c>
      <c r="F37" s="3" t="s">
        <v>13</v>
      </c>
      <c r="G37" s="3" t="s">
        <v>13</v>
      </c>
      <c r="H37" s="3" t="s">
        <v>13</v>
      </c>
      <c r="I37" s="3">
        <v>425053500</v>
      </c>
    </row>
    <row r="38" spans="1:9" x14ac:dyDescent="0.35">
      <c r="A38" t="str">
        <f>"02016"</f>
        <v>02016</v>
      </c>
      <c r="B38" t="s">
        <v>9</v>
      </c>
      <c r="C38" t="s">
        <v>47</v>
      </c>
      <c r="D38" s="5" t="s">
        <v>11</v>
      </c>
      <c r="E38" s="5" t="s">
        <v>12</v>
      </c>
      <c r="F38" s="3" t="s">
        <v>13</v>
      </c>
      <c r="G38" s="3" t="s">
        <v>13</v>
      </c>
      <c r="H38" s="3" t="s">
        <v>13</v>
      </c>
      <c r="I38" s="3">
        <v>62336400</v>
      </c>
    </row>
    <row r="39" spans="1:9" x14ac:dyDescent="0.35">
      <c r="A39" t="str">
        <f>"02018"</f>
        <v>02018</v>
      </c>
      <c r="B39" t="s">
        <v>9</v>
      </c>
      <c r="C39" t="s">
        <v>48</v>
      </c>
      <c r="D39" s="5" t="s">
        <v>11</v>
      </c>
      <c r="E39" s="5" t="s">
        <v>12</v>
      </c>
      <c r="F39" s="3" t="s">
        <v>13</v>
      </c>
      <c r="G39" s="3" t="s">
        <v>13</v>
      </c>
      <c r="H39" s="3" t="s">
        <v>13</v>
      </c>
      <c r="I39" s="3">
        <v>107562300</v>
      </c>
    </row>
    <row r="40" spans="1:9" x14ac:dyDescent="0.35">
      <c r="A40" t="str">
        <f>"02020"</f>
        <v>02020</v>
      </c>
      <c r="B40" t="s">
        <v>9</v>
      </c>
      <c r="C40" t="s">
        <v>49</v>
      </c>
      <c r="D40" s="5" t="s">
        <v>11</v>
      </c>
      <c r="E40" s="5" t="s">
        <v>12</v>
      </c>
      <c r="F40" s="3" t="s">
        <v>13</v>
      </c>
      <c r="G40" s="3" t="s">
        <v>13</v>
      </c>
      <c r="H40" s="3" t="s">
        <v>13</v>
      </c>
      <c r="I40" s="3">
        <v>33056300</v>
      </c>
    </row>
    <row r="41" spans="1:9" x14ac:dyDescent="0.35">
      <c r="A41" t="str">
        <f>"02022"</f>
        <v>02022</v>
      </c>
      <c r="B41" t="s">
        <v>9</v>
      </c>
      <c r="C41" t="s">
        <v>50</v>
      </c>
      <c r="D41" s="5" t="s">
        <v>11</v>
      </c>
      <c r="E41" s="5" t="s">
        <v>12</v>
      </c>
      <c r="F41" s="3" t="s">
        <v>13</v>
      </c>
      <c r="G41" s="3" t="s">
        <v>13</v>
      </c>
      <c r="H41" s="3" t="s">
        <v>13</v>
      </c>
      <c r="I41" s="3">
        <v>18316900</v>
      </c>
    </row>
    <row r="42" spans="1:9" x14ac:dyDescent="0.35">
      <c r="A42" t="str">
        <f>"02024"</f>
        <v>02024</v>
      </c>
      <c r="B42" t="s">
        <v>9</v>
      </c>
      <c r="C42" t="s">
        <v>51</v>
      </c>
      <c r="D42" s="5" t="s">
        <v>11</v>
      </c>
      <c r="E42" s="5" t="s">
        <v>12</v>
      </c>
      <c r="F42" s="3" t="s">
        <v>13</v>
      </c>
      <c r="G42" s="3" t="s">
        <v>13</v>
      </c>
      <c r="H42" s="3" t="s">
        <v>13</v>
      </c>
      <c r="I42" s="3">
        <v>43112100</v>
      </c>
    </row>
    <row r="43" spans="1:9" x14ac:dyDescent="0.35">
      <c r="A43" t="str">
        <f>"02026"</f>
        <v>02026</v>
      </c>
      <c r="B43" t="s">
        <v>9</v>
      </c>
      <c r="C43" t="s">
        <v>52</v>
      </c>
      <c r="D43" s="5" t="s">
        <v>11</v>
      </c>
      <c r="E43" s="5" t="s">
        <v>12</v>
      </c>
      <c r="F43" s="3" t="s">
        <v>13</v>
      </c>
      <c r="G43" s="3" t="s">
        <v>13</v>
      </c>
      <c r="H43" s="3" t="s">
        <v>13</v>
      </c>
      <c r="I43" s="3">
        <v>114725800</v>
      </c>
    </row>
    <row r="44" spans="1:9" x14ac:dyDescent="0.35">
      <c r="A44" t="s">
        <v>30</v>
      </c>
      <c r="B44" t="s">
        <v>31</v>
      </c>
      <c r="C44" t="s">
        <v>32</v>
      </c>
      <c r="D44" s="5" t="s">
        <v>11</v>
      </c>
      <c r="E44" s="5" t="s">
        <v>12</v>
      </c>
      <c r="F44" s="3" t="s">
        <v>13</v>
      </c>
      <c r="G44" s="3" t="s">
        <v>13</v>
      </c>
      <c r="H44" s="3" t="s">
        <v>13</v>
      </c>
      <c r="I44" s="3">
        <v>1350531000</v>
      </c>
    </row>
    <row r="45" spans="1:9" x14ac:dyDescent="0.35">
      <c r="A45" t="str">
        <f>"02106"</f>
        <v>02106</v>
      </c>
      <c r="B45" t="s">
        <v>33</v>
      </c>
      <c r="C45" t="s">
        <v>53</v>
      </c>
      <c r="D45" s="5" t="s">
        <v>11</v>
      </c>
      <c r="E45" s="5" t="s">
        <v>12</v>
      </c>
      <c r="F45" s="3" t="s">
        <v>13</v>
      </c>
      <c r="G45" s="3" t="s">
        <v>13</v>
      </c>
      <c r="H45" s="3" t="s">
        <v>13</v>
      </c>
      <c r="I45" s="3">
        <v>15210500</v>
      </c>
    </row>
    <row r="46" spans="1:9" x14ac:dyDescent="0.35">
      <c r="A46" t="s">
        <v>30</v>
      </c>
      <c r="B46" t="s">
        <v>35</v>
      </c>
      <c r="C46" t="s">
        <v>32</v>
      </c>
      <c r="D46" s="5" t="s">
        <v>11</v>
      </c>
      <c r="E46" s="5" t="s">
        <v>12</v>
      </c>
      <c r="F46" s="3" t="s">
        <v>13</v>
      </c>
      <c r="G46" s="3" t="s">
        <v>13</v>
      </c>
      <c r="H46" s="3" t="s">
        <v>13</v>
      </c>
      <c r="I46" s="3">
        <v>15210500</v>
      </c>
    </row>
    <row r="47" spans="1:9" x14ac:dyDescent="0.35">
      <c r="A47" t="str">
        <f>"02201"</f>
        <v>02201</v>
      </c>
      <c r="B47" t="s">
        <v>36</v>
      </c>
      <c r="C47" t="s">
        <v>41</v>
      </c>
      <c r="D47" s="5" t="str">
        <f>"010"</f>
        <v>010</v>
      </c>
      <c r="E47" s="5">
        <v>2017</v>
      </c>
      <c r="F47" s="3">
        <v>3937900</v>
      </c>
      <c r="G47" s="3">
        <v>11635100</v>
      </c>
      <c r="H47" s="3">
        <v>7697200</v>
      </c>
    </row>
    <row r="48" spans="1:9" x14ac:dyDescent="0.35">
      <c r="A48" t="str">
        <f>"02201"</f>
        <v>02201</v>
      </c>
      <c r="B48" t="s">
        <v>36</v>
      </c>
      <c r="C48" t="s">
        <v>41</v>
      </c>
      <c r="D48" s="5" t="str">
        <f>"011"</f>
        <v>011</v>
      </c>
      <c r="E48" s="5">
        <v>2025</v>
      </c>
      <c r="F48" s="3">
        <v>1652100</v>
      </c>
      <c r="G48" s="3">
        <v>1171900</v>
      </c>
      <c r="H48" s="3">
        <v>0</v>
      </c>
    </row>
    <row r="49" spans="1:9" x14ac:dyDescent="0.35">
      <c r="A49" t="str">
        <f>"02201"</f>
        <v>02201</v>
      </c>
      <c r="B49" t="s">
        <v>36</v>
      </c>
      <c r="C49" t="s">
        <v>41</v>
      </c>
      <c r="D49" s="5" t="s">
        <v>11</v>
      </c>
      <c r="E49" s="5" t="s">
        <v>12</v>
      </c>
      <c r="F49" s="3" t="s">
        <v>13</v>
      </c>
      <c r="G49" s="3" t="s">
        <v>13</v>
      </c>
      <c r="H49" s="3" t="s">
        <v>13</v>
      </c>
      <c r="I49" s="3">
        <v>806130400</v>
      </c>
    </row>
    <row r="50" spans="1:9" x14ac:dyDescent="0.35">
      <c r="A50" t="str">
        <f>"02251"</f>
        <v>02251</v>
      </c>
      <c r="B50" t="s">
        <v>36</v>
      </c>
      <c r="C50" t="s">
        <v>54</v>
      </c>
      <c r="D50" s="5" t="s">
        <v>11</v>
      </c>
      <c r="E50" s="5" t="s">
        <v>12</v>
      </c>
      <c r="F50" s="3" t="s">
        <v>13</v>
      </c>
      <c r="G50" s="3" t="s">
        <v>13</v>
      </c>
      <c r="H50" s="3" t="s">
        <v>13</v>
      </c>
      <c r="I50" s="3">
        <v>42354700</v>
      </c>
    </row>
    <row r="51" spans="1:9" x14ac:dyDescent="0.35">
      <c r="A51" t="s">
        <v>30</v>
      </c>
      <c r="B51" t="s">
        <v>38</v>
      </c>
      <c r="C51" t="s">
        <v>32</v>
      </c>
      <c r="D51" s="5" t="s">
        <v>11</v>
      </c>
      <c r="E51" s="5" t="s">
        <v>12</v>
      </c>
      <c r="F51" s="3" t="s">
        <v>13</v>
      </c>
      <c r="G51" s="3" t="s">
        <v>13</v>
      </c>
      <c r="H51" s="3" t="s">
        <v>13</v>
      </c>
      <c r="I51" s="3">
        <v>848485100</v>
      </c>
    </row>
    <row r="52" spans="1:9" x14ac:dyDescent="0.35">
      <c r="A52" t="s">
        <v>30</v>
      </c>
      <c r="B52" t="s">
        <v>39</v>
      </c>
      <c r="C52" t="s">
        <v>41</v>
      </c>
      <c r="D52" s="5" t="s">
        <v>11</v>
      </c>
      <c r="E52" s="5" t="s">
        <v>12</v>
      </c>
      <c r="F52" s="3" t="s">
        <v>13</v>
      </c>
      <c r="G52" s="3" t="s">
        <v>13</v>
      </c>
      <c r="H52" s="3" t="s">
        <v>13</v>
      </c>
      <c r="I52" s="3">
        <v>2214226600</v>
      </c>
    </row>
    <row r="53" spans="1:9" x14ac:dyDescent="0.35">
      <c r="A53" t="str">
        <f>"03002"</f>
        <v>03002</v>
      </c>
      <c r="B53" t="s">
        <v>9</v>
      </c>
      <c r="C53" t="s">
        <v>55</v>
      </c>
      <c r="D53" s="5" t="s">
        <v>11</v>
      </c>
      <c r="E53" s="5" t="s">
        <v>12</v>
      </c>
      <c r="F53" s="3" t="s">
        <v>13</v>
      </c>
      <c r="G53" s="3" t="s">
        <v>13</v>
      </c>
      <c r="H53" s="3" t="s">
        <v>13</v>
      </c>
      <c r="I53" s="3">
        <v>316417800</v>
      </c>
    </row>
    <row r="54" spans="1:9" x14ac:dyDescent="0.35">
      <c r="A54" t="str">
        <f>"03004"</f>
        <v>03004</v>
      </c>
      <c r="B54" t="s">
        <v>9</v>
      </c>
      <c r="C54" t="s">
        <v>56</v>
      </c>
      <c r="D54" s="5" t="s">
        <v>11</v>
      </c>
      <c r="E54" s="5" t="s">
        <v>12</v>
      </c>
      <c r="F54" s="3" t="s">
        <v>13</v>
      </c>
      <c r="G54" s="3" t="s">
        <v>13</v>
      </c>
      <c r="H54" s="3" t="s">
        <v>13</v>
      </c>
      <c r="I54" s="3">
        <v>103580200</v>
      </c>
    </row>
    <row r="55" spans="1:9" x14ac:dyDescent="0.35">
      <c r="A55" t="str">
        <f>"03006"</f>
        <v>03006</v>
      </c>
      <c r="B55" t="s">
        <v>9</v>
      </c>
      <c r="C55" t="s">
        <v>57</v>
      </c>
      <c r="D55" s="5" t="s">
        <v>11</v>
      </c>
      <c r="E55" s="5" t="s">
        <v>12</v>
      </c>
      <c r="F55" s="3" t="s">
        <v>13</v>
      </c>
      <c r="G55" s="3" t="s">
        <v>13</v>
      </c>
      <c r="H55" s="3" t="s">
        <v>13</v>
      </c>
      <c r="I55" s="3">
        <v>109515900</v>
      </c>
    </row>
    <row r="56" spans="1:9" x14ac:dyDescent="0.35">
      <c r="A56" t="str">
        <f>"03008"</f>
        <v>03008</v>
      </c>
      <c r="B56" t="s">
        <v>9</v>
      </c>
      <c r="C56" t="s">
        <v>58</v>
      </c>
      <c r="D56" s="5" t="s">
        <v>11</v>
      </c>
      <c r="E56" s="5" t="s">
        <v>12</v>
      </c>
      <c r="F56" s="3" t="s">
        <v>13</v>
      </c>
      <c r="G56" s="3" t="s">
        <v>13</v>
      </c>
      <c r="H56" s="3" t="s">
        <v>13</v>
      </c>
      <c r="I56" s="3">
        <v>172066600</v>
      </c>
    </row>
    <row r="57" spans="1:9" x14ac:dyDescent="0.35">
      <c r="A57" t="str">
        <f>"03010"</f>
        <v>03010</v>
      </c>
      <c r="B57" t="s">
        <v>9</v>
      </c>
      <c r="C57" t="s">
        <v>59</v>
      </c>
      <c r="D57" s="5" t="s">
        <v>11</v>
      </c>
      <c r="E57" s="5" t="s">
        <v>12</v>
      </c>
      <c r="F57" s="3" t="s">
        <v>13</v>
      </c>
      <c r="G57" s="3" t="s">
        <v>13</v>
      </c>
      <c r="H57" s="3" t="s">
        <v>13</v>
      </c>
      <c r="I57" s="3">
        <v>641468600</v>
      </c>
    </row>
    <row r="58" spans="1:9" x14ac:dyDescent="0.35">
      <c r="A58" t="str">
        <f>"03012"</f>
        <v>03012</v>
      </c>
      <c r="B58" t="s">
        <v>9</v>
      </c>
      <c r="C58" t="s">
        <v>60</v>
      </c>
      <c r="D58" s="5" t="s">
        <v>11</v>
      </c>
      <c r="E58" s="5" t="s">
        <v>12</v>
      </c>
      <c r="F58" s="3" t="s">
        <v>13</v>
      </c>
      <c r="G58" s="3" t="s">
        <v>13</v>
      </c>
      <c r="H58" s="3" t="s">
        <v>13</v>
      </c>
      <c r="I58" s="3">
        <v>557387500</v>
      </c>
    </row>
    <row r="59" spans="1:9" x14ac:dyDescent="0.35">
      <c r="A59" t="str">
        <f>"03014"</f>
        <v>03014</v>
      </c>
      <c r="B59" t="s">
        <v>9</v>
      </c>
      <c r="C59" t="s">
        <v>61</v>
      </c>
      <c r="D59" s="5" t="s">
        <v>11</v>
      </c>
      <c r="E59" s="5" t="s">
        <v>12</v>
      </c>
      <c r="F59" s="3" t="s">
        <v>13</v>
      </c>
      <c r="G59" s="3" t="s">
        <v>13</v>
      </c>
      <c r="H59" s="3" t="s">
        <v>13</v>
      </c>
      <c r="I59" s="3">
        <v>139686800</v>
      </c>
    </row>
    <row r="60" spans="1:9" x14ac:dyDescent="0.35">
      <c r="A60" t="str">
        <f>"03016"</f>
        <v>03016</v>
      </c>
      <c r="B60" t="s">
        <v>9</v>
      </c>
      <c r="C60" t="s">
        <v>62</v>
      </c>
      <c r="D60" s="5" t="s">
        <v>11</v>
      </c>
      <c r="E60" s="5" t="s">
        <v>12</v>
      </c>
      <c r="F60" s="3" t="s">
        <v>13</v>
      </c>
      <c r="G60" s="3" t="s">
        <v>13</v>
      </c>
      <c r="H60" s="3" t="s">
        <v>13</v>
      </c>
      <c r="I60" s="3">
        <v>182586400</v>
      </c>
    </row>
    <row r="61" spans="1:9" x14ac:dyDescent="0.35">
      <c r="A61" t="str">
        <f>"03018"</f>
        <v>03018</v>
      </c>
      <c r="B61" t="s">
        <v>9</v>
      </c>
      <c r="C61" t="s">
        <v>63</v>
      </c>
      <c r="D61" s="5" t="s">
        <v>11</v>
      </c>
      <c r="E61" s="5" t="s">
        <v>12</v>
      </c>
      <c r="F61" s="3" t="s">
        <v>13</v>
      </c>
      <c r="G61" s="3" t="s">
        <v>13</v>
      </c>
      <c r="H61" s="3" t="s">
        <v>13</v>
      </c>
      <c r="I61" s="3">
        <v>164506100</v>
      </c>
    </row>
    <row r="62" spans="1:9" x14ac:dyDescent="0.35">
      <c r="A62" t="str">
        <f>"03020"</f>
        <v>03020</v>
      </c>
      <c r="B62" t="s">
        <v>9</v>
      </c>
      <c r="C62" t="s">
        <v>64</v>
      </c>
      <c r="D62" s="5" t="s">
        <v>11</v>
      </c>
      <c r="E62" s="5" t="s">
        <v>12</v>
      </c>
      <c r="F62" s="3" t="s">
        <v>13</v>
      </c>
      <c r="G62" s="3" t="s">
        <v>13</v>
      </c>
      <c r="H62" s="3" t="s">
        <v>13</v>
      </c>
      <c r="I62" s="3">
        <v>88307100</v>
      </c>
    </row>
    <row r="63" spans="1:9" x14ac:dyDescent="0.35">
      <c r="A63" t="str">
        <f>"03022"</f>
        <v>03022</v>
      </c>
      <c r="B63" t="s">
        <v>9</v>
      </c>
      <c r="C63" t="s">
        <v>65</v>
      </c>
      <c r="D63" s="5" t="s">
        <v>11</v>
      </c>
      <c r="E63" s="5" t="s">
        <v>12</v>
      </c>
      <c r="F63" s="3" t="s">
        <v>13</v>
      </c>
      <c r="G63" s="3" t="s">
        <v>13</v>
      </c>
      <c r="H63" s="3" t="s">
        <v>13</v>
      </c>
      <c r="I63" s="3">
        <v>138099400</v>
      </c>
    </row>
    <row r="64" spans="1:9" x14ac:dyDescent="0.35">
      <c r="A64" t="str">
        <f>"03024"</f>
        <v>03024</v>
      </c>
      <c r="B64" t="s">
        <v>9</v>
      </c>
      <c r="C64" t="s">
        <v>66</v>
      </c>
      <c r="D64" s="5" t="s">
        <v>11</v>
      </c>
      <c r="E64" s="5" t="s">
        <v>12</v>
      </c>
      <c r="F64" s="3" t="s">
        <v>13</v>
      </c>
      <c r="G64" s="3" t="s">
        <v>13</v>
      </c>
      <c r="H64" s="3" t="s">
        <v>13</v>
      </c>
      <c r="I64" s="3">
        <v>99539100</v>
      </c>
    </row>
    <row r="65" spans="1:9" x14ac:dyDescent="0.35">
      <c r="A65" t="str">
        <f>"03026"</f>
        <v>03026</v>
      </c>
      <c r="B65" t="s">
        <v>9</v>
      </c>
      <c r="C65" t="s">
        <v>67</v>
      </c>
      <c r="D65" s="5" t="s">
        <v>11</v>
      </c>
      <c r="E65" s="5" t="s">
        <v>12</v>
      </c>
      <c r="F65" s="3" t="s">
        <v>13</v>
      </c>
      <c r="G65" s="3" t="s">
        <v>13</v>
      </c>
      <c r="H65" s="3" t="s">
        <v>13</v>
      </c>
      <c r="I65" s="3">
        <v>295807800</v>
      </c>
    </row>
    <row r="66" spans="1:9" x14ac:dyDescent="0.35">
      <c r="A66" t="str">
        <f>"03028"</f>
        <v>03028</v>
      </c>
      <c r="B66" t="s">
        <v>9</v>
      </c>
      <c r="C66" t="s">
        <v>68</v>
      </c>
      <c r="D66" s="5" t="s">
        <v>11</v>
      </c>
      <c r="E66" s="5" t="s">
        <v>12</v>
      </c>
      <c r="F66" s="3" t="s">
        <v>13</v>
      </c>
      <c r="G66" s="3" t="s">
        <v>13</v>
      </c>
      <c r="H66" s="3" t="s">
        <v>13</v>
      </c>
      <c r="I66" s="3">
        <v>134437100</v>
      </c>
    </row>
    <row r="67" spans="1:9" x14ac:dyDescent="0.35">
      <c r="A67" t="str">
        <f>"03030"</f>
        <v>03030</v>
      </c>
      <c r="B67" t="s">
        <v>9</v>
      </c>
      <c r="C67" t="s">
        <v>69</v>
      </c>
      <c r="D67" s="5" t="s">
        <v>11</v>
      </c>
      <c r="E67" s="5" t="s">
        <v>12</v>
      </c>
      <c r="F67" s="3" t="s">
        <v>13</v>
      </c>
      <c r="G67" s="3" t="s">
        <v>13</v>
      </c>
      <c r="H67" s="3" t="s">
        <v>13</v>
      </c>
      <c r="I67" s="3">
        <v>393028000</v>
      </c>
    </row>
    <row r="68" spans="1:9" x14ac:dyDescent="0.35">
      <c r="A68" t="str">
        <f>"03032"</f>
        <v>03032</v>
      </c>
      <c r="B68" t="s">
        <v>9</v>
      </c>
      <c r="C68" t="s">
        <v>70</v>
      </c>
      <c r="D68" s="5" t="s">
        <v>11</v>
      </c>
      <c r="E68" s="5" t="s">
        <v>12</v>
      </c>
      <c r="F68" s="3" t="s">
        <v>13</v>
      </c>
      <c r="G68" s="3" t="s">
        <v>13</v>
      </c>
      <c r="H68" s="3" t="s">
        <v>13</v>
      </c>
      <c r="I68" s="3">
        <v>153153200</v>
      </c>
    </row>
    <row r="69" spans="1:9" x14ac:dyDescent="0.35">
      <c r="A69" t="str">
        <f>"03034"</f>
        <v>03034</v>
      </c>
      <c r="B69" t="s">
        <v>9</v>
      </c>
      <c r="C69" t="s">
        <v>71</v>
      </c>
      <c r="D69" s="5" t="s">
        <v>11</v>
      </c>
      <c r="E69" s="5" t="s">
        <v>12</v>
      </c>
      <c r="F69" s="3" t="s">
        <v>13</v>
      </c>
      <c r="G69" s="3" t="s">
        <v>13</v>
      </c>
      <c r="H69" s="3" t="s">
        <v>13</v>
      </c>
      <c r="I69" s="3">
        <v>89870100</v>
      </c>
    </row>
    <row r="70" spans="1:9" x14ac:dyDescent="0.35">
      <c r="A70" t="str">
        <f>"03036"</f>
        <v>03036</v>
      </c>
      <c r="B70" t="s">
        <v>9</v>
      </c>
      <c r="C70" t="s">
        <v>72</v>
      </c>
      <c r="D70" s="5" t="s">
        <v>11</v>
      </c>
      <c r="E70" s="5" t="s">
        <v>12</v>
      </c>
      <c r="F70" s="3" t="s">
        <v>13</v>
      </c>
      <c r="G70" s="3" t="s">
        <v>13</v>
      </c>
      <c r="H70" s="3" t="s">
        <v>13</v>
      </c>
      <c r="I70" s="3">
        <v>376899500</v>
      </c>
    </row>
    <row r="71" spans="1:9" x14ac:dyDescent="0.35">
      <c r="A71" t="str">
        <f>"03038"</f>
        <v>03038</v>
      </c>
      <c r="B71" t="s">
        <v>9</v>
      </c>
      <c r="C71" t="s">
        <v>73</v>
      </c>
      <c r="D71" s="5" t="s">
        <v>11</v>
      </c>
      <c r="E71" s="5" t="s">
        <v>12</v>
      </c>
      <c r="F71" s="3" t="s">
        <v>13</v>
      </c>
      <c r="G71" s="3" t="s">
        <v>13</v>
      </c>
      <c r="H71" s="3" t="s">
        <v>13</v>
      </c>
      <c r="I71" s="3">
        <v>456419000</v>
      </c>
    </row>
    <row r="72" spans="1:9" x14ac:dyDescent="0.35">
      <c r="A72" t="str">
        <f>"03040"</f>
        <v>03040</v>
      </c>
      <c r="B72" t="s">
        <v>9</v>
      </c>
      <c r="C72" t="s">
        <v>74</v>
      </c>
      <c r="D72" s="5" t="s">
        <v>11</v>
      </c>
      <c r="E72" s="5" t="s">
        <v>12</v>
      </c>
      <c r="F72" s="3" t="s">
        <v>13</v>
      </c>
      <c r="G72" s="3" t="s">
        <v>13</v>
      </c>
      <c r="H72" s="3" t="s">
        <v>13</v>
      </c>
      <c r="I72" s="3">
        <v>115675300</v>
      </c>
    </row>
    <row r="73" spans="1:9" x14ac:dyDescent="0.35">
      <c r="A73" t="str">
        <f>"03042"</f>
        <v>03042</v>
      </c>
      <c r="B73" t="s">
        <v>9</v>
      </c>
      <c r="C73" t="s">
        <v>75</v>
      </c>
      <c r="D73" s="5" t="s">
        <v>11</v>
      </c>
      <c r="E73" s="5" t="s">
        <v>12</v>
      </c>
      <c r="F73" s="3" t="s">
        <v>13</v>
      </c>
      <c r="G73" s="3" t="s">
        <v>13</v>
      </c>
      <c r="H73" s="3" t="s">
        <v>13</v>
      </c>
      <c r="I73" s="3">
        <v>129805800</v>
      </c>
    </row>
    <row r="74" spans="1:9" x14ac:dyDescent="0.35">
      <c r="A74" t="str">
        <f>"03044"</f>
        <v>03044</v>
      </c>
      <c r="B74" t="s">
        <v>9</v>
      </c>
      <c r="C74" t="s">
        <v>76</v>
      </c>
      <c r="D74" s="5" t="s">
        <v>11</v>
      </c>
      <c r="E74" s="5" t="s">
        <v>12</v>
      </c>
      <c r="F74" s="3" t="s">
        <v>13</v>
      </c>
      <c r="G74" s="3" t="s">
        <v>13</v>
      </c>
      <c r="H74" s="3" t="s">
        <v>13</v>
      </c>
      <c r="I74" s="3">
        <v>421380600</v>
      </c>
    </row>
    <row r="75" spans="1:9" x14ac:dyDescent="0.35">
      <c r="A75" t="str">
        <f>"03046"</f>
        <v>03046</v>
      </c>
      <c r="B75" t="s">
        <v>9</v>
      </c>
      <c r="C75" t="s">
        <v>77</v>
      </c>
      <c r="D75" s="5" t="s">
        <v>11</v>
      </c>
      <c r="E75" s="5" t="s">
        <v>12</v>
      </c>
      <c r="F75" s="3" t="s">
        <v>13</v>
      </c>
      <c r="G75" s="3" t="s">
        <v>13</v>
      </c>
      <c r="H75" s="3" t="s">
        <v>13</v>
      </c>
      <c r="I75" s="3">
        <v>130697800</v>
      </c>
    </row>
    <row r="76" spans="1:9" x14ac:dyDescent="0.35">
      <c r="A76" t="str">
        <f>"03048"</f>
        <v>03048</v>
      </c>
      <c r="B76" t="s">
        <v>9</v>
      </c>
      <c r="C76" t="s">
        <v>78</v>
      </c>
      <c r="D76" s="5" t="s">
        <v>11</v>
      </c>
      <c r="E76" s="5" t="s">
        <v>12</v>
      </c>
      <c r="F76" s="3" t="s">
        <v>13</v>
      </c>
      <c r="G76" s="3" t="s">
        <v>13</v>
      </c>
      <c r="H76" s="3" t="s">
        <v>13</v>
      </c>
      <c r="I76" s="3">
        <v>156193100</v>
      </c>
    </row>
    <row r="77" spans="1:9" x14ac:dyDescent="0.35">
      <c r="A77" t="str">
        <f>"03050"</f>
        <v>03050</v>
      </c>
      <c r="B77" t="s">
        <v>9</v>
      </c>
      <c r="C77" t="s">
        <v>79</v>
      </c>
      <c r="D77" s="5" t="s">
        <v>11</v>
      </c>
      <c r="E77" s="5" t="s">
        <v>12</v>
      </c>
      <c r="F77" s="3" t="s">
        <v>13</v>
      </c>
      <c r="G77" s="3" t="s">
        <v>13</v>
      </c>
      <c r="H77" s="3" t="s">
        <v>13</v>
      </c>
      <c r="I77" s="3">
        <v>91340400</v>
      </c>
    </row>
    <row r="78" spans="1:9" x14ac:dyDescent="0.35">
      <c r="A78" t="s">
        <v>30</v>
      </c>
      <c r="B78" t="s">
        <v>31</v>
      </c>
      <c r="C78" t="s">
        <v>32</v>
      </c>
      <c r="D78" s="5" t="s">
        <v>11</v>
      </c>
      <c r="E78" s="5" t="s">
        <v>12</v>
      </c>
      <c r="F78" s="3" t="s">
        <v>13</v>
      </c>
      <c r="G78" s="3" t="s">
        <v>13</v>
      </c>
      <c r="H78" s="3" t="s">
        <v>13</v>
      </c>
      <c r="I78" s="3">
        <v>5657869200</v>
      </c>
    </row>
    <row r="79" spans="1:9" x14ac:dyDescent="0.35">
      <c r="A79" t="str">
        <f>"03101"</f>
        <v>03101</v>
      </c>
      <c r="B79" t="s">
        <v>33</v>
      </c>
      <c r="C79" t="s">
        <v>55</v>
      </c>
      <c r="D79" s="5" t="s">
        <v>11</v>
      </c>
      <c r="E79" s="5" t="s">
        <v>12</v>
      </c>
      <c r="F79" s="3" t="s">
        <v>13</v>
      </c>
      <c r="G79" s="3" t="s">
        <v>13</v>
      </c>
      <c r="H79" s="3" t="s">
        <v>13</v>
      </c>
      <c r="I79" s="3">
        <v>55847100</v>
      </c>
    </row>
    <row r="80" spans="1:9" x14ac:dyDescent="0.35">
      <c r="A80" t="str">
        <f>"03111"</f>
        <v>03111</v>
      </c>
      <c r="B80" t="s">
        <v>33</v>
      </c>
      <c r="C80" t="s">
        <v>80</v>
      </c>
      <c r="D80" s="5" t="s">
        <v>11</v>
      </c>
      <c r="E80" s="5" t="s">
        <v>12</v>
      </c>
      <c r="F80" s="3" t="s">
        <v>13</v>
      </c>
      <c r="G80" s="3" t="s">
        <v>13</v>
      </c>
      <c r="H80" s="3" t="s">
        <v>13</v>
      </c>
      <c r="I80" s="3">
        <v>206675400</v>
      </c>
    </row>
    <row r="81" spans="1:9" x14ac:dyDescent="0.35">
      <c r="A81" t="str">
        <f>"03116"</f>
        <v>03116</v>
      </c>
      <c r="B81" t="s">
        <v>33</v>
      </c>
      <c r="C81" t="s">
        <v>64</v>
      </c>
      <c r="D81" s="5" t="str">
        <f>"002"</f>
        <v>002</v>
      </c>
      <c r="E81" s="5">
        <v>2001</v>
      </c>
      <c r="F81" s="3">
        <v>29900</v>
      </c>
      <c r="G81" s="3">
        <v>3211200</v>
      </c>
      <c r="H81" s="3">
        <v>3181300</v>
      </c>
    </row>
    <row r="82" spans="1:9" x14ac:dyDescent="0.35">
      <c r="A82" t="str">
        <f>"03116"</f>
        <v>03116</v>
      </c>
      <c r="B82" t="s">
        <v>33</v>
      </c>
      <c r="C82" t="s">
        <v>64</v>
      </c>
      <c r="D82" s="5" t="s">
        <v>11</v>
      </c>
      <c r="E82" s="5" t="s">
        <v>12</v>
      </c>
      <c r="F82" s="3" t="s">
        <v>13</v>
      </c>
      <c r="G82" s="3" t="s">
        <v>13</v>
      </c>
      <c r="H82" s="3" t="s">
        <v>13</v>
      </c>
      <c r="I82" s="3">
        <v>26161100</v>
      </c>
    </row>
    <row r="83" spans="1:9" x14ac:dyDescent="0.35">
      <c r="A83" t="str">
        <f>"03136"</f>
        <v>03136</v>
      </c>
      <c r="B83" t="s">
        <v>33</v>
      </c>
      <c r="C83" t="s">
        <v>81</v>
      </c>
      <c r="D83" s="5" t="s">
        <v>11</v>
      </c>
      <c r="E83" s="5" t="s">
        <v>12</v>
      </c>
      <c r="F83" s="3" t="s">
        <v>13</v>
      </c>
      <c r="G83" s="3" t="s">
        <v>13</v>
      </c>
      <c r="H83" s="3" t="s">
        <v>13</v>
      </c>
      <c r="I83" s="3">
        <v>33129600</v>
      </c>
    </row>
    <row r="84" spans="1:9" x14ac:dyDescent="0.35">
      <c r="A84" t="str">
        <f>"03151"</f>
        <v>03151</v>
      </c>
      <c r="B84" t="s">
        <v>33</v>
      </c>
      <c r="C84" t="s">
        <v>82</v>
      </c>
      <c r="D84" s="5" t="s">
        <v>11</v>
      </c>
      <c r="E84" s="5" t="s">
        <v>12</v>
      </c>
      <c r="F84" s="3" t="s">
        <v>13</v>
      </c>
      <c r="G84" s="3" t="s">
        <v>13</v>
      </c>
      <c r="H84" s="3" t="s">
        <v>13</v>
      </c>
      <c r="I84" s="3">
        <v>4213800</v>
      </c>
    </row>
    <row r="85" spans="1:9" x14ac:dyDescent="0.35">
      <c r="A85" t="str">
        <f>"03171"</f>
        <v>03171</v>
      </c>
      <c r="B85" t="s">
        <v>33</v>
      </c>
      <c r="C85" t="s">
        <v>71</v>
      </c>
      <c r="D85" s="5" t="s">
        <v>11</v>
      </c>
      <c r="E85" s="5" t="s">
        <v>12</v>
      </c>
      <c r="F85" s="3" t="s">
        <v>13</v>
      </c>
      <c r="G85" s="3" t="s">
        <v>13</v>
      </c>
      <c r="H85" s="3" t="s">
        <v>13</v>
      </c>
      <c r="I85" s="3">
        <v>38317400</v>
      </c>
    </row>
    <row r="86" spans="1:9" x14ac:dyDescent="0.35">
      <c r="A86" t="str">
        <f>"03186"</f>
        <v>03186</v>
      </c>
      <c r="B86" t="s">
        <v>33</v>
      </c>
      <c r="C86" t="s">
        <v>78</v>
      </c>
      <c r="D86" s="5" t="str">
        <f>"003"</f>
        <v>003</v>
      </c>
      <c r="E86" s="5">
        <v>2009</v>
      </c>
      <c r="F86" s="3">
        <v>102700</v>
      </c>
      <c r="G86" s="3">
        <v>157200</v>
      </c>
      <c r="H86" s="3">
        <v>54500</v>
      </c>
    </row>
    <row r="87" spans="1:9" x14ac:dyDescent="0.35">
      <c r="A87" t="str">
        <f>"03186"</f>
        <v>03186</v>
      </c>
      <c r="B87" t="s">
        <v>33</v>
      </c>
      <c r="C87" t="s">
        <v>78</v>
      </c>
      <c r="D87" s="5" t="s">
        <v>11</v>
      </c>
      <c r="E87" s="5" t="s">
        <v>12</v>
      </c>
      <c r="F87" s="3" t="s">
        <v>13</v>
      </c>
      <c r="G87" s="3" t="s">
        <v>13</v>
      </c>
      <c r="H87" s="3" t="s">
        <v>13</v>
      </c>
      <c r="I87" s="3">
        <v>104476300</v>
      </c>
    </row>
    <row r="88" spans="1:9" x14ac:dyDescent="0.35">
      <c r="A88" t="s">
        <v>30</v>
      </c>
      <c r="B88" t="s">
        <v>35</v>
      </c>
      <c r="C88" t="s">
        <v>32</v>
      </c>
      <c r="D88" s="5" t="s">
        <v>11</v>
      </c>
      <c r="E88" s="5" t="s">
        <v>12</v>
      </c>
      <c r="F88" s="3" t="s">
        <v>13</v>
      </c>
      <c r="G88" s="3" t="s">
        <v>13</v>
      </c>
      <c r="H88" s="3" t="s">
        <v>13</v>
      </c>
      <c r="I88" s="3">
        <v>468820700</v>
      </c>
    </row>
    <row r="89" spans="1:9" x14ac:dyDescent="0.35">
      <c r="A89" t="str">
        <f t="shared" ref="A89:A94" si="0">"03206"</f>
        <v>03206</v>
      </c>
      <c r="B89" t="s">
        <v>36</v>
      </c>
      <c r="C89" t="s">
        <v>57</v>
      </c>
      <c r="D89" s="5" t="str">
        <f>"004"</f>
        <v>004</v>
      </c>
      <c r="E89" s="5">
        <v>2007</v>
      </c>
      <c r="F89" s="3">
        <v>11215000</v>
      </c>
      <c r="G89" s="3">
        <v>20815300</v>
      </c>
      <c r="H89" s="3">
        <v>9600300</v>
      </c>
    </row>
    <row r="90" spans="1:9" x14ac:dyDescent="0.35">
      <c r="A90" t="str">
        <f t="shared" si="0"/>
        <v>03206</v>
      </c>
      <c r="B90" t="s">
        <v>36</v>
      </c>
      <c r="C90" t="s">
        <v>57</v>
      </c>
      <c r="D90" s="5" t="str">
        <f>"005"</f>
        <v>005</v>
      </c>
      <c r="E90" s="5">
        <v>2010</v>
      </c>
      <c r="F90" s="3">
        <v>5430700</v>
      </c>
      <c r="G90" s="3">
        <v>8943000</v>
      </c>
      <c r="H90" s="3">
        <v>3512300</v>
      </c>
    </row>
    <row r="91" spans="1:9" x14ac:dyDescent="0.35">
      <c r="A91" t="str">
        <f t="shared" si="0"/>
        <v>03206</v>
      </c>
      <c r="B91" t="s">
        <v>36</v>
      </c>
      <c r="C91" t="s">
        <v>57</v>
      </c>
      <c r="D91" s="5" t="str">
        <f>"006"</f>
        <v>006</v>
      </c>
      <c r="E91" s="5">
        <v>2015</v>
      </c>
      <c r="F91" s="3">
        <v>4451400</v>
      </c>
      <c r="G91" s="3">
        <v>12714200</v>
      </c>
      <c r="H91" s="3">
        <v>8262800</v>
      </c>
    </row>
    <row r="92" spans="1:9" x14ac:dyDescent="0.35">
      <c r="A92" t="str">
        <f t="shared" si="0"/>
        <v>03206</v>
      </c>
      <c r="B92" t="s">
        <v>36</v>
      </c>
      <c r="C92" t="s">
        <v>57</v>
      </c>
      <c r="D92" s="5" t="str">
        <f>"007"</f>
        <v>007</v>
      </c>
      <c r="E92" s="5">
        <v>2022</v>
      </c>
      <c r="F92" s="3">
        <v>3703100</v>
      </c>
      <c r="G92" s="3">
        <v>8881800</v>
      </c>
      <c r="H92" s="3">
        <v>5178700</v>
      </c>
    </row>
    <row r="93" spans="1:9" x14ac:dyDescent="0.35">
      <c r="A93" t="str">
        <f t="shared" si="0"/>
        <v>03206</v>
      </c>
      <c r="B93" t="s">
        <v>36</v>
      </c>
      <c r="C93" t="s">
        <v>57</v>
      </c>
      <c r="D93" s="5" t="str">
        <f>"008"</f>
        <v>008</v>
      </c>
      <c r="E93" s="5">
        <v>2023</v>
      </c>
      <c r="F93" s="3">
        <v>5886600</v>
      </c>
      <c r="G93" s="3">
        <v>12600000</v>
      </c>
      <c r="H93" s="3">
        <v>6713400</v>
      </c>
    </row>
    <row r="94" spans="1:9" x14ac:dyDescent="0.35">
      <c r="A94" t="str">
        <f t="shared" si="0"/>
        <v>03206</v>
      </c>
      <c r="B94" t="s">
        <v>36</v>
      </c>
      <c r="C94" t="s">
        <v>57</v>
      </c>
      <c r="D94" s="5" t="s">
        <v>11</v>
      </c>
      <c r="E94" s="5" t="s">
        <v>12</v>
      </c>
      <c r="F94" s="3" t="s">
        <v>13</v>
      </c>
      <c r="G94" s="3" t="s">
        <v>13</v>
      </c>
      <c r="H94" s="3" t="s">
        <v>13</v>
      </c>
      <c r="I94" s="3">
        <v>248966900</v>
      </c>
    </row>
    <row r="95" spans="1:9" x14ac:dyDescent="0.35">
      <c r="A95" t="str">
        <f>"03211"</f>
        <v>03211</v>
      </c>
      <c r="B95" t="s">
        <v>36</v>
      </c>
      <c r="C95" t="s">
        <v>60</v>
      </c>
      <c r="D95" s="5" t="str">
        <f>"004"</f>
        <v>004</v>
      </c>
      <c r="E95" s="5">
        <v>2020</v>
      </c>
      <c r="F95" s="3">
        <v>3623400</v>
      </c>
      <c r="G95" s="3">
        <v>10996800</v>
      </c>
      <c r="H95" s="3">
        <v>7373400</v>
      </c>
    </row>
    <row r="96" spans="1:9" x14ac:dyDescent="0.35">
      <c r="A96" t="str">
        <f>"03211"</f>
        <v>03211</v>
      </c>
      <c r="B96" t="s">
        <v>36</v>
      </c>
      <c r="C96" t="s">
        <v>60</v>
      </c>
      <c r="D96" s="5" t="s">
        <v>11</v>
      </c>
      <c r="E96" s="5" t="s">
        <v>12</v>
      </c>
      <c r="F96" s="3" t="s">
        <v>13</v>
      </c>
      <c r="G96" s="3" t="s">
        <v>13</v>
      </c>
      <c r="H96" s="3" t="s">
        <v>13</v>
      </c>
      <c r="I96" s="3">
        <v>289327100</v>
      </c>
    </row>
    <row r="97" spans="1:9" x14ac:dyDescent="0.35">
      <c r="A97" t="str">
        <f>"03212"</f>
        <v>03212</v>
      </c>
      <c r="B97" t="s">
        <v>36</v>
      </c>
      <c r="C97" t="s">
        <v>63</v>
      </c>
      <c r="D97" s="5" t="str">
        <f>"008"</f>
        <v>008</v>
      </c>
      <c r="E97" s="5">
        <v>2017</v>
      </c>
      <c r="F97" s="3">
        <v>477500</v>
      </c>
      <c r="G97" s="3">
        <v>4059400</v>
      </c>
      <c r="H97" s="3">
        <v>3581900</v>
      </c>
    </row>
    <row r="98" spans="1:9" x14ac:dyDescent="0.35">
      <c r="A98" t="str">
        <f>"03212"</f>
        <v>03212</v>
      </c>
      <c r="B98" t="s">
        <v>36</v>
      </c>
      <c r="C98" t="s">
        <v>63</v>
      </c>
      <c r="D98" s="5" t="str">
        <f>"009"</f>
        <v>009</v>
      </c>
      <c r="E98" s="5">
        <v>2018</v>
      </c>
      <c r="F98" s="3">
        <v>6993300</v>
      </c>
      <c r="G98" s="3">
        <v>49393500</v>
      </c>
      <c r="H98" s="3">
        <v>42400200</v>
      </c>
    </row>
    <row r="99" spans="1:9" x14ac:dyDescent="0.35">
      <c r="A99" t="str">
        <f>"03212"</f>
        <v>03212</v>
      </c>
      <c r="B99" t="s">
        <v>36</v>
      </c>
      <c r="C99" t="s">
        <v>63</v>
      </c>
      <c r="D99" s="5" t="s">
        <v>11</v>
      </c>
      <c r="E99" s="5" t="s">
        <v>12</v>
      </c>
      <c r="F99" s="3" t="s">
        <v>13</v>
      </c>
      <c r="G99" s="3" t="s">
        <v>13</v>
      </c>
      <c r="H99" s="3" t="s">
        <v>13</v>
      </c>
      <c r="I99" s="3">
        <v>333605800</v>
      </c>
    </row>
    <row r="100" spans="1:9" x14ac:dyDescent="0.35">
      <c r="A100" t="str">
        <f>"03276"</f>
        <v>03276</v>
      </c>
      <c r="B100" t="s">
        <v>36</v>
      </c>
      <c r="C100" t="s">
        <v>73</v>
      </c>
      <c r="D100" s="5" t="str">
        <f>"004"</f>
        <v>004</v>
      </c>
      <c r="E100" s="5">
        <v>2007</v>
      </c>
      <c r="F100" s="3">
        <v>3937100</v>
      </c>
      <c r="G100" s="3">
        <v>73189800</v>
      </c>
      <c r="H100" s="3">
        <v>69252700</v>
      </c>
    </row>
    <row r="101" spans="1:9" x14ac:dyDescent="0.35">
      <c r="A101" t="str">
        <f>"03276"</f>
        <v>03276</v>
      </c>
      <c r="B101" t="s">
        <v>36</v>
      </c>
      <c r="C101" t="s">
        <v>73</v>
      </c>
      <c r="D101" s="5" t="str">
        <f>"005"</f>
        <v>005</v>
      </c>
      <c r="E101" s="5">
        <v>2019</v>
      </c>
      <c r="F101" s="3">
        <v>45270800</v>
      </c>
      <c r="G101" s="3">
        <v>73499200</v>
      </c>
      <c r="H101" s="3">
        <v>28228400</v>
      </c>
    </row>
    <row r="102" spans="1:9" x14ac:dyDescent="0.35">
      <c r="A102" t="str">
        <f>"03276"</f>
        <v>03276</v>
      </c>
      <c r="B102" t="s">
        <v>36</v>
      </c>
      <c r="C102" t="s">
        <v>73</v>
      </c>
      <c r="D102" s="5" t="str">
        <f>"006"</f>
        <v>006</v>
      </c>
      <c r="E102" s="5">
        <v>2021</v>
      </c>
      <c r="F102" s="3">
        <v>11880000</v>
      </c>
      <c r="G102" s="3">
        <v>29024000</v>
      </c>
      <c r="H102" s="3">
        <v>17144000</v>
      </c>
    </row>
    <row r="103" spans="1:9" x14ac:dyDescent="0.35">
      <c r="A103" t="str">
        <f>"03276"</f>
        <v>03276</v>
      </c>
      <c r="B103" t="s">
        <v>36</v>
      </c>
      <c r="C103" t="s">
        <v>73</v>
      </c>
      <c r="D103" s="5" t="str">
        <f>"007"</f>
        <v>007</v>
      </c>
      <c r="E103" s="5">
        <v>2023</v>
      </c>
      <c r="F103" s="3">
        <v>24415400</v>
      </c>
      <c r="G103" s="3">
        <v>32670000</v>
      </c>
      <c r="H103" s="3">
        <v>8254600</v>
      </c>
    </row>
    <row r="104" spans="1:9" x14ac:dyDescent="0.35">
      <c r="A104" t="str">
        <f>"03276"</f>
        <v>03276</v>
      </c>
      <c r="B104" t="s">
        <v>36</v>
      </c>
      <c r="C104" t="s">
        <v>73</v>
      </c>
      <c r="D104" s="5" t="s">
        <v>11</v>
      </c>
      <c r="E104" s="5" t="s">
        <v>12</v>
      </c>
      <c r="F104" s="3" t="s">
        <v>13</v>
      </c>
      <c r="G104" s="3" t="s">
        <v>13</v>
      </c>
      <c r="H104" s="3" t="s">
        <v>13</v>
      </c>
      <c r="I104" s="3">
        <v>988708600</v>
      </c>
    </row>
    <row r="105" spans="1:9" x14ac:dyDescent="0.35">
      <c r="A105" t="s">
        <v>30</v>
      </c>
      <c r="B105" t="s">
        <v>38</v>
      </c>
      <c r="C105" t="s">
        <v>32</v>
      </c>
      <c r="D105" s="5" t="s">
        <v>11</v>
      </c>
      <c r="E105" s="5" t="s">
        <v>12</v>
      </c>
      <c r="F105" s="3" t="s">
        <v>13</v>
      </c>
      <c r="G105" s="3" t="s">
        <v>13</v>
      </c>
      <c r="H105" s="3" t="s">
        <v>13</v>
      </c>
      <c r="I105" s="3">
        <v>1860608400</v>
      </c>
    </row>
    <row r="106" spans="1:9" x14ac:dyDescent="0.35">
      <c r="A106" t="s">
        <v>30</v>
      </c>
      <c r="B106" t="s">
        <v>39</v>
      </c>
      <c r="C106" t="s">
        <v>57</v>
      </c>
      <c r="D106" s="5" t="s">
        <v>11</v>
      </c>
      <c r="E106" s="5" t="s">
        <v>12</v>
      </c>
      <c r="F106" s="3" t="s">
        <v>13</v>
      </c>
      <c r="G106" s="3" t="s">
        <v>13</v>
      </c>
      <c r="H106" s="3" t="s">
        <v>13</v>
      </c>
      <c r="I106" s="3">
        <v>7987298300</v>
      </c>
    </row>
    <row r="107" spans="1:9" x14ac:dyDescent="0.35">
      <c r="A107" t="str">
        <f>"04002"</f>
        <v>04002</v>
      </c>
      <c r="B107" t="s">
        <v>9</v>
      </c>
      <c r="C107" t="s">
        <v>83</v>
      </c>
      <c r="D107" s="5" t="s">
        <v>11</v>
      </c>
      <c r="E107" s="5" t="s">
        <v>12</v>
      </c>
      <c r="F107" s="3" t="s">
        <v>13</v>
      </c>
      <c r="G107" s="3" t="s">
        <v>13</v>
      </c>
      <c r="H107" s="3" t="s">
        <v>13</v>
      </c>
      <c r="I107" s="3">
        <v>142465300</v>
      </c>
    </row>
    <row r="108" spans="1:9" x14ac:dyDescent="0.35">
      <c r="A108" t="str">
        <f>"04004"</f>
        <v>04004</v>
      </c>
      <c r="B108" t="s">
        <v>9</v>
      </c>
      <c r="C108" t="s">
        <v>84</v>
      </c>
      <c r="D108" s="5" t="s">
        <v>11</v>
      </c>
      <c r="E108" s="5" t="s">
        <v>12</v>
      </c>
      <c r="F108" s="3" t="s">
        <v>13</v>
      </c>
      <c r="G108" s="3" t="s">
        <v>13</v>
      </c>
      <c r="H108" s="3" t="s">
        <v>13</v>
      </c>
      <c r="I108" s="3">
        <v>708979700</v>
      </c>
    </row>
    <row r="109" spans="1:9" x14ac:dyDescent="0.35">
      <c r="A109" t="str">
        <f>"04006"</f>
        <v>04006</v>
      </c>
      <c r="B109" t="s">
        <v>9</v>
      </c>
      <c r="C109" t="s">
        <v>85</v>
      </c>
      <c r="D109" s="5" t="s">
        <v>11</v>
      </c>
      <c r="E109" s="5" t="s">
        <v>12</v>
      </c>
      <c r="F109" s="3" t="s">
        <v>13</v>
      </c>
      <c r="G109" s="3" t="s">
        <v>13</v>
      </c>
      <c r="H109" s="3" t="s">
        <v>13</v>
      </c>
      <c r="I109" s="3">
        <v>298785900</v>
      </c>
    </row>
    <row r="110" spans="1:9" x14ac:dyDescent="0.35">
      <c r="A110" t="str">
        <f>"04008"</f>
        <v>04008</v>
      </c>
      <c r="B110" t="s">
        <v>9</v>
      </c>
      <c r="C110" t="s">
        <v>86</v>
      </c>
      <c r="D110" s="5" t="s">
        <v>11</v>
      </c>
      <c r="E110" s="5" t="s">
        <v>12</v>
      </c>
      <c r="F110" s="3" t="s">
        <v>13</v>
      </c>
      <c r="G110" s="3" t="s">
        <v>13</v>
      </c>
      <c r="H110" s="3" t="s">
        <v>13</v>
      </c>
      <c r="I110" s="3">
        <v>168278200</v>
      </c>
    </row>
    <row r="111" spans="1:9" x14ac:dyDescent="0.35">
      <c r="A111" t="str">
        <f>"04010"</f>
        <v>04010</v>
      </c>
      <c r="B111" t="s">
        <v>9</v>
      </c>
      <c r="C111" t="s">
        <v>87</v>
      </c>
      <c r="D111" s="5" t="s">
        <v>11</v>
      </c>
      <c r="E111" s="5" t="s">
        <v>12</v>
      </c>
      <c r="F111" s="3" t="s">
        <v>13</v>
      </c>
      <c r="G111" s="3" t="s">
        <v>13</v>
      </c>
      <c r="H111" s="3" t="s">
        <v>13</v>
      </c>
      <c r="I111" s="3">
        <v>213449100</v>
      </c>
    </row>
    <row r="112" spans="1:9" x14ac:dyDescent="0.35">
      <c r="A112" t="str">
        <f>"04012"</f>
        <v>04012</v>
      </c>
      <c r="B112" t="s">
        <v>9</v>
      </c>
      <c r="C112" t="s">
        <v>88</v>
      </c>
      <c r="D112" s="5" t="s">
        <v>11</v>
      </c>
      <c r="E112" s="5" t="s">
        <v>12</v>
      </c>
      <c r="F112" s="3" t="s">
        <v>13</v>
      </c>
      <c r="G112" s="3" t="s">
        <v>13</v>
      </c>
      <c r="H112" s="3" t="s">
        <v>13</v>
      </c>
      <c r="I112" s="3">
        <v>347497300</v>
      </c>
    </row>
    <row r="113" spans="1:9" x14ac:dyDescent="0.35">
      <c r="A113" t="str">
        <f>"04014"</f>
        <v>04014</v>
      </c>
      <c r="B113" t="s">
        <v>9</v>
      </c>
      <c r="C113" t="s">
        <v>89</v>
      </c>
      <c r="D113" s="5" t="s">
        <v>11</v>
      </c>
      <c r="E113" s="5" t="s">
        <v>12</v>
      </c>
      <c r="F113" s="3" t="s">
        <v>13</v>
      </c>
      <c r="G113" s="3" t="s">
        <v>13</v>
      </c>
      <c r="H113" s="3" t="s">
        <v>13</v>
      </c>
      <c r="I113" s="3">
        <v>143053000</v>
      </c>
    </row>
    <row r="114" spans="1:9" x14ac:dyDescent="0.35">
      <c r="A114" t="str">
        <f>"04016"</f>
        <v>04016</v>
      </c>
      <c r="B114" t="s">
        <v>9</v>
      </c>
      <c r="C114" t="s">
        <v>90</v>
      </c>
      <c r="D114" s="5" t="s">
        <v>11</v>
      </c>
      <c r="E114" s="5" t="s">
        <v>12</v>
      </c>
      <c r="F114" s="3" t="s">
        <v>13</v>
      </c>
      <c r="G114" s="3" t="s">
        <v>13</v>
      </c>
      <c r="H114" s="3" t="s">
        <v>13</v>
      </c>
      <c r="I114" s="3">
        <v>190008000</v>
      </c>
    </row>
    <row r="115" spans="1:9" x14ac:dyDescent="0.35">
      <c r="A115" t="str">
        <f>"04018"</f>
        <v>04018</v>
      </c>
      <c r="B115" t="s">
        <v>9</v>
      </c>
      <c r="C115" t="s">
        <v>91</v>
      </c>
      <c r="D115" s="5" t="s">
        <v>11</v>
      </c>
      <c r="E115" s="5" t="s">
        <v>12</v>
      </c>
      <c r="F115" s="3" t="s">
        <v>13</v>
      </c>
      <c r="G115" s="3" t="s">
        <v>13</v>
      </c>
      <c r="H115" s="3" t="s">
        <v>13</v>
      </c>
      <c r="I115" s="3">
        <v>437700200</v>
      </c>
    </row>
    <row r="116" spans="1:9" x14ac:dyDescent="0.35">
      <c r="A116" t="str">
        <f>"04020"</f>
        <v>04020</v>
      </c>
      <c r="B116" t="s">
        <v>9</v>
      </c>
      <c r="C116" t="s">
        <v>92</v>
      </c>
      <c r="D116" s="5" t="s">
        <v>11</v>
      </c>
      <c r="E116" s="5" t="s">
        <v>12</v>
      </c>
      <c r="F116" s="3" t="s">
        <v>13</v>
      </c>
      <c r="G116" s="3" t="s">
        <v>13</v>
      </c>
      <c r="H116" s="3" t="s">
        <v>13</v>
      </c>
      <c r="I116" s="3">
        <v>123181800</v>
      </c>
    </row>
    <row r="117" spans="1:9" x14ac:dyDescent="0.35">
      <c r="A117" t="str">
        <f>"04021"</f>
        <v>04021</v>
      </c>
      <c r="B117" t="s">
        <v>9</v>
      </c>
      <c r="C117" t="s">
        <v>93</v>
      </c>
      <c r="D117" s="5" t="s">
        <v>11</v>
      </c>
      <c r="E117" s="5" t="s">
        <v>12</v>
      </c>
      <c r="F117" s="3" t="s">
        <v>13</v>
      </c>
      <c r="G117" s="3" t="s">
        <v>13</v>
      </c>
      <c r="H117" s="3" t="s">
        <v>13</v>
      </c>
      <c r="I117" s="3">
        <v>273076000</v>
      </c>
    </row>
    <row r="118" spans="1:9" x14ac:dyDescent="0.35">
      <c r="A118" t="str">
        <f>"04022"</f>
        <v>04022</v>
      </c>
      <c r="B118" t="s">
        <v>9</v>
      </c>
      <c r="C118" t="s">
        <v>94</v>
      </c>
      <c r="D118" s="5" t="s">
        <v>11</v>
      </c>
      <c r="E118" s="5" t="s">
        <v>12</v>
      </c>
      <c r="F118" s="3" t="s">
        <v>13</v>
      </c>
      <c r="G118" s="3" t="s">
        <v>13</v>
      </c>
      <c r="H118" s="3" t="s">
        <v>13</v>
      </c>
      <c r="I118" s="3">
        <v>138862200</v>
      </c>
    </row>
    <row r="119" spans="1:9" x14ac:dyDescent="0.35">
      <c r="A119" t="str">
        <f>"04024"</f>
        <v>04024</v>
      </c>
      <c r="B119" t="s">
        <v>9</v>
      </c>
      <c r="C119" t="s">
        <v>95</v>
      </c>
      <c r="D119" s="5" t="s">
        <v>11</v>
      </c>
      <c r="E119" s="5" t="s">
        <v>12</v>
      </c>
      <c r="F119" s="3" t="s">
        <v>13</v>
      </c>
      <c r="G119" s="3" t="s">
        <v>13</v>
      </c>
      <c r="H119" s="3" t="s">
        <v>13</v>
      </c>
      <c r="I119" s="3">
        <v>389670400</v>
      </c>
    </row>
    <row r="120" spans="1:9" x14ac:dyDescent="0.35">
      <c r="A120" t="str">
        <f>"04026"</f>
        <v>04026</v>
      </c>
      <c r="B120" t="s">
        <v>9</v>
      </c>
      <c r="C120" t="s">
        <v>96</v>
      </c>
      <c r="D120" s="5" t="s">
        <v>11</v>
      </c>
      <c r="E120" s="5" t="s">
        <v>12</v>
      </c>
      <c r="F120" s="3" t="s">
        <v>13</v>
      </c>
      <c r="G120" s="3" t="s">
        <v>13</v>
      </c>
      <c r="H120" s="3" t="s">
        <v>13</v>
      </c>
      <c r="I120" s="3">
        <v>63326000</v>
      </c>
    </row>
    <row r="121" spans="1:9" x14ac:dyDescent="0.35">
      <c r="A121" t="str">
        <f>"04028"</f>
        <v>04028</v>
      </c>
      <c r="B121" t="s">
        <v>9</v>
      </c>
      <c r="C121" t="s">
        <v>97</v>
      </c>
      <c r="D121" s="5" t="s">
        <v>11</v>
      </c>
      <c r="E121" s="5" t="s">
        <v>12</v>
      </c>
      <c r="F121" s="3" t="s">
        <v>13</v>
      </c>
      <c r="G121" s="3" t="s">
        <v>13</v>
      </c>
      <c r="H121" s="3" t="s">
        <v>13</v>
      </c>
      <c r="I121" s="3">
        <v>51026400</v>
      </c>
    </row>
    <row r="122" spans="1:9" x14ac:dyDescent="0.35">
      <c r="A122" t="str">
        <f>"04030"</f>
        <v>04030</v>
      </c>
      <c r="B122" t="s">
        <v>9</v>
      </c>
      <c r="C122" t="s">
        <v>20</v>
      </c>
      <c r="D122" s="5" t="s">
        <v>11</v>
      </c>
      <c r="E122" s="5" t="s">
        <v>12</v>
      </c>
      <c r="F122" s="3" t="s">
        <v>13</v>
      </c>
      <c r="G122" s="3" t="s">
        <v>13</v>
      </c>
      <c r="H122" s="3" t="s">
        <v>13</v>
      </c>
      <c r="I122" s="3">
        <v>58030800</v>
      </c>
    </row>
    <row r="123" spans="1:9" x14ac:dyDescent="0.35">
      <c r="A123" t="str">
        <f>"04032"</f>
        <v>04032</v>
      </c>
      <c r="B123" t="s">
        <v>9</v>
      </c>
      <c r="C123" t="s">
        <v>98</v>
      </c>
      <c r="D123" s="5" t="s">
        <v>11</v>
      </c>
      <c r="E123" s="5" t="s">
        <v>12</v>
      </c>
      <c r="F123" s="3" t="s">
        <v>13</v>
      </c>
      <c r="G123" s="3" t="s">
        <v>13</v>
      </c>
      <c r="H123" s="3" t="s">
        <v>13</v>
      </c>
      <c r="I123" s="3">
        <v>41245600</v>
      </c>
    </row>
    <row r="124" spans="1:9" x14ac:dyDescent="0.35">
      <c r="A124" t="str">
        <f>"04034"</f>
        <v>04034</v>
      </c>
      <c r="B124" t="s">
        <v>9</v>
      </c>
      <c r="C124" t="s">
        <v>99</v>
      </c>
      <c r="D124" s="5" t="s">
        <v>11</v>
      </c>
      <c r="E124" s="5" t="s">
        <v>12</v>
      </c>
      <c r="F124" s="3" t="s">
        <v>13</v>
      </c>
      <c r="G124" s="3" t="s">
        <v>13</v>
      </c>
      <c r="H124" s="3" t="s">
        <v>13</v>
      </c>
      <c r="I124" s="3">
        <v>496361900</v>
      </c>
    </row>
    <row r="125" spans="1:9" x14ac:dyDescent="0.35">
      <c r="A125" t="str">
        <f>"04036"</f>
        <v>04036</v>
      </c>
      <c r="B125" t="s">
        <v>9</v>
      </c>
      <c r="C125" t="s">
        <v>100</v>
      </c>
      <c r="D125" s="5" t="s">
        <v>11</v>
      </c>
      <c r="E125" s="5" t="s">
        <v>12</v>
      </c>
      <c r="F125" s="3" t="s">
        <v>13</v>
      </c>
      <c r="G125" s="3" t="s">
        <v>13</v>
      </c>
      <c r="H125" s="3" t="s">
        <v>13</v>
      </c>
      <c r="I125" s="3">
        <v>76335300</v>
      </c>
    </row>
    <row r="126" spans="1:9" x14ac:dyDescent="0.35">
      <c r="A126" t="str">
        <f>"04038"</f>
        <v>04038</v>
      </c>
      <c r="B126" t="s">
        <v>9</v>
      </c>
      <c r="C126" t="s">
        <v>101</v>
      </c>
      <c r="D126" s="5" t="s">
        <v>11</v>
      </c>
      <c r="E126" s="5" t="s">
        <v>12</v>
      </c>
      <c r="F126" s="3" t="s">
        <v>13</v>
      </c>
      <c r="G126" s="3" t="s">
        <v>13</v>
      </c>
      <c r="H126" s="3" t="s">
        <v>13</v>
      </c>
      <c r="I126" s="3">
        <v>79632900</v>
      </c>
    </row>
    <row r="127" spans="1:9" x14ac:dyDescent="0.35">
      <c r="A127" t="str">
        <f>"04040"</f>
        <v>04040</v>
      </c>
      <c r="B127" t="s">
        <v>9</v>
      </c>
      <c r="C127" t="s">
        <v>102</v>
      </c>
      <c r="D127" s="5" t="s">
        <v>11</v>
      </c>
      <c r="E127" s="5" t="s">
        <v>12</v>
      </c>
      <c r="F127" s="3" t="s">
        <v>13</v>
      </c>
      <c r="G127" s="3" t="s">
        <v>13</v>
      </c>
      <c r="H127" s="3" t="s">
        <v>13</v>
      </c>
      <c r="I127" s="3">
        <v>27509900</v>
      </c>
    </row>
    <row r="128" spans="1:9" x14ac:dyDescent="0.35">
      <c r="A128" t="str">
        <f>"04042"</f>
        <v>04042</v>
      </c>
      <c r="B128" t="s">
        <v>9</v>
      </c>
      <c r="C128" t="s">
        <v>103</v>
      </c>
      <c r="D128" s="5" t="s">
        <v>11</v>
      </c>
      <c r="E128" s="5" t="s">
        <v>12</v>
      </c>
      <c r="F128" s="3" t="s">
        <v>13</v>
      </c>
      <c r="G128" s="3" t="s">
        <v>13</v>
      </c>
      <c r="H128" s="3" t="s">
        <v>13</v>
      </c>
      <c r="I128" s="3">
        <v>100518700</v>
      </c>
    </row>
    <row r="129" spans="1:9" x14ac:dyDescent="0.35">
      <c r="A129" t="str">
        <f>"04046"</f>
        <v>04046</v>
      </c>
      <c r="B129" t="s">
        <v>9</v>
      </c>
      <c r="C129" t="s">
        <v>104</v>
      </c>
      <c r="D129" s="5" t="s">
        <v>11</v>
      </c>
      <c r="E129" s="5" t="s">
        <v>12</v>
      </c>
      <c r="F129" s="3" t="s">
        <v>13</v>
      </c>
      <c r="G129" s="3" t="s">
        <v>13</v>
      </c>
      <c r="H129" s="3" t="s">
        <v>13</v>
      </c>
      <c r="I129" s="3">
        <v>64842000</v>
      </c>
    </row>
    <row r="130" spans="1:9" x14ac:dyDescent="0.35">
      <c r="A130" t="str">
        <f>"04048"</f>
        <v>04048</v>
      </c>
      <c r="B130" t="s">
        <v>9</v>
      </c>
      <c r="C130" t="s">
        <v>105</v>
      </c>
      <c r="D130" s="5" t="s">
        <v>11</v>
      </c>
      <c r="E130" s="5" t="s">
        <v>12</v>
      </c>
      <c r="F130" s="3" t="s">
        <v>13</v>
      </c>
      <c r="G130" s="3" t="s">
        <v>13</v>
      </c>
      <c r="H130" s="3" t="s">
        <v>13</v>
      </c>
      <c r="I130" s="3">
        <v>49657300</v>
      </c>
    </row>
    <row r="131" spans="1:9" x14ac:dyDescent="0.35">
      <c r="A131" t="str">
        <f>"04050"</f>
        <v>04050</v>
      </c>
      <c r="B131" t="s">
        <v>9</v>
      </c>
      <c r="C131" t="s">
        <v>106</v>
      </c>
      <c r="D131" s="5" t="s">
        <v>11</v>
      </c>
      <c r="E131" s="5" t="s">
        <v>12</v>
      </c>
      <c r="F131" s="3" t="s">
        <v>13</v>
      </c>
      <c r="G131" s="3" t="s">
        <v>13</v>
      </c>
      <c r="H131" s="3" t="s">
        <v>13</v>
      </c>
      <c r="I131" s="3">
        <v>97110700</v>
      </c>
    </row>
    <row r="132" spans="1:9" x14ac:dyDescent="0.35">
      <c r="A132" t="s">
        <v>30</v>
      </c>
      <c r="B132" t="s">
        <v>31</v>
      </c>
      <c r="C132" t="s">
        <v>32</v>
      </c>
      <c r="D132" s="5" t="s">
        <v>11</v>
      </c>
      <c r="E132" s="5" t="s">
        <v>12</v>
      </c>
      <c r="F132" s="3" t="s">
        <v>13</v>
      </c>
      <c r="G132" s="3" t="s">
        <v>13</v>
      </c>
      <c r="H132" s="3" t="s">
        <v>13</v>
      </c>
      <c r="I132" s="3">
        <v>4780604600</v>
      </c>
    </row>
    <row r="133" spans="1:9" x14ac:dyDescent="0.35">
      <c r="A133" t="str">
        <f>"04151"</f>
        <v>04151</v>
      </c>
      <c r="B133" t="s">
        <v>33</v>
      </c>
      <c r="C133" t="s">
        <v>98</v>
      </c>
      <c r="D133" s="5" t="s">
        <v>11</v>
      </c>
      <c r="E133" s="5" t="s">
        <v>12</v>
      </c>
      <c r="F133" s="3" t="s">
        <v>13</v>
      </c>
      <c r="G133" s="3" t="s">
        <v>13</v>
      </c>
      <c r="H133" s="3" t="s">
        <v>13</v>
      </c>
      <c r="I133" s="3">
        <v>7460000</v>
      </c>
    </row>
    <row r="134" spans="1:9" x14ac:dyDescent="0.35">
      <c r="A134" t="s">
        <v>30</v>
      </c>
      <c r="B134" t="s">
        <v>35</v>
      </c>
      <c r="C134" t="s">
        <v>32</v>
      </c>
      <c r="D134" s="5" t="s">
        <v>11</v>
      </c>
      <c r="E134" s="5" t="s">
        <v>12</v>
      </c>
      <c r="F134" s="3" t="s">
        <v>13</v>
      </c>
      <c r="G134" s="3" t="s">
        <v>13</v>
      </c>
      <c r="H134" s="3" t="s">
        <v>13</v>
      </c>
      <c r="I134" s="3">
        <v>7460000</v>
      </c>
    </row>
    <row r="135" spans="1:9" x14ac:dyDescent="0.35">
      <c r="A135" t="str">
        <f>"04201"</f>
        <v>04201</v>
      </c>
      <c r="B135" t="s">
        <v>36</v>
      </c>
      <c r="C135" t="s">
        <v>41</v>
      </c>
      <c r="D135" s="5" t="s">
        <v>11</v>
      </c>
      <c r="E135" s="5" t="s">
        <v>12</v>
      </c>
      <c r="F135" s="3" t="s">
        <v>13</v>
      </c>
      <c r="G135" s="3" t="s">
        <v>13</v>
      </c>
      <c r="H135" s="3" t="s">
        <v>13</v>
      </c>
      <c r="I135" s="3">
        <v>0</v>
      </c>
    </row>
    <row r="136" spans="1:9" x14ac:dyDescent="0.35">
      <c r="A136" t="str">
        <f>"04206"</f>
        <v>04206</v>
      </c>
      <c r="B136" t="s">
        <v>36</v>
      </c>
      <c r="C136" t="s">
        <v>85</v>
      </c>
      <c r="D136" s="5" t="s">
        <v>11</v>
      </c>
      <c r="E136" s="5" t="s">
        <v>12</v>
      </c>
      <c r="F136" s="3" t="s">
        <v>13</v>
      </c>
      <c r="G136" s="3" t="s">
        <v>13</v>
      </c>
      <c r="H136" s="3" t="s">
        <v>13</v>
      </c>
      <c r="I136" s="3">
        <v>180037500</v>
      </c>
    </row>
    <row r="137" spans="1:9" x14ac:dyDescent="0.35">
      <c r="A137" t="str">
        <f>"04291"</f>
        <v>04291</v>
      </c>
      <c r="B137" t="s">
        <v>36</v>
      </c>
      <c r="C137" t="s">
        <v>106</v>
      </c>
      <c r="D137" s="5" t="str">
        <f>"003"</f>
        <v>003</v>
      </c>
      <c r="E137" s="5">
        <v>2015</v>
      </c>
      <c r="F137" s="3">
        <v>9360400</v>
      </c>
      <c r="G137" s="3">
        <v>19917800</v>
      </c>
      <c r="H137" s="3">
        <v>10557400</v>
      </c>
    </row>
    <row r="138" spans="1:9" x14ac:dyDescent="0.35">
      <c r="A138" t="str">
        <f>"04291"</f>
        <v>04291</v>
      </c>
      <c r="B138" t="s">
        <v>36</v>
      </c>
      <c r="C138" t="s">
        <v>106</v>
      </c>
      <c r="D138" s="5" t="s">
        <v>11</v>
      </c>
      <c r="E138" s="5" t="s">
        <v>12</v>
      </c>
      <c r="F138" s="3" t="s">
        <v>13</v>
      </c>
      <c r="G138" s="3" t="s">
        <v>13</v>
      </c>
      <c r="H138" s="3" t="s">
        <v>13</v>
      </c>
      <c r="I138" s="3">
        <v>246442900</v>
      </c>
    </row>
    <row r="139" spans="1:9" x14ac:dyDescent="0.35">
      <c r="A139" t="s">
        <v>30</v>
      </c>
      <c r="B139" t="s">
        <v>38</v>
      </c>
      <c r="C139" t="s">
        <v>32</v>
      </c>
      <c r="D139" s="5" t="s">
        <v>11</v>
      </c>
      <c r="E139" s="5" t="s">
        <v>12</v>
      </c>
      <c r="F139" s="3" t="s">
        <v>13</v>
      </c>
      <c r="G139" s="3" t="s">
        <v>13</v>
      </c>
      <c r="H139" s="3" t="s">
        <v>13</v>
      </c>
      <c r="I139" s="3">
        <v>426480400</v>
      </c>
    </row>
    <row r="140" spans="1:9" x14ac:dyDescent="0.35">
      <c r="A140" t="s">
        <v>30</v>
      </c>
      <c r="B140" t="s">
        <v>39</v>
      </c>
      <c r="C140" t="s">
        <v>85</v>
      </c>
      <c r="D140" s="5" t="s">
        <v>11</v>
      </c>
      <c r="E140" s="5" t="s">
        <v>12</v>
      </c>
      <c r="F140" s="3" t="s">
        <v>13</v>
      </c>
      <c r="G140" s="3" t="s">
        <v>13</v>
      </c>
      <c r="H140" s="3" t="s">
        <v>13</v>
      </c>
      <c r="I140" s="3">
        <v>5214545000</v>
      </c>
    </row>
    <row r="141" spans="1:9" x14ac:dyDescent="0.35">
      <c r="A141" t="str">
        <f>"05010"</f>
        <v>05010</v>
      </c>
      <c r="B141" t="s">
        <v>9</v>
      </c>
      <c r="C141" t="s">
        <v>107</v>
      </c>
      <c r="D141" s="5" t="s">
        <v>11</v>
      </c>
      <c r="E141" s="5" t="s">
        <v>12</v>
      </c>
      <c r="F141" s="3" t="s">
        <v>13</v>
      </c>
      <c r="G141" s="3" t="s">
        <v>13</v>
      </c>
      <c r="H141" s="3" t="s">
        <v>13</v>
      </c>
      <c r="I141" s="3">
        <v>315136600</v>
      </c>
    </row>
    <row r="142" spans="1:9" x14ac:dyDescent="0.35">
      <c r="A142" t="str">
        <f>"05012"</f>
        <v>05012</v>
      </c>
      <c r="B142" t="s">
        <v>9</v>
      </c>
      <c r="C142" t="s">
        <v>108</v>
      </c>
      <c r="D142" s="5" t="s">
        <v>11</v>
      </c>
      <c r="E142" s="5" t="s">
        <v>12</v>
      </c>
      <c r="F142" s="3" t="s">
        <v>13</v>
      </c>
      <c r="G142" s="3" t="s">
        <v>13</v>
      </c>
      <c r="H142" s="3" t="s">
        <v>13</v>
      </c>
      <c r="I142" s="3">
        <v>206218200</v>
      </c>
    </row>
    <row r="143" spans="1:9" x14ac:dyDescent="0.35">
      <c r="A143" t="str">
        <f>"05014"</f>
        <v>05014</v>
      </c>
      <c r="B143" t="s">
        <v>9</v>
      </c>
      <c r="C143" t="s">
        <v>109</v>
      </c>
      <c r="D143" s="5" t="s">
        <v>11</v>
      </c>
      <c r="E143" s="5" t="s">
        <v>12</v>
      </c>
      <c r="F143" s="3" t="s">
        <v>13</v>
      </c>
      <c r="G143" s="3" t="s">
        <v>13</v>
      </c>
      <c r="H143" s="3" t="s">
        <v>13</v>
      </c>
      <c r="I143" s="3">
        <v>523943000</v>
      </c>
    </row>
    <row r="144" spans="1:9" x14ac:dyDescent="0.35">
      <c r="A144" t="str">
        <f>"05018"</f>
        <v>05018</v>
      </c>
      <c r="B144" t="s">
        <v>9</v>
      </c>
      <c r="C144" t="s">
        <v>110</v>
      </c>
      <c r="D144" s="5" t="s">
        <v>11</v>
      </c>
      <c r="E144" s="5" t="s">
        <v>12</v>
      </c>
      <c r="F144" s="3" t="s">
        <v>13</v>
      </c>
      <c r="G144" s="3" t="s">
        <v>13</v>
      </c>
      <c r="H144" s="3" t="s">
        <v>13</v>
      </c>
      <c r="I144" s="3">
        <v>336756400</v>
      </c>
    </row>
    <row r="145" spans="1:9" x14ac:dyDescent="0.35">
      <c r="A145" t="str">
        <f>"05022"</f>
        <v>05022</v>
      </c>
      <c r="B145" t="s">
        <v>9</v>
      </c>
      <c r="C145" t="s">
        <v>111</v>
      </c>
      <c r="D145" s="5" t="s">
        <v>11</v>
      </c>
      <c r="E145" s="5" t="s">
        <v>12</v>
      </c>
      <c r="F145" s="3" t="s">
        <v>13</v>
      </c>
      <c r="G145" s="3" t="s">
        <v>13</v>
      </c>
      <c r="H145" s="3" t="s">
        <v>13</v>
      </c>
      <c r="I145" s="3">
        <v>220259400</v>
      </c>
    </row>
    <row r="146" spans="1:9" x14ac:dyDescent="0.35">
      <c r="A146" t="str">
        <f>"05024"</f>
        <v>05024</v>
      </c>
      <c r="B146" t="s">
        <v>9</v>
      </c>
      <c r="C146" t="s">
        <v>112</v>
      </c>
      <c r="D146" s="5" t="str">
        <f>"001A"</f>
        <v>001A</v>
      </c>
      <c r="E146" s="5">
        <v>2018</v>
      </c>
      <c r="F146" s="3">
        <v>212900</v>
      </c>
      <c r="G146" s="3">
        <v>128606100</v>
      </c>
      <c r="H146" s="3">
        <v>128393200</v>
      </c>
    </row>
    <row r="147" spans="1:9" x14ac:dyDescent="0.35">
      <c r="A147" t="str">
        <f>"05024"</f>
        <v>05024</v>
      </c>
      <c r="B147" t="s">
        <v>9</v>
      </c>
      <c r="C147" t="s">
        <v>112</v>
      </c>
      <c r="D147" s="5" t="str">
        <f>"002A"</f>
        <v>002A</v>
      </c>
      <c r="E147" s="5">
        <v>2018</v>
      </c>
      <c r="F147" s="3">
        <v>1218900</v>
      </c>
      <c r="G147" s="3">
        <v>67540700</v>
      </c>
      <c r="H147" s="3">
        <v>66321800</v>
      </c>
    </row>
    <row r="148" spans="1:9" x14ac:dyDescent="0.35">
      <c r="A148" t="str">
        <f>"05024"</f>
        <v>05024</v>
      </c>
      <c r="B148" t="s">
        <v>9</v>
      </c>
      <c r="C148" t="s">
        <v>112</v>
      </c>
      <c r="D148" s="5" t="str">
        <f>"003A"</f>
        <v>003A</v>
      </c>
      <c r="E148" s="5">
        <v>2023</v>
      </c>
      <c r="F148" s="3">
        <v>2491300</v>
      </c>
      <c r="G148" s="3">
        <v>37077000</v>
      </c>
      <c r="H148" s="3">
        <v>34585700</v>
      </c>
    </row>
    <row r="149" spans="1:9" x14ac:dyDescent="0.35">
      <c r="A149" t="str">
        <f>"05024"</f>
        <v>05024</v>
      </c>
      <c r="B149" t="s">
        <v>9</v>
      </c>
      <c r="C149" t="s">
        <v>112</v>
      </c>
      <c r="D149" s="5" t="s">
        <v>11</v>
      </c>
      <c r="E149" s="5" t="s">
        <v>12</v>
      </c>
      <c r="F149" s="3" t="s">
        <v>13</v>
      </c>
      <c r="G149" s="3" t="s">
        <v>13</v>
      </c>
      <c r="H149" s="3" t="s">
        <v>13</v>
      </c>
      <c r="I149" s="3">
        <v>1309571400</v>
      </c>
    </row>
    <row r="150" spans="1:9" x14ac:dyDescent="0.35">
      <c r="A150" t="str">
        <f>"05025"</f>
        <v>05025</v>
      </c>
      <c r="B150" t="s">
        <v>9</v>
      </c>
      <c r="C150" t="s">
        <v>113</v>
      </c>
      <c r="D150" s="5" t="str">
        <f>"001A"</f>
        <v>001A</v>
      </c>
      <c r="E150" s="5">
        <v>2015</v>
      </c>
      <c r="F150" s="3">
        <v>40270200</v>
      </c>
      <c r="G150" s="3">
        <v>147352000</v>
      </c>
      <c r="H150" s="3">
        <v>107081800</v>
      </c>
    </row>
    <row r="151" spans="1:9" x14ac:dyDescent="0.35">
      <c r="A151" t="str">
        <f>"05025"</f>
        <v>05025</v>
      </c>
      <c r="B151" t="s">
        <v>9</v>
      </c>
      <c r="C151" t="s">
        <v>113</v>
      </c>
      <c r="D151" s="5" t="str">
        <f>"002T"</f>
        <v>002T</v>
      </c>
      <c r="E151" s="5">
        <v>2019</v>
      </c>
      <c r="F151" s="3">
        <v>440000</v>
      </c>
      <c r="G151" s="3">
        <v>31836200</v>
      </c>
      <c r="H151" s="3">
        <v>31396200</v>
      </c>
    </row>
    <row r="152" spans="1:9" x14ac:dyDescent="0.35">
      <c r="A152" t="str">
        <f>"05025"</f>
        <v>05025</v>
      </c>
      <c r="B152" t="s">
        <v>9</v>
      </c>
      <c r="C152" t="s">
        <v>113</v>
      </c>
      <c r="D152" s="5" t="str">
        <f>"003A"</f>
        <v>003A</v>
      </c>
      <c r="E152" s="5">
        <v>2023</v>
      </c>
      <c r="F152" s="3">
        <v>50270600</v>
      </c>
      <c r="G152" s="3">
        <v>63686600</v>
      </c>
      <c r="H152" s="3">
        <v>13416000</v>
      </c>
    </row>
    <row r="153" spans="1:9" x14ac:dyDescent="0.35">
      <c r="A153" t="str">
        <f>"05025"</f>
        <v>05025</v>
      </c>
      <c r="B153" t="s">
        <v>9</v>
      </c>
      <c r="C153" t="s">
        <v>113</v>
      </c>
      <c r="D153" s="5" t="s">
        <v>11</v>
      </c>
      <c r="E153" s="5" t="s">
        <v>12</v>
      </c>
      <c r="F153" s="3" t="s">
        <v>13</v>
      </c>
      <c r="G153" s="3" t="s">
        <v>13</v>
      </c>
      <c r="H153" s="3" t="s">
        <v>13</v>
      </c>
      <c r="I153" s="3">
        <v>1901569100</v>
      </c>
    </row>
    <row r="154" spans="1:9" x14ac:dyDescent="0.35">
      <c r="A154" t="str">
        <f>"05026"</f>
        <v>05026</v>
      </c>
      <c r="B154" t="s">
        <v>9</v>
      </c>
      <c r="C154" t="s">
        <v>114</v>
      </c>
      <c r="D154" s="5" t="s">
        <v>11</v>
      </c>
      <c r="E154" s="5" t="s">
        <v>12</v>
      </c>
      <c r="F154" s="3" t="s">
        <v>13</v>
      </c>
      <c r="G154" s="3" t="s">
        <v>13</v>
      </c>
      <c r="H154" s="3" t="s">
        <v>13</v>
      </c>
      <c r="I154" s="3">
        <v>256187700</v>
      </c>
    </row>
    <row r="155" spans="1:9" x14ac:dyDescent="0.35">
      <c r="A155" t="str">
        <f>"05028"</f>
        <v>05028</v>
      </c>
      <c r="B155" t="s">
        <v>9</v>
      </c>
      <c r="C155" t="s">
        <v>115</v>
      </c>
      <c r="D155" s="5" t="s">
        <v>11</v>
      </c>
      <c r="E155" s="5" t="s">
        <v>12</v>
      </c>
      <c r="F155" s="3" t="s">
        <v>13</v>
      </c>
      <c r="G155" s="3" t="s">
        <v>13</v>
      </c>
      <c r="H155" s="3" t="s">
        <v>13</v>
      </c>
      <c r="I155" s="3">
        <v>342387100</v>
      </c>
    </row>
    <row r="156" spans="1:9" x14ac:dyDescent="0.35">
      <c r="A156" t="str">
        <f>"05030"</f>
        <v>05030</v>
      </c>
      <c r="B156" t="s">
        <v>9</v>
      </c>
      <c r="C156" t="s">
        <v>116</v>
      </c>
      <c r="D156" s="5" t="s">
        <v>11</v>
      </c>
      <c r="E156" s="5" t="s">
        <v>12</v>
      </c>
      <c r="F156" s="3" t="s">
        <v>13</v>
      </c>
      <c r="G156" s="3" t="s">
        <v>13</v>
      </c>
      <c r="H156" s="3" t="s">
        <v>13</v>
      </c>
      <c r="I156" s="3">
        <v>498830400</v>
      </c>
    </row>
    <row r="157" spans="1:9" x14ac:dyDescent="0.35">
      <c r="A157" t="str">
        <f>"05034"</f>
        <v>05034</v>
      </c>
      <c r="B157" t="s">
        <v>9</v>
      </c>
      <c r="C157" t="s">
        <v>117</v>
      </c>
      <c r="D157" s="5" t="s">
        <v>11</v>
      </c>
      <c r="E157" s="5" t="s">
        <v>12</v>
      </c>
      <c r="F157" s="3" t="s">
        <v>13</v>
      </c>
      <c r="G157" s="3" t="s">
        <v>13</v>
      </c>
      <c r="H157" s="3" t="s">
        <v>13</v>
      </c>
      <c r="I157" s="3">
        <v>403976900</v>
      </c>
    </row>
    <row r="158" spans="1:9" x14ac:dyDescent="0.35">
      <c r="A158" t="str">
        <f>"05036"</f>
        <v>05036</v>
      </c>
      <c r="B158" t="s">
        <v>9</v>
      </c>
      <c r="C158" t="s">
        <v>118</v>
      </c>
      <c r="D158" s="5" t="s">
        <v>11</v>
      </c>
      <c r="E158" s="5" t="s">
        <v>12</v>
      </c>
      <c r="F158" s="3" t="s">
        <v>13</v>
      </c>
      <c r="G158" s="3" t="s">
        <v>13</v>
      </c>
      <c r="H158" s="3" t="s">
        <v>13</v>
      </c>
      <c r="I158" s="3">
        <v>778368200</v>
      </c>
    </row>
    <row r="159" spans="1:9" x14ac:dyDescent="0.35">
      <c r="A159" t="str">
        <f>"05040"</f>
        <v>05040</v>
      </c>
      <c r="B159" t="s">
        <v>9</v>
      </c>
      <c r="C159" t="s">
        <v>119</v>
      </c>
      <c r="D159" s="5" t="s">
        <v>11</v>
      </c>
      <c r="E159" s="5" t="s">
        <v>12</v>
      </c>
      <c r="F159" s="3" t="s">
        <v>13</v>
      </c>
      <c r="G159" s="3" t="s">
        <v>13</v>
      </c>
      <c r="H159" s="3" t="s">
        <v>13</v>
      </c>
      <c r="I159" s="3">
        <v>274826100</v>
      </c>
    </row>
    <row r="160" spans="1:9" x14ac:dyDescent="0.35">
      <c r="A160" t="s">
        <v>30</v>
      </c>
      <c r="B160" t="s">
        <v>31</v>
      </c>
      <c r="C160" t="s">
        <v>32</v>
      </c>
      <c r="D160" s="5" t="s">
        <v>11</v>
      </c>
      <c r="E160" s="5" t="s">
        <v>12</v>
      </c>
      <c r="F160" s="3" t="s">
        <v>13</v>
      </c>
      <c r="G160" s="3" t="s">
        <v>13</v>
      </c>
      <c r="H160" s="3" t="s">
        <v>13</v>
      </c>
      <c r="I160" s="3">
        <v>7368030500</v>
      </c>
    </row>
    <row r="161" spans="1:9" x14ac:dyDescent="0.35">
      <c r="A161" t="str">
        <f>"05102"</f>
        <v>05102</v>
      </c>
      <c r="B161" t="s">
        <v>33</v>
      </c>
      <c r="C161" t="s">
        <v>120</v>
      </c>
      <c r="D161" s="5" t="str">
        <f>"001"</f>
        <v>001</v>
      </c>
      <c r="E161" s="5">
        <v>2012</v>
      </c>
      <c r="F161" s="3">
        <v>77734600</v>
      </c>
      <c r="G161" s="3">
        <v>136508400</v>
      </c>
      <c r="H161" s="3">
        <v>58773800</v>
      </c>
    </row>
    <row r="162" spans="1:9" x14ac:dyDescent="0.35">
      <c r="A162" t="str">
        <f>"05102"</f>
        <v>05102</v>
      </c>
      <c r="B162" t="s">
        <v>33</v>
      </c>
      <c r="C162" t="s">
        <v>120</v>
      </c>
      <c r="D162" s="5" t="s">
        <v>11</v>
      </c>
      <c r="E162" s="5" t="s">
        <v>12</v>
      </c>
      <c r="F162" s="3" t="s">
        <v>13</v>
      </c>
      <c r="G162" s="3" t="s">
        <v>13</v>
      </c>
      <c r="H162" s="3" t="s">
        <v>13</v>
      </c>
      <c r="I162" s="3">
        <v>1789426100</v>
      </c>
    </row>
    <row r="163" spans="1:9" x14ac:dyDescent="0.35">
      <c r="A163" t="str">
        <f>"05104"</f>
        <v>05104</v>
      </c>
      <c r="B163" t="s">
        <v>33</v>
      </c>
      <c r="C163" t="s">
        <v>121</v>
      </c>
      <c r="D163" s="5" t="str">
        <f>"003"</f>
        <v>003</v>
      </c>
      <c r="E163" s="5">
        <v>2008</v>
      </c>
      <c r="F163" s="3">
        <v>322615000</v>
      </c>
      <c r="G163" s="3">
        <v>854661700</v>
      </c>
      <c r="H163" s="3">
        <v>532046700</v>
      </c>
    </row>
    <row r="164" spans="1:9" x14ac:dyDescent="0.35">
      <c r="A164" t="str">
        <f>"05104"</f>
        <v>05104</v>
      </c>
      <c r="B164" t="s">
        <v>33</v>
      </c>
      <c r="C164" t="s">
        <v>121</v>
      </c>
      <c r="D164" s="5" t="str">
        <f>"005"</f>
        <v>005</v>
      </c>
      <c r="E164" s="5">
        <v>2014</v>
      </c>
      <c r="F164" s="3">
        <v>81695900</v>
      </c>
      <c r="G164" s="3">
        <v>370141600</v>
      </c>
      <c r="H164" s="3">
        <v>288445700</v>
      </c>
    </row>
    <row r="165" spans="1:9" x14ac:dyDescent="0.35">
      <c r="A165" t="str">
        <f>"05104"</f>
        <v>05104</v>
      </c>
      <c r="B165" t="s">
        <v>33</v>
      </c>
      <c r="C165" t="s">
        <v>121</v>
      </c>
      <c r="D165" s="5" t="s">
        <v>11</v>
      </c>
      <c r="E165" s="5" t="s">
        <v>12</v>
      </c>
      <c r="F165" s="3" t="s">
        <v>13</v>
      </c>
      <c r="G165" s="3" t="s">
        <v>13</v>
      </c>
      <c r="H165" s="3" t="s">
        <v>13</v>
      </c>
      <c r="I165" s="3">
        <v>3384116900</v>
      </c>
    </row>
    <row r="166" spans="1:9" x14ac:dyDescent="0.35">
      <c r="A166" t="str">
        <f>"05106"</f>
        <v>05106</v>
      </c>
      <c r="B166" t="s">
        <v>33</v>
      </c>
      <c r="C166" t="s">
        <v>122</v>
      </c>
      <c r="D166" s="5" t="str">
        <f>"001"</f>
        <v>001</v>
      </c>
      <c r="E166" s="5">
        <v>2013</v>
      </c>
      <c r="F166" s="3">
        <v>6262800</v>
      </c>
      <c r="G166" s="3">
        <v>108109800</v>
      </c>
      <c r="H166" s="3">
        <v>101847000</v>
      </c>
    </row>
    <row r="167" spans="1:9" x14ac:dyDescent="0.35">
      <c r="A167" t="str">
        <f>"05106"</f>
        <v>05106</v>
      </c>
      <c r="B167" t="s">
        <v>33</v>
      </c>
      <c r="C167" t="s">
        <v>122</v>
      </c>
      <c r="D167" s="5" t="str">
        <f>"002"</f>
        <v>002</v>
      </c>
      <c r="E167" s="5">
        <v>2016</v>
      </c>
      <c r="F167" s="3">
        <v>3022100</v>
      </c>
      <c r="G167" s="3">
        <v>117691000</v>
      </c>
      <c r="H167" s="3">
        <v>114668900</v>
      </c>
    </row>
    <row r="168" spans="1:9" x14ac:dyDescent="0.35">
      <c r="A168" t="str">
        <f>"05106"</f>
        <v>05106</v>
      </c>
      <c r="B168" t="s">
        <v>33</v>
      </c>
      <c r="C168" t="s">
        <v>122</v>
      </c>
      <c r="D168" s="5" t="s">
        <v>11</v>
      </c>
      <c r="E168" s="5" t="s">
        <v>12</v>
      </c>
      <c r="F168" s="3" t="s">
        <v>13</v>
      </c>
      <c r="G168" s="3" t="s">
        <v>13</v>
      </c>
      <c r="H168" s="3" t="s">
        <v>13</v>
      </c>
      <c r="I168" s="3">
        <v>2291517200</v>
      </c>
    </row>
    <row r="169" spans="1:9" x14ac:dyDescent="0.35">
      <c r="A169" t="str">
        <f>"05116"</f>
        <v>05116</v>
      </c>
      <c r="B169" t="s">
        <v>33</v>
      </c>
      <c r="C169" t="s">
        <v>123</v>
      </c>
      <c r="D169" s="5" t="str">
        <f>"002"</f>
        <v>002</v>
      </c>
      <c r="E169" s="5">
        <v>2021</v>
      </c>
      <c r="F169" s="3">
        <v>9372500</v>
      </c>
      <c r="G169" s="3">
        <v>53595700</v>
      </c>
      <c r="H169" s="3">
        <v>44223200</v>
      </c>
    </row>
    <row r="170" spans="1:9" x14ac:dyDescent="0.35">
      <c r="A170" t="str">
        <f>"05116"</f>
        <v>05116</v>
      </c>
      <c r="B170" t="s">
        <v>33</v>
      </c>
      <c r="C170" t="s">
        <v>123</v>
      </c>
      <c r="D170" s="5" t="s">
        <v>11</v>
      </c>
      <c r="E170" s="5" t="s">
        <v>12</v>
      </c>
      <c r="F170" s="3" t="s">
        <v>13</v>
      </c>
      <c r="G170" s="3" t="s">
        <v>13</v>
      </c>
      <c r="H170" s="3" t="s">
        <v>13</v>
      </c>
      <c r="I170" s="3">
        <v>309225100</v>
      </c>
    </row>
    <row r="171" spans="1:9" x14ac:dyDescent="0.35">
      <c r="A171" t="str">
        <f>"05121"</f>
        <v>05121</v>
      </c>
      <c r="B171" t="s">
        <v>33</v>
      </c>
      <c r="C171" t="s">
        <v>124</v>
      </c>
      <c r="D171" s="5" t="s">
        <v>11</v>
      </c>
      <c r="E171" s="5" t="s">
        <v>12</v>
      </c>
      <c r="F171" s="3" t="s">
        <v>13</v>
      </c>
      <c r="G171" s="3" t="s">
        <v>13</v>
      </c>
      <c r="H171" s="3" t="s">
        <v>13</v>
      </c>
      <c r="I171" s="3">
        <v>177365800</v>
      </c>
    </row>
    <row r="172" spans="1:9" x14ac:dyDescent="0.35">
      <c r="A172" t="str">
        <f>"05126"</f>
        <v>05126</v>
      </c>
      <c r="B172" t="s">
        <v>33</v>
      </c>
      <c r="C172" t="s">
        <v>125</v>
      </c>
      <c r="D172" s="5" t="str">
        <f>"001"</f>
        <v>001</v>
      </c>
      <c r="E172" s="5">
        <v>2009</v>
      </c>
      <c r="F172" s="3">
        <v>20991900</v>
      </c>
      <c r="G172" s="3">
        <v>373468200</v>
      </c>
      <c r="H172" s="3">
        <v>352476300</v>
      </c>
    </row>
    <row r="173" spans="1:9" x14ac:dyDescent="0.35">
      <c r="A173" t="str">
        <f>"05126"</f>
        <v>05126</v>
      </c>
      <c r="B173" t="s">
        <v>33</v>
      </c>
      <c r="C173" t="s">
        <v>125</v>
      </c>
      <c r="D173" s="5" t="str">
        <f>"002"</f>
        <v>002</v>
      </c>
      <c r="E173" s="5">
        <v>2011</v>
      </c>
      <c r="F173" s="3">
        <v>3215800</v>
      </c>
      <c r="G173" s="3">
        <v>202848700</v>
      </c>
      <c r="H173" s="3">
        <v>199632900</v>
      </c>
    </row>
    <row r="174" spans="1:9" x14ac:dyDescent="0.35">
      <c r="A174" t="str">
        <f>"05126"</f>
        <v>05126</v>
      </c>
      <c r="B174" t="s">
        <v>33</v>
      </c>
      <c r="C174" t="s">
        <v>125</v>
      </c>
      <c r="D174" s="5" t="s">
        <v>11</v>
      </c>
      <c r="E174" s="5" t="s">
        <v>12</v>
      </c>
      <c r="F174" s="3" t="s">
        <v>13</v>
      </c>
      <c r="G174" s="3" t="s">
        <v>13</v>
      </c>
      <c r="H174" s="3" t="s">
        <v>13</v>
      </c>
      <c r="I174" s="3">
        <v>1236132300</v>
      </c>
    </row>
    <row r="175" spans="1:9" x14ac:dyDescent="0.35">
      <c r="A175" t="str">
        <f t="shared" ref="A175:A183" si="1">"05136"</f>
        <v>05136</v>
      </c>
      <c r="B175" t="s">
        <v>33</v>
      </c>
      <c r="C175" t="s">
        <v>126</v>
      </c>
      <c r="D175" s="5" t="str">
        <f>"003"</f>
        <v>003</v>
      </c>
      <c r="E175" s="5">
        <v>2006</v>
      </c>
      <c r="F175" s="3">
        <v>14845200</v>
      </c>
      <c r="G175" s="3">
        <v>88867500</v>
      </c>
      <c r="H175" s="3">
        <v>74022300</v>
      </c>
    </row>
    <row r="176" spans="1:9" x14ac:dyDescent="0.35">
      <c r="A176" t="str">
        <f t="shared" si="1"/>
        <v>05136</v>
      </c>
      <c r="B176" t="s">
        <v>33</v>
      </c>
      <c r="C176" t="s">
        <v>126</v>
      </c>
      <c r="D176" s="5" t="str">
        <f>"004"</f>
        <v>004</v>
      </c>
      <c r="E176" s="5">
        <v>2007</v>
      </c>
      <c r="F176" s="3">
        <v>60041300</v>
      </c>
      <c r="G176" s="3">
        <v>173361600</v>
      </c>
      <c r="H176" s="3">
        <v>113320300</v>
      </c>
    </row>
    <row r="177" spans="1:9" x14ac:dyDescent="0.35">
      <c r="A177" t="str">
        <f t="shared" si="1"/>
        <v>05136</v>
      </c>
      <c r="B177" t="s">
        <v>33</v>
      </c>
      <c r="C177" t="s">
        <v>126</v>
      </c>
      <c r="D177" s="5" t="str">
        <f>"005"</f>
        <v>005</v>
      </c>
      <c r="E177" s="5">
        <v>2008</v>
      </c>
      <c r="F177" s="3">
        <v>9119100</v>
      </c>
      <c r="G177" s="3">
        <v>31436400</v>
      </c>
      <c r="H177" s="3">
        <v>22317300</v>
      </c>
    </row>
    <row r="178" spans="1:9" x14ac:dyDescent="0.35">
      <c r="A178" t="str">
        <f t="shared" si="1"/>
        <v>05136</v>
      </c>
      <c r="B178" t="s">
        <v>33</v>
      </c>
      <c r="C178" t="s">
        <v>126</v>
      </c>
      <c r="D178" s="5" t="str">
        <f>"006"</f>
        <v>006</v>
      </c>
      <c r="E178" s="5">
        <v>2008</v>
      </c>
      <c r="F178" s="3">
        <v>7605700</v>
      </c>
      <c r="G178" s="3">
        <v>60936200</v>
      </c>
      <c r="H178" s="3">
        <v>53330500</v>
      </c>
    </row>
    <row r="179" spans="1:9" x14ac:dyDescent="0.35">
      <c r="A179" t="str">
        <f t="shared" si="1"/>
        <v>05136</v>
      </c>
      <c r="B179" t="s">
        <v>33</v>
      </c>
      <c r="C179" t="s">
        <v>126</v>
      </c>
      <c r="D179" s="5" t="str">
        <f>"007"</f>
        <v>007</v>
      </c>
      <c r="E179" s="5">
        <v>2012</v>
      </c>
      <c r="F179" s="3">
        <v>17083400</v>
      </c>
      <c r="G179" s="3">
        <v>30763500</v>
      </c>
      <c r="H179" s="3">
        <v>13680100</v>
      </c>
    </row>
    <row r="180" spans="1:9" x14ac:dyDescent="0.35">
      <c r="A180" t="str">
        <f t="shared" si="1"/>
        <v>05136</v>
      </c>
      <c r="B180" t="s">
        <v>33</v>
      </c>
      <c r="C180" t="s">
        <v>126</v>
      </c>
      <c r="D180" s="5" t="str">
        <f>"008"</f>
        <v>008</v>
      </c>
      <c r="E180" s="5">
        <v>2015</v>
      </c>
      <c r="F180" s="3">
        <v>8181900</v>
      </c>
      <c r="G180" s="3">
        <v>91057200</v>
      </c>
      <c r="H180" s="3">
        <v>82875300</v>
      </c>
    </row>
    <row r="181" spans="1:9" x14ac:dyDescent="0.35">
      <c r="A181" t="str">
        <f t="shared" si="1"/>
        <v>05136</v>
      </c>
      <c r="B181" t="s">
        <v>33</v>
      </c>
      <c r="C181" t="s">
        <v>126</v>
      </c>
      <c r="D181" s="5" t="str">
        <f>"009"</f>
        <v>009</v>
      </c>
      <c r="E181" s="5">
        <v>2019</v>
      </c>
      <c r="F181" s="3">
        <v>5151200</v>
      </c>
      <c r="G181" s="3">
        <v>10889700</v>
      </c>
      <c r="H181" s="3">
        <v>5738500</v>
      </c>
    </row>
    <row r="182" spans="1:9" x14ac:dyDescent="0.35">
      <c r="A182" t="str">
        <f t="shared" si="1"/>
        <v>05136</v>
      </c>
      <c r="B182" t="s">
        <v>33</v>
      </c>
      <c r="C182" t="s">
        <v>126</v>
      </c>
      <c r="D182" s="5" t="str">
        <f>"010"</f>
        <v>010</v>
      </c>
      <c r="E182" s="5">
        <v>2025</v>
      </c>
      <c r="F182" s="3">
        <v>2062900</v>
      </c>
      <c r="G182" s="3">
        <v>2609600</v>
      </c>
      <c r="H182" s="3">
        <v>546700</v>
      </c>
    </row>
    <row r="183" spans="1:9" x14ac:dyDescent="0.35">
      <c r="A183" t="str">
        <f t="shared" si="1"/>
        <v>05136</v>
      </c>
      <c r="B183" t="s">
        <v>33</v>
      </c>
      <c r="C183" t="s">
        <v>126</v>
      </c>
      <c r="D183" s="5" t="s">
        <v>11</v>
      </c>
      <c r="E183" s="5" t="s">
        <v>12</v>
      </c>
      <c r="F183" s="3" t="s">
        <v>13</v>
      </c>
      <c r="G183" s="3" t="s">
        <v>13</v>
      </c>
      <c r="H183" s="3" t="s">
        <v>13</v>
      </c>
      <c r="I183" s="3">
        <v>3205891100</v>
      </c>
    </row>
    <row r="184" spans="1:9" x14ac:dyDescent="0.35">
      <c r="A184" t="str">
        <f>"05171"</f>
        <v>05171</v>
      </c>
      <c r="B184" t="s">
        <v>33</v>
      </c>
      <c r="C184" t="s">
        <v>127</v>
      </c>
      <c r="D184" s="5" t="str">
        <f>"003"</f>
        <v>003</v>
      </c>
      <c r="E184" s="5">
        <v>2014</v>
      </c>
      <c r="F184" s="3">
        <v>4838300</v>
      </c>
      <c r="G184" s="3">
        <v>8570100</v>
      </c>
      <c r="H184" s="3">
        <v>3731800</v>
      </c>
    </row>
    <row r="185" spans="1:9" x14ac:dyDescent="0.35">
      <c r="A185" t="str">
        <f>"05171"</f>
        <v>05171</v>
      </c>
      <c r="B185" t="s">
        <v>33</v>
      </c>
      <c r="C185" t="s">
        <v>127</v>
      </c>
      <c r="D185" s="5" t="str">
        <f>"004"</f>
        <v>004</v>
      </c>
      <c r="E185" s="5">
        <v>2015</v>
      </c>
      <c r="F185" s="3">
        <v>960300</v>
      </c>
      <c r="G185" s="3">
        <v>64580100</v>
      </c>
      <c r="H185" s="3">
        <v>63619800</v>
      </c>
    </row>
    <row r="186" spans="1:9" x14ac:dyDescent="0.35">
      <c r="A186" t="str">
        <f>"05171"</f>
        <v>05171</v>
      </c>
      <c r="B186" t="s">
        <v>33</v>
      </c>
      <c r="C186" t="s">
        <v>127</v>
      </c>
      <c r="D186" s="5" t="s">
        <v>11</v>
      </c>
      <c r="E186" s="5" t="s">
        <v>12</v>
      </c>
      <c r="F186" s="3" t="s">
        <v>13</v>
      </c>
      <c r="G186" s="3" t="s">
        <v>13</v>
      </c>
      <c r="H186" s="3" t="s">
        <v>13</v>
      </c>
      <c r="I186" s="3">
        <v>386419900</v>
      </c>
    </row>
    <row r="187" spans="1:9" x14ac:dyDescent="0.35">
      <c r="A187" t="str">
        <f>"05178"</f>
        <v>05178</v>
      </c>
      <c r="B187" t="s">
        <v>33</v>
      </c>
      <c r="C187" t="s">
        <v>128</v>
      </c>
      <c r="D187" s="5" t="str">
        <f>"001"</f>
        <v>001</v>
      </c>
      <c r="E187" s="5">
        <v>2004</v>
      </c>
      <c r="F187" s="3">
        <v>9662000</v>
      </c>
      <c r="G187" s="3">
        <v>101075300</v>
      </c>
      <c r="H187" s="3">
        <v>91413300</v>
      </c>
    </row>
    <row r="188" spans="1:9" x14ac:dyDescent="0.35">
      <c r="A188" t="str">
        <f>"05178"</f>
        <v>05178</v>
      </c>
      <c r="B188" t="s">
        <v>33</v>
      </c>
      <c r="C188" t="s">
        <v>128</v>
      </c>
      <c r="D188" s="5" t="str">
        <f>"004"</f>
        <v>004</v>
      </c>
      <c r="E188" s="5">
        <v>2014</v>
      </c>
      <c r="F188" s="3">
        <v>28951600</v>
      </c>
      <c r="G188" s="3">
        <v>77466000</v>
      </c>
      <c r="H188" s="3">
        <v>48514400</v>
      </c>
    </row>
    <row r="189" spans="1:9" x14ac:dyDescent="0.35">
      <c r="A189" t="str">
        <f>"05178"</f>
        <v>05178</v>
      </c>
      <c r="B189" t="s">
        <v>33</v>
      </c>
      <c r="C189" t="s">
        <v>128</v>
      </c>
      <c r="D189" s="5" t="s">
        <v>11</v>
      </c>
      <c r="E189" s="5" t="s">
        <v>12</v>
      </c>
      <c r="F189" s="3" t="s">
        <v>13</v>
      </c>
      <c r="G189" s="3" t="s">
        <v>13</v>
      </c>
      <c r="H189" s="3" t="s">
        <v>13</v>
      </c>
      <c r="I189" s="3">
        <v>2451919900</v>
      </c>
    </row>
    <row r="190" spans="1:9" x14ac:dyDescent="0.35">
      <c r="A190" t="str">
        <f>"05191"</f>
        <v>05191</v>
      </c>
      <c r="B190" t="s">
        <v>33</v>
      </c>
      <c r="C190" t="s">
        <v>119</v>
      </c>
      <c r="D190" s="5" t="str">
        <f>"003"</f>
        <v>003</v>
      </c>
      <c r="E190" s="5">
        <v>2015</v>
      </c>
      <c r="F190" s="3">
        <v>7951200</v>
      </c>
      <c r="G190" s="3">
        <v>61168700</v>
      </c>
      <c r="H190" s="3">
        <v>53217500</v>
      </c>
    </row>
    <row r="191" spans="1:9" x14ac:dyDescent="0.35">
      <c r="A191" t="str">
        <f>"05191"</f>
        <v>05191</v>
      </c>
      <c r="B191" t="s">
        <v>33</v>
      </c>
      <c r="C191" t="s">
        <v>119</v>
      </c>
      <c r="D191" s="5" t="str">
        <f>"004"</f>
        <v>004</v>
      </c>
      <c r="E191" s="5">
        <v>2016</v>
      </c>
      <c r="F191" s="3">
        <v>8400</v>
      </c>
      <c r="G191" s="3">
        <v>20274400</v>
      </c>
      <c r="H191" s="3">
        <v>20266000</v>
      </c>
    </row>
    <row r="192" spans="1:9" x14ac:dyDescent="0.35">
      <c r="A192" t="str">
        <f>"05191"</f>
        <v>05191</v>
      </c>
      <c r="B192" t="s">
        <v>33</v>
      </c>
      <c r="C192" t="s">
        <v>119</v>
      </c>
      <c r="D192" s="5" t="str">
        <f>"005"</f>
        <v>005</v>
      </c>
      <c r="E192" s="5">
        <v>2018</v>
      </c>
      <c r="F192" s="3">
        <v>5217500</v>
      </c>
      <c r="G192" s="3">
        <v>18779900</v>
      </c>
      <c r="H192" s="3">
        <v>13562400</v>
      </c>
    </row>
    <row r="193" spans="1:9" x14ac:dyDescent="0.35">
      <c r="A193" t="str">
        <f>"05191"</f>
        <v>05191</v>
      </c>
      <c r="B193" t="s">
        <v>33</v>
      </c>
      <c r="C193" t="s">
        <v>119</v>
      </c>
      <c r="D193" s="5" t="s">
        <v>11</v>
      </c>
      <c r="E193" s="5" t="s">
        <v>12</v>
      </c>
      <c r="F193" s="3" t="s">
        <v>13</v>
      </c>
      <c r="G193" s="3" t="s">
        <v>13</v>
      </c>
      <c r="H193" s="3" t="s">
        <v>13</v>
      </c>
      <c r="I193" s="3">
        <v>431965900</v>
      </c>
    </row>
    <row r="194" spans="1:9" x14ac:dyDescent="0.35">
      <c r="A194" t="s">
        <v>30</v>
      </c>
      <c r="B194" t="s">
        <v>35</v>
      </c>
      <c r="C194" t="s">
        <v>32</v>
      </c>
      <c r="D194" s="5" t="s">
        <v>11</v>
      </c>
      <c r="E194" s="5" t="s">
        <v>12</v>
      </c>
      <c r="F194" s="3" t="s">
        <v>13</v>
      </c>
      <c r="G194" s="3" t="s">
        <v>13</v>
      </c>
      <c r="H194" s="3" t="s">
        <v>13</v>
      </c>
      <c r="I194" s="3">
        <v>15663980200</v>
      </c>
    </row>
    <row r="195" spans="1:9" x14ac:dyDescent="0.35">
      <c r="A195" t="str">
        <f t="shared" ref="A195:A205" si="2">"05216"</f>
        <v>05216</v>
      </c>
      <c r="B195" t="s">
        <v>36</v>
      </c>
      <c r="C195" t="s">
        <v>129</v>
      </c>
      <c r="D195" s="5" t="str">
        <f>"007"</f>
        <v>007</v>
      </c>
      <c r="E195" s="5">
        <v>2007</v>
      </c>
      <c r="F195" s="3">
        <v>11409500</v>
      </c>
      <c r="G195" s="3">
        <v>25990400</v>
      </c>
      <c r="H195" s="3">
        <v>14580900</v>
      </c>
    </row>
    <row r="196" spans="1:9" x14ac:dyDescent="0.35">
      <c r="A196" t="str">
        <f t="shared" si="2"/>
        <v>05216</v>
      </c>
      <c r="B196" t="s">
        <v>36</v>
      </c>
      <c r="C196" t="s">
        <v>129</v>
      </c>
      <c r="D196" s="5" t="str">
        <f>"009"</f>
        <v>009</v>
      </c>
      <c r="E196" s="5">
        <v>2012</v>
      </c>
      <c r="F196" s="3">
        <v>14157100</v>
      </c>
      <c r="G196" s="3">
        <v>29026300</v>
      </c>
      <c r="H196" s="3">
        <v>14869200</v>
      </c>
    </row>
    <row r="197" spans="1:9" x14ac:dyDescent="0.35">
      <c r="A197" t="str">
        <f t="shared" si="2"/>
        <v>05216</v>
      </c>
      <c r="B197" t="s">
        <v>36</v>
      </c>
      <c r="C197" t="s">
        <v>129</v>
      </c>
      <c r="D197" s="5" t="str">
        <f>"010"</f>
        <v>010</v>
      </c>
      <c r="E197" s="5">
        <v>2012</v>
      </c>
      <c r="F197" s="3">
        <v>37688600</v>
      </c>
      <c r="G197" s="3">
        <v>71060000</v>
      </c>
      <c r="H197" s="3">
        <v>33371400</v>
      </c>
    </row>
    <row r="198" spans="1:9" x14ac:dyDescent="0.35">
      <c r="A198" t="str">
        <f t="shared" si="2"/>
        <v>05216</v>
      </c>
      <c r="B198" t="s">
        <v>36</v>
      </c>
      <c r="C198" t="s">
        <v>129</v>
      </c>
      <c r="D198" s="5" t="str">
        <f>"011"</f>
        <v>011</v>
      </c>
      <c r="E198" s="5">
        <v>2015</v>
      </c>
      <c r="F198" s="3">
        <v>29592300</v>
      </c>
      <c r="G198" s="3">
        <v>101995100</v>
      </c>
      <c r="H198" s="3">
        <v>72402800</v>
      </c>
    </row>
    <row r="199" spans="1:9" x14ac:dyDescent="0.35">
      <c r="A199" t="str">
        <f t="shared" si="2"/>
        <v>05216</v>
      </c>
      <c r="B199" t="s">
        <v>36</v>
      </c>
      <c r="C199" t="s">
        <v>129</v>
      </c>
      <c r="D199" s="5" t="str">
        <f>"012"</f>
        <v>012</v>
      </c>
      <c r="E199" s="5">
        <v>2015</v>
      </c>
      <c r="F199" s="3">
        <v>22246700</v>
      </c>
      <c r="G199" s="3">
        <v>206799300</v>
      </c>
      <c r="H199" s="3">
        <v>184552600</v>
      </c>
    </row>
    <row r="200" spans="1:9" x14ac:dyDescent="0.35">
      <c r="A200" t="str">
        <f t="shared" si="2"/>
        <v>05216</v>
      </c>
      <c r="B200" t="s">
        <v>36</v>
      </c>
      <c r="C200" t="s">
        <v>129</v>
      </c>
      <c r="D200" s="5" t="str">
        <f>"013"</f>
        <v>013</v>
      </c>
      <c r="E200" s="5">
        <v>2017</v>
      </c>
      <c r="F200" s="3">
        <v>49749600</v>
      </c>
      <c r="G200" s="3">
        <v>85257100</v>
      </c>
      <c r="H200" s="3">
        <v>35507500</v>
      </c>
    </row>
    <row r="201" spans="1:9" x14ac:dyDescent="0.35">
      <c r="A201" t="str">
        <f t="shared" si="2"/>
        <v>05216</v>
      </c>
      <c r="B201" t="s">
        <v>36</v>
      </c>
      <c r="C201" t="s">
        <v>129</v>
      </c>
      <c r="D201" s="5" t="str">
        <f>"014"</f>
        <v>014</v>
      </c>
      <c r="E201" s="5">
        <v>2019</v>
      </c>
      <c r="F201" s="3">
        <v>579600</v>
      </c>
      <c r="G201" s="3">
        <v>3224500</v>
      </c>
      <c r="H201" s="3">
        <v>2644900</v>
      </c>
    </row>
    <row r="202" spans="1:9" x14ac:dyDescent="0.35">
      <c r="A202" t="str">
        <f t="shared" si="2"/>
        <v>05216</v>
      </c>
      <c r="B202" t="s">
        <v>36</v>
      </c>
      <c r="C202" t="s">
        <v>129</v>
      </c>
      <c r="D202" s="5" t="str">
        <f>"015"</f>
        <v>015</v>
      </c>
      <c r="E202" s="5">
        <v>2020</v>
      </c>
      <c r="F202" s="3">
        <v>2616000</v>
      </c>
      <c r="G202" s="3">
        <v>56030100</v>
      </c>
      <c r="H202" s="3">
        <v>53414100</v>
      </c>
    </row>
    <row r="203" spans="1:9" x14ac:dyDescent="0.35">
      <c r="A203" t="str">
        <f t="shared" si="2"/>
        <v>05216</v>
      </c>
      <c r="B203" t="s">
        <v>36</v>
      </c>
      <c r="C203" t="s">
        <v>129</v>
      </c>
      <c r="D203" s="5" t="str">
        <f>"017"</f>
        <v>017</v>
      </c>
      <c r="E203" s="5">
        <v>2021</v>
      </c>
      <c r="F203" s="3">
        <v>0</v>
      </c>
      <c r="G203" s="3">
        <v>58288500</v>
      </c>
      <c r="H203" s="3">
        <v>58288500</v>
      </c>
    </row>
    <row r="204" spans="1:9" x14ac:dyDescent="0.35">
      <c r="A204" t="str">
        <f t="shared" si="2"/>
        <v>05216</v>
      </c>
      <c r="B204" t="s">
        <v>36</v>
      </c>
      <c r="C204" t="s">
        <v>129</v>
      </c>
      <c r="D204" s="5" t="str">
        <f>"018"</f>
        <v>018</v>
      </c>
      <c r="E204" s="5">
        <v>2024</v>
      </c>
      <c r="F204" s="3">
        <v>24316400</v>
      </c>
      <c r="G204" s="3">
        <v>31827700</v>
      </c>
      <c r="H204" s="3">
        <v>7511300</v>
      </c>
    </row>
    <row r="205" spans="1:9" x14ac:dyDescent="0.35">
      <c r="A205" t="str">
        <f t="shared" si="2"/>
        <v>05216</v>
      </c>
      <c r="B205" t="s">
        <v>36</v>
      </c>
      <c r="C205" t="s">
        <v>129</v>
      </c>
      <c r="D205" s="5" t="s">
        <v>11</v>
      </c>
      <c r="E205" s="5" t="s">
        <v>12</v>
      </c>
      <c r="F205" s="3" t="s">
        <v>13</v>
      </c>
      <c r="G205" s="3" t="s">
        <v>13</v>
      </c>
      <c r="H205" s="3" t="s">
        <v>13</v>
      </c>
      <c r="I205" s="3">
        <v>3786128700</v>
      </c>
    </row>
    <row r="206" spans="1:9" x14ac:dyDescent="0.35">
      <c r="A206" t="str">
        <f t="shared" ref="A206:A227" si="3">"05231"</f>
        <v>05231</v>
      </c>
      <c r="B206" t="s">
        <v>36</v>
      </c>
      <c r="C206" t="s">
        <v>109</v>
      </c>
      <c r="D206" s="5" t="str">
        <f>"005"</f>
        <v>005</v>
      </c>
      <c r="E206" s="5">
        <v>2000</v>
      </c>
      <c r="F206" s="3">
        <v>47995500</v>
      </c>
      <c r="G206" s="3">
        <v>185648900</v>
      </c>
      <c r="H206" s="3">
        <v>137653400</v>
      </c>
    </row>
    <row r="207" spans="1:9" x14ac:dyDescent="0.35">
      <c r="A207" t="str">
        <f t="shared" si="3"/>
        <v>05231</v>
      </c>
      <c r="B207" t="s">
        <v>36</v>
      </c>
      <c r="C207" t="s">
        <v>109</v>
      </c>
      <c r="D207" s="5" t="str">
        <f>"010"</f>
        <v>010</v>
      </c>
      <c r="E207" s="5">
        <v>2004</v>
      </c>
      <c r="F207" s="3">
        <v>23429200</v>
      </c>
      <c r="G207" s="3">
        <v>47732100</v>
      </c>
      <c r="H207" s="3">
        <v>24302900</v>
      </c>
    </row>
    <row r="208" spans="1:9" x14ac:dyDescent="0.35">
      <c r="A208" t="str">
        <f t="shared" si="3"/>
        <v>05231</v>
      </c>
      <c r="B208" t="s">
        <v>36</v>
      </c>
      <c r="C208" t="s">
        <v>109</v>
      </c>
      <c r="D208" s="5" t="str">
        <f>"012"</f>
        <v>012</v>
      </c>
      <c r="E208" s="5">
        <v>2005</v>
      </c>
      <c r="F208" s="3">
        <v>173823900</v>
      </c>
      <c r="G208" s="3">
        <v>428717000</v>
      </c>
      <c r="H208" s="3">
        <v>254893100</v>
      </c>
    </row>
    <row r="209" spans="1:8" x14ac:dyDescent="0.35">
      <c r="A209" t="str">
        <f t="shared" si="3"/>
        <v>05231</v>
      </c>
      <c r="B209" t="s">
        <v>36</v>
      </c>
      <c r="C209" t="s">
        <v>109</v>
      </c>
      <c r="D209" s="5" t="str">
        <f>"013"</f>
        <v>013</v>
      </c>
      <c r="E209" s="5">
        <v>2005</v>
      </c>
      <c r="F209" s="3">
        <v>41617000</v>
      </c>
      <c r="G209" s="3">
        <v>165215100</v>
      </c>
      <c r="H209" s="3">
        <v>123598100</v>
      </c>
    </row>
    <row r="210" spans="1:8" x14ac:dyDescent="0.35">
      <c r="A210" t="str">
        <f t="shared" si="3"/>
        <v>05231</v>
      </c>
      <c r="B210" t="s">
        <v>36</v>
      </c>
      <c r="C210" t="s">
        <v>109</v>
      </c>
      <c r="D210" s="5" t="str">
        <f>"014"</f>
        <v>014</v>
      </c>
      <c r="E210" s="5">
        <v>2006</v>
      </c>
      <c r="F210" s="3">
        <v>5211100</v>
      </c>
      <c r="G210" s="3">
        <v>77815200</v>
      </c>
      <c r="H210" s="3">
        <v>72604100</v>
      </c>
    </row>
    <row r="211" spans="1:8" x14ac:dyDescent="0.35">
      <c r="A211" t="str">
        <f t="shared" si="3"/>
        <v>05231</v>
      </c>
      <c r="B211" t="s">
        <v>36</v>
      </c>
      <c r="C211" t="s">
        <v>109</v>
      </c>
      <c r="D211" s="5" t="str">
        <f>"016"</f>
        <v>016</v>
      </c>
      <c r="E211" s="5">
        <v>2007</v>
      </c>
      <c r="F211" s="3">
        <v>76141400</v>
      </c>
      <c r="G211" s="3">
        <v>150555000</v>
      </c>
      <c r="H211" s="3">
        <v>74413600</v>
      </c>
    </row>
    <row r="212" spans="1:8" x14ac:dyDescent="0.35">
      <c r="A212" t="str">
        <f t="shared" si="3"/>
        <v>05231</v>
      </c>
      <c r="B212" t="s">
        <v>36</v>
      </c>
      <c r="C212" t="s">
        <v>109</v>
      </c>
      <c r="D212" s="5" t="str">
        <f>"018"</f>
        <v>018</v>
      </c>
      <c r="E212" s="5">
        <v>2016</v>
      </c>
      <c r="F212" s="3">
        <v>25452000</v>
      </c>
      <c r="G212" s="3">
        <v>119355000</v>
      </c>
      <c r="H212" s="3">
        <v>93903000</v>
      </c>
    </row>
    <row r="213" spans="1:8" x14ac:dyDescent="0.35">
      <c r="A213" t="str">
        <f t="shared" si="3"/>
        <v>05231</v>
      </c>
      <c r="B213" t="s">
        <v>36</v>
      </c>
      <c r="C213" t="s">
        <v>109</v>
      </c>
      <c r="D213" s="5" t="str">
        <f>"019"</f>
        <v>019</v>
      </c>
      <c r="E213" s="5">
        <v>2017</v>
      </c>
      <c r="F213" s="3">
        <v>25260900</v>
      </c>
      <c r="G213" s="3">
        <v>59082100</v>
      </c>
      <c r="H213" s="3">
        <v>33821200</v>
      </c>
    </row>
    <row r="214" spans="1:8" x14ac:dyDescent="0.35">
      <c r="A214" t="str">
        <f t="shared" si="3"/>
        <v>05231</v>
      </c>
      <c r="B214" t="s">
        <v>36</v>
      </c>
      <c r="C214" t="s">
        <v>109</v>
      </c>
      <c r="D214" s="5" t="str">
        <f>"020"</f>
        <v>020</v>
      </c>
      <c r="E214" s="5">
        <v>2018</v>
      </c>
      <c r="F214" s="3">
        <v>5126700</v>
      </c>
      <c r="G214" s="3">
        <v>18826700</v>
      </c>
      <c r="H214" s="3">
        <v>13700000</v>
      </c>
    </row>
    <row r="215" spans="1:8" x14ac:dyDescent="0.35">
      <c r="A215" t="str">
        <f t="shared" si="3"/>
        <v>05231</v>
      </c>
      <c r="B215" t="s">
        <v>36</v>
      </c>
      <c r="C215" t="s">
        <v>109</v>
      </c>
      <c r="D215" s="5" t="str">
        <f>"021"</f>
        <v>021</v>
      </c>
      <c r="E215" s="5">
        <v>2018</v>
      </c>
      <c r="F215" s="3">
        <v>18646000</v>
      </c>
      <c r="G215" s="3">
        <v>97935000</v>
      </c>
      <c r="H215" s="3">
        <v>79289000</v>
      </c>
    </row>
    <row r="216" spans="1:8" x14ac:dyDescent="0.35">
      <c r="A216" t="str">
        <f t="shared" si="3"/>
        <v>05231</v>
      </c>
      <c r="B216" t="s">
        <v>36</v>
      </c>
      <c r="C216" t="s">
        <v>109</v>
      </c>
      <c r="D216" s="5" t="str">
        <f>"022"</f>
        <v>022</v>
      </c>
      <c r="E216" s="5">
        <v>2019</v>
      </c>
      <c r="F216" s="3">
        <v>3789000</v>
      </c>
      <c r="G216" s="3">
        <v>8075600</v>
      </c>
      <c r="H216" s="3">
        <v>4286600</v>
      </c>
    </row>
    <row r="217" spans="1:8" x14ac:dyDescent="0.35">
      <c r="A217" t="str">
        <f t="shared" si="3"/>
        <v>05231</v>
      </c>
      <c r="B217" t="s">
        <v>36</v>
      </c>
      <c r="C217" t="s">
        <v>109</v>
      </c>
      <c r="D217" s="5" t="str">
        <f>"023"</f>
        <v>023</v>
      </c>
      <c r="E217" s="5">
        <v>2019</v>
      </c>
      <c r="F217" s="3">
        <v>11540900</v>
      </c>
      <c r="G217" s="3">
        <v>44234800</v>
      </c>
      <c r="H217" s="3">
        <v>32693900</v>
      </c>
    </row>
    <row r="218" spans="1:8" x14ac:dyDescent="0.35">
      <c r="A218" t="str">
        <f t="shared" si="3"/>
        <v>05231</v>
      </c>
      <c r="B218" t="s">
        <v>36</v>
      </c>
      <c r="C218" t="s">
        <v>109</v>
      </c>
      <c r="D218" s="5" t="str">
        <f>"024"</f>
        <v>024</v>
      </c>
      <c r="E218" s="5">
        <v>2022</v>
      </c>
      <c r="F218" s="3">
        <v>2824900</v>
      </c>
      <c r="G218" s="3">
        <v>3750000</v>
      </c>
      <c r="H218" s="3">
        <v>925100</v>
      </c>
    </row>
    <row r="219" spans="1:8" x14ac:dyDescent="0.35">
      <c r="A219" t="str">
        <f t="shared" si="3"/>
        <v>05231</v>
      </c>
      <c r="B219" t="s">
        <v>36</v>
      </c>
      <c r="C219" t="s">
        <v>109</v>
      </c>
      <c r="D219" s="5" t="str">
        <f>"025"</f>
        <v>025</v>
      </c>
      <c r="E219" s="5">
        <v>2022</v>
      </c>
      <c r="F219" s="3">
        <v>649100</v>
      </c>
      <c r="G219" s="3">
        <v>38669300</v>
      </c>
      <c r="H219" s="3">
        <v>38020200</v>
      </c>
    </row>
    <row r="220" spans="1:8" x14ac:dyDescent="0.35">
      <c r="A220" t="str">
        <f t="shared" si="3"/>
        <v>05231</v>
      </c>
      <c r="B220" t="s">
        <v>36</v>
      </c>
      <c r="C220" t="s">
        <v>109</v>
      </c>
      <c r="D220" s="5" t="str">
        <f>"026"</f>
        <v>026</v>
      </c>
      <c r="E220" s="5">
        <v>2024</v>
      </c>
      <c r="F220" s="3">
        <v>5196900</v>
      </c>
      <c r="G220" s="3">
        <v>8607600</v>
      </c>
      <c r="H220" s="3">
        <v>3410700</v>
      </c>
    </row>
    <row r="221" spans="1:8" x14ac:dyDescent="0.35">
      <c r="A221" t="str">
        <f t="shared" si="3"/>
        <v>05231</v>
      </c>
      <c r="B221" t="s">
        <v>36</v>
      </c>
      <c r="C221" t="s">
        <v>109</v>
      </c>
      <c r="D221" s="5" t="str">
        <f>"027"</f>
        <v>027</v>
      </c>
      <c r="E221" s="5">
        <v>2024</v>
      </c>
      <c r="F221" s="3">
        <v>3020300</v>
      </c>
      <c r="G221" s="3">
        <v>34443200</v>
      </c>
      <c r="H221" s="3">
        <v>31422900</v>
      </c>
    </row>
    <row r="222" spans="1:8" x14ac:dyDescent="0.35">
      <c r="A222" t="str">
        <f t="shared" si="3"/>
        <v>05231</v>
      </c>
      <c r="B222" t="s">
        <v>36</v>
      </c>
      <c r="C222" t="s">
        <v>109</v>
      </c>
      <c r="D222" s="5" t="str">
        <f>"028"</f>
        <v>028</v>
      </c>
      <c r="E222" s="5">
        <v>2024</v>
      </c>
      <c r="F222" s="3">
        <v>648900</v>
      </c>
      <c r="G222" s="3">
        <v>3565800</v>
      </c>
      <c r="H222" s="3">
        <v>2916900</v>
      </c>
    </row>
    <row r="223" spans="1:8" x14ac:dyDescent="0.35">
      <c r="A223" t="str">
        <f t="shared" si="3"/>
        <v>05231</v>
      </c>
      <c r="B223" t="s">
        <v>36</v>
      </c>
      <c r="C223" t="s">
        <v>109</v>
      </c>
      <c r="D223" s="5" t="str">
        <f>"029"</f>
        <v>029</v>
      </c>
      <c r="E223" s="5">
        <v>2024</v>
      </c>
      <c r="F223" s="3">
        <v>2749800</v>
      </c>
      <c r="G223" s="3">
        <v>1770100</v>
      </c>
      <c r="H223" s="3">
        <v>0</v>
      </c>
    </row>
    <row r="224" spans="1:8" x14ac:dyDescent="0.35">
      <c r="A224" t="str">
        <f t="shared" si="3"/>
        <v>05231</v>
      </c>
      <c r="B224" t="s">
        <v>36</v>
      </c>
      <c r="C224" t="s">
        <v>109</v>
      </c>
      <c r="D224" s="5" t="str">
        <f>"030"</f>
        <v>030</v>
      </c>
      <c r="E224" s="5">
        <v>2025</v>
      </c>
      <c r="F224" s="3">
        <v>3904000</v>
      </c>
      <c r="G224" s="3">
        <v>8743700</v>
      </c>
      <c r="H224" s="3">
        <v>4839700</v>
      </c>
    </row>
    <row r="225" spans="1:9" x14ac:dyDescent="0.35">
      <c r="A225" t="str">
        <f t="shared" si="3"/>
        <v>05231</v>
      </c>
      <c r="B225" t="s">
        <v>36</v>
      </c>
      <c r="C225" t="s">
        <v>109</v>
      </c>
      <c r="D225" s="5" t="str">
        <f>"031"</f>
        <v>031</v>
      </c>
      <c r="E225" s="5">
        <v>2025</v>
      </c>
      <c r="F225" s="3">
        <v>1836500</v>
      </c>
      <c r="G225" s="3">
        <v>2259200</v>
      </c>
      <c r="H225" s="3">
        <v>422700</v>
      </c>
    </row>
    <row r="226" spans="1:9" x14ac:dyDescent="0.35">
      <c r="A226" t="str">
        <f t="shared" si="3"/>
        <v>05231</v>
      </c>
      <c r="B226" t="s">
        <v>36</v>
      </c>
      <c r="C226" t="s">
        <v>109</v>
      </c>
      <c r="D226" s="5" t="str">
        <f>"032"</f>
        <v>032</v>
      </c>
      <c r="E226" s="5">
        <v>2025</v>
      </c>
      <c r="F226" s="3">
        <v>673200</v>
      </c>
      <c r="G226" s="3">
        <v>773500</v>
      </c>
      <c r="H226" s="3">
        <v>100300</v>
      </c>
    </row>
    <row r="227" spans="1:9" x14ac:dyDescent="0.35">
      <c r="A227" t="str">
        <f t="shared" si="3"/>
        <v>05231</v>
      </c>
      <c r="B227" t="s">
        <v>36</v>
      </c>
      <c r="C227" t="s">
        <v>109</v>
      </c>
      <c r="D227" s="5" t="s">
        <v>11</v>
      </c>
      <c r="E227" s="5" t="s">
        <v>12</v>
      </c>
      <c r="F227" s="3" t="s">
        <v>13</v>
      </c>
      <c r="G227" s="3" t="s">
        <v>13</v>
      </c>
      <c r="H227" s="3" t="s">
        <v>13</v>
      </c>
      <c r="I227" s="3">
        <v>11656772300</v>
      </c>
    </row>
    <row r="228" spans="1:9" x14ac:dyDescent="0.35">
      <c r="A228" t="s">
        <v>30</v>
      </c>
      <c r="B228" t="s">
        <v>38</v>
      </c>
      <c r="C228" t="s">
        <v>32</v>
      </c>
      <c r="D228" s="5" t="s">
        <v>11</v>
      </c>
      <c r="E228" s="5" t="s">
        <v>12</v>
      </c>
      <c r="F228" s="3" t="s">
        <v>13</v>
      </c>
      <c r="G228" s="3" t="s">
        <v>13</v>
      </c>
      <c r="H228" s="3" t="s">
        <v>13</v>
      </c>
      <c r="I228" s="3">
        <v>15442901000</v>
      </c>
    </row>
    <row r="229" spans="1:9" x14ac:dyDescent="0.35">
      <c r="A229" t="s">
        <v>30</v>
      </c>
      <c r="B229" t="s">
        <v>39</v>
      </c>
      <c r="C229" t="s">
        <v>130</v>
      </c>
      <c r="D229" s="5" t="s">
        <v>11</v>
      </c>
      <c r="E229" s="5" t="s">
        <v>12</v>
      </c>
      <c r="F229" s="3" t="s">
        <v>13</v>
      </c>
      <c r="G229" s="3" t="s">
        <v>13</v>
      </c>
      <c r="H229" s="3" t="s">
        <v>13</v>
      </c>
      <c r="I229" s="3">
        <v>38474911700</v>
      </c>
    </row>
    <row r="230" spans="1:9" x14ac:dyDescent="0.35">
      <c r="A230" t="str">
        <f>"06002"</f>
        <v>06002</v>
      </c>
      <c r="B230" t="s">
        <v>9</v>
      </c>
      <c r="C230" t="s">
        <v>131</v>
      </c>
      <c r="D230" s="5" t="s">
        <v>11</v>
      </c>
      <c r="E230" s="5" t="s">
        <v>12</v>
      </c>
      <c r="F230" s="3" t="s">
        <v>13</v>
      </c>
      <c r="G230" s="3" t="s">
        <v>13</v>
      </c>
      <c r="H230" s="3" t="s">
        <v>13</v>
      </c>
      <c r="I230" s="3">
        <v>83642200</v>
      </c>
    </row>
    <row r="231" spans="1:9" x14ac:dyDescent="0.35">
      <c r="A231" t="str">
        <f>"06004"</f>
        <v>06004</v>
      </c>
      <c r="B231" t="s">
        <v>9</v>
      </c>
      <c r="C231" t="s">
        <v>132</v>
      </c>
      <c r="D231" s="5" t="s">
        <v>11</v>
      </c>
      <c r="E231" s="5" t="s">
        <v>12</v>
      </c>
      <c r="F231" s="3" t="s">
        <v>13</v>
      </c>
      <c r="G231" s="3" t="s">
        <v>13</v>
      </c>
      <c r="H231" s="3" t="s">
        <v>13</v>
      </c>
      <c r="I231" s="3">
        <v>122425300</v>
      </c>
    </row>
    <row r="232" spans="1:9" x14ac:dyDescent="0.35">
      <c r="A232" t="str">
        <f>"06006"</f>
        <v>06006</v>
      </c>
      <c r="B232" t="s">
        <v>9</v>
      </c>
      <c r="C232" t="s">
        <v>133</v>
      </c>
      <c r="D232" s="5" t="s">
        <v>11</v>
      </c>
      <c r="E232" s="5" t="s">
        <v>12</v>
      </c>
      <c r="F232" s="3" t="s">
        <v>13</v>
      </c>
      <c r="G232" s="3" t="s">
        <v>13</v>
      </c>
      <c r="H232" s="3" t="s">
        <v>13</v>
      </c>
      <c r="I232" s="3">
        <v>135152300</v>
      </c>
    </row>
    <row r="233" spans="1:9" x14ac:dyDescent="0.35">
      <c r="A233" t="str">
        <f>"06008"</f>
        <v>06008</v>
      </c>
      <c r="B233" t="s">
        <v>9</v>
      </c>
      <c r="C233" t="s">
        <v>134</v>
      </c>
      <c r="D233" s="5" t="s">
        <v>11</v>
      </c>
      <c r="E233" s="5" t="s">
        <v>12</v>
      </c>
      <c r="F233" s="3" t="s">
        <v>13</v>
      </c>
      <c r="G233" s="3" t="s">
        <v>13</v>
      </c>
      <c r="H233" s="3" t="s">
        <v>13</v>
      </c>
      <c r="I233" s="3">
        <v>61482800</v>
      </c>
    </row>
    <row r="234" spans="1:9" x14ac:dyDescent="0.35">
      <c r="A234" t="str">
        <f>"06010"</f>
        <v>06010</v>
      </c>
      <c r="B234" t="s">
        <v>9</v>
      </c>
      <c r="C234" t="s">
        <v>135</v>
      </c>
      <c r="D234" s="5" t="s">
        <v>11</v>
      </c>
      <c r="E234" s="5" t="s">
        <v>12</v>
      </c>
      <c r="F234" s="3" t="s">
        <v>13</v>
      </c>
      <c r="G234" s="3" t="s">
        <v>13</v>
      </c>
      <c r="H234" s="3" t="s">
        <v>13</v>
      </c>
      <c r="I234" s="3">
        <v>96904000</v>
      </c>
    </row>
    <row r="235" spans="1:9" x14ac:dyDescent="0.35">
      <c r="A235" t="str">
        <f>"06012"</f>
        <v>06012</v>
      </c>
      <c r="B235" t="s">
        <v>9</v>
      </c>
      <c r="C235" t="s">
        <v>136</v>
      </c>
      <c r="D235" s="5" t="s">
        <v>11</v>
      </c>
      <c r="E235" s="5" t="s">
        <v>12</v>
      </c>
      <c r="F235" s="3" t="s">
        <v>13</v>
      </c>
      <c r="G235" s="3" t="s">
        <v>13</v>
      </c>
      <c r="H235" s="3" t="s">
        <v>13</v>
      </c>
      <c r="I235" s="3">
        <v>76348300</v>
      </c>
    </row>
    <row r="236" spans="1:9" x14ac:dyDescent="0.35">
      <c r="A236" t="str">
        <f>"06014"</f>
        <v>06014</v>
      </c>
      <c r="B236" t="s">
        <v>9</v>
      </c>
      <c r="C236" t="s">
        <v>137</v>
      </c>
      <c r="D236" s="5" t="s">
        <v>11</v>
      </c>
      <c r="E236" s="5" t="s">
        <v>12</v>
      </c>
      <c r="F236" s="3" t="s">
        <v>13</v>
      </c>
      <c r="G236" s="3" t="s">
        <v>13</v>
      </c>
      <c r="H236" s="3" t="s">
        <v>13</v>
      </c>
      <c r="I236" s="3">
        <v>79333600</v>
      </c>
    </row>
    <row r="237" spans="1:9" x14ac:dyDescent="0.35">
      <c r="A237" t="str">
        <f>"06016"</f>
        <v>06016</v>
      </c>
      <c r="B237" t="s">
        <v>9</v>
      </c>
      <c r="C237" t="s">
        <v>138</v>
      </c>
      <c r="D237" s="5" t="s">
        <v>11</v>
      </c>
      <c r="E237" s="5" t="s">
        <v>12</v>
      </c>
      <c r="F237" s="3" t="s">
        <v>13</v>
      </c>
      <c r="G237" s="3" t="s">
        <v>13</v>
      </c>
      <c r="H237" s="3" t="s">
        <v>13</v>
      </c>
      <c r="I237" s="3">
        <v>93780600</v>
      </c>
    </row>
    <row r="238" spans="1:9" x14ac:dyDescent="0.35">
      <c r="A238" t="str">
        <f>"06018"</f>
        <v>06018</v>
      </c>
      <c r="B238" t="s">
        <v>9</v>
      </c>
      <c r="C238" t="s">
        <v>20</v>
      </c>
      <c r="D238" s="5" t="s">
        <v>11</v>
      </c>
      <c r="E238" s="5" t="s">
        <v>12</v>
      </c>
      <c r="F238" s="3" t="s">
        <v>13</v>
      </c>
      <c r="G238" s="3" t="s">
        <v>13</v>
      </c>
      <c r="H238" s="3" t="s">
        <v>13</v>
      </c>
      <c r="I238" s="3">
        <v>64073700</v>
      </c>
    </row>
    <row r="239" spans="1:9" x14ac:dyDescent="0.35">
      <c r="A239" t="str">
        <f>"06020"</f>
        <v>06020</v>
      </c>
      <c r="B239" t="s">
        <v>9</v>
      </c>
      <c r="C239" t="s">
        <v>139</v>
      </c>
      <c r="D239" s="5" t="s">
        <v>11</v>
      </c>
      <c r="E239" s="5" t="s">
        <v>12</v>
      </c>
      <c r="F239" s="3" t="s">
        <v>13</v>
      </c>
      <c r="G239" s="3" t="s">
        <v>13</v>
      </c>
      <c r="H239" s="3" t="s">
        <v>13</v>
      </c>
      <c r="I239" s="3">
        <v>79848200</v>
      </c>
    </row>
    <row r="240" spans="1:9" x14ac:dyDescent="0.35">
      <c r="A240" t="str">
        <f>"06022"</f>
        <v>06022</v>
      </c>
      <c r="B240" t="s">
        <v>9</v>
      </c>
      <c r="C240" t="s">
        <v>140</v>
      </c>
      <c r="D240" s="5" t="s">
        <v>11</v>
      </c>
      <c r="E240" s="5" t="s">
        <v>12</v>
      </c>
      <c r="F240" s="3" t="s">
        <v>13</v>
      </c>
      <c r="G240" s="3" t="s">
        <v>13</v>
      </c>
      <c r="H240" s="3" t="s">
        <v>13</v>
      </c>
      <c r="I240" s="3">
        <v>101828800</v>
      </c>
    </row>
    <row r="241" spans="1:9" x14ac:dyDescent="0.35">
      <c r="A241" t="str">
        <f>"06024"</f>
        <v>06024</v>
      </c>
      <c r="B241" t="s">
        <v>9</v>
      </c>
      <c r="C241" t="s">
        <v>141</v>
      </c>
      <c r="D241" s="5" t="s">
        <v>11</v>
      </c>
      <c r="E241" s="5" t="s">
        <v>12</v>
      </c>
      <c r="F241" s="3" t="s">
        <v>13</v>
      </c>
      <c r="G241" s="3" t="s">
        <v>13</v>
      </c>
      <c r="H241" s="3" t="s">
        <v>13</v>
      </c>
      <c r="I241" s="3">
        <v>74160000</v>
      </c>
    </row>
    <row r="242" spans="1:9" x14ac:dyDescent="0.35">
      <c r="A242" t="str">
        <f>"06026"</f>
        <v>06026</v>
      </c>
      <c r="B242" t="s">
        <v>9</v>
      </c>
      <c r="C242" t="s">
        <v>142</v>
      </c>
      <c r="D242" s="5" t="s">
        <v>11</v>
      </c>
      <c r="E242" s="5" t="s">
        <v>12</v>
      </c>
      <c r="F242" s="3" t="s">
        <v>13</v>
      </c>
      <c r="G242" s="3" t="s">
        <v>13</v>
      </c>
      <c r="H242" s="3" t="s">
        <v>13</v>
      </c>
      <c r="I242" s="3">
        <v>80774900</v>
      </c>
    </row>
    <row r="243" spans="1:9" x14ac:dyDescent="0.35">
      <c r="A243" t="str">
        <f>"06028"</f>
        <v>06028</v>
      </c>
      <c r="B243" t="s">
        <v>9</v>
      </c>
      <c r="C243" t="s">
        <v>143</v>
      </c>
      <c r="D243" s="5" t="s">
        <v>11</v>
      </c>
      <c r="E243" s="5" t="s">
        <v>12</v>
      </c>
      <c r="F243" s="3" t="s">
        <v>13</v>
      </c>
      <c r="G243" s="3" t="s">
        <v>13</v>
      </c>
      <c r="H243" s="3" t="s">
        <v>13</v>
      </c>
      <c r="I243" s="3">
        <v>86034000</v>
      </c>
    </row>
    <row r="244" spans="1:9" x14ac:dyDescent="0.35">
      <c r="A244" t="str">
        <f>"06030"</f>
        <v>06030</v>
      </c>
      <c r="B244" t="s">
        <v>9</v>
      </c>
      <c r="C244" t="s">
        <v>144</v>
      </c>
      <c r="D244" s="5" t="s">
        <v>11</v>
      </c>
      <c r="E244" s="5" t="s">
        <v>12</v>
      </c>
      <c r="F244" s="3" t="s">
        <v>13</v>
      </c>
      <c r="G244" s="3" t="s">
        <v>13</v>
      </c>
      <c r="H244" s="3" t="s">
        <v>13</v>
      </c>
      <c r="I244" s="3">
        <v>119767500</v>
      </c>
    </row>
    <row r="245" spans="1:9" x14ac:dyDescent="0.35">
      <c r="A245" t="str">
        <f>"06032"</f>
        <v>06032</v>
      </c>
      <c r="B245" t="s">
        <v>9</v>
      </c>
      <c r="C245" t="s">
        <v>145</v>
      </c>
      <c r="D245" s="5" t="s">
        <v>11</v>
      </c>
      <c r="E245" s="5" t="s">
        <v>12</v>
      </c>
      <c r="F245" s="3" t="s">
        <v>13</v>
      </c>
      <c r="G245" s="3" t="s">
        <v>13</v>
      </c>
      <c r="H245" s="3" t="s">
        <v>13</v>
      </c>
      <c r="I245" s="3">
        <v>135576500</v>
      </c>
    </row>
    <row r="246" spans="1:9" x14ac:dyDescent="0.35">
      <c r="A246" t="str">
        <f>"06034"</f>
        <v>06034</v>
      </c>
      <c r="B246" t="s">
        <v>9</v>
      </c>
      <c r="C246" t="s">
        <v>146</v>
      </c>
      <c r="D246" s="5" t="s">
        <v>11</v>
      </c>
      <c r="E246" s="5" t="s">
        <v>12</v>
      </c>
      <c r="F246" s="3" t="s">
        <v>13</v>
      </c>
      <c r="G246" s="3" t="s">
        <v>13</v>
      </c>
      <c r="H246" s="3" t="s">
        <v>13</v>
      </c>
      <c r="I246" s="3">
        <v>110306800</v>
      </c>
    </row>
    <row r="247" spans="1:9" x14ac:dyDescent="0.35">
      <c r="A247" t="s">
        <v>30</v>
      </c>
      <c r="B247" t="s">
        <v>31</v>
      </c>
      <c r="C247" t="s">
        <v>32</v>
      </c>
      <c r="D247" s="5" t="s">
        <v>11</v>
      </c>
      <c r="E247" s="5" t="s">
        <v>12</v>
      </c>
      <c r="F247" s="3" t="s">
        <v>13</v>
      </c>
      <c r="G247" s="3" t="s">
        <v>13</v>
      </c>
      <c r="H247" s="3" t="s">
        <v>13</v>
      </c>
      <c r="I247" s="3">
        <v>1601439500</v>
      </c>
    </row>
    <row r="248" spans="1:9" x14ac:dyDescent="0.35">
      <c r="A248" t="str">
        <f>"06111"</f>
        <v>06111</v>
      </c>
      <c r="B248" t="s">
        <v>33</v>
      </c>
      <c r="C248" t="s">
        <v>147</v>
      </c>
      <c r="D248" s="5" t="str">
        <f>"001"</f>
        <v>001</v>
      </c>
      <c r="E248" s="5">
        <v>2019</v>
      </c>
      <c r="F248" s="3">
        <v>1901000</v>
      </c>
      <c r="G248" s="3">
        <v>8416600</v>
      </c>
      <c r="H248" s="3">
        <v>6515600</v>
      </c>
    </row>
    <row r="249" spans="1:9" x14ac:dyDescent="0.35">
      <c r="A249" t="str">
        <f>"06111"</f>
        <v>06111</v>
      </c>
      <c r="B249" t="s">
        <v>33</v>
      </c>
      <c r="C249" t="s">
        <v>147</v>
      </c>
      <c r="D249" s="5" t="s">
        <v>11</v>
      </c>
      <c r="E249" s="5" t="s">
        <v>12</v>
      </c>
      <c r="F249" s="3" t="s">
        <v>13</v>
      </c>
      <c r="G249" s="3" t="s">
        <v>13</v>
      </c>
      <c r="H249" s="3" t="s">
        <v>13</v>
      </c>
      <c r="I249" s="3">
        <v>45105300</v>
      </c>
    </row>
    <row r="250" spans="1:9" x14ac:dyDescent="0.35">
      <c r="A250" t="str">
        <f>"06154"</f>
        <v>06154</v>
      </c>
      <c r="B250" t="s">
        <v>33</v>
      </c>
      <c r="C250" t="s">
        <v>145</v>
      </c>
      <c r="D250" s="5" t="s">
        <v>11</v>
      </c>
      <c r="E250" s="5" t="s">
        <v>12</v>
      </c>
      <c r="F250" s="3" t="s">
        <v>13</v>
      </c>
      <c r="G250" s="3" t="s">
        <v>13</v>
      </c>
      <c r="H250" s="3" t="s">
        <v>13</v>
      </c>
      <c r="I250" s="3">
        <v>28965000</v>
      </c>
    </row>
    <row r="251" spans="1:9" x14ac:dyDescent="0.35">
      <c r="A251" t="s">
        <v>30</v>
      </c>
      <c r="B251" t="s">
        <v>35</v>
      </c>
      <c r="C251" t="s">
        <v>32</v>
      </c>
      <c r="D251" s="5" t="s">
        <v>11</v>
      </c>
      <c r="E251" s="5" t="s">
        <v>12</v>
      </c>
      <c r="F251" s="3" t="s">
        <v>13</v>
      </c>
      <c r="G251" s="3" t="s">
        <v>13</v>
      </c>
      <c r="H251" s="3" t="s">
        <v>13</v>
      </c>
      <c r="I251" s="3">
        <v>74070300</v>
      </c>
    </row>
    <row r="252" spans="1:9" x14ac:dyDescent="0.35">
      <c r="A252" t="str">
        <f>"06201"</f>
        <v>06201</v>
      </c>
      <c r="B252" t="s">
        <v>36</v>
      </c>
      <c r="C252" t="s">
        <v>131</v>
      </c>
      <c r="D252" s="5" t="s">
        <v>11</v>
      </c>
      <c r="E252" s="5" t="s">
        <v>12</v>
      </c>
      <c r="F252" s="3" t="s">
        <v>13</v>
      </c>
      <c r="G252" s="3" t="s">
        <v>13</v>
      </c>
      <c r="H252" s="3" t="s">
        <v>13</v>
      </c>
      <c r="I252" s="3">
        <v>100849500</v>
      </c>
    </row>
    <row r="253" spans="1:9" x14ac:dyDescent="0.35">
      <c r="A253" t="str">
        <f>"06206"</f>
        <v>06206</v>
      </c>
      <c r="B253" t="s">
        <v>36</v>
      </c>
      <c r="C253" t="s">
        <v>148</v>
      </c>
      <c r="D253" s="5" t="s">
        <v>11</v>
      </c>
      <c r="E253" s="5" t="s">
        <v>12</v>
      </c>
      <c r="F253" s="3" t="s">
        <v>13</v>
      </c>
      <c r="G253" s="3" t="s">
        <v>13</v>
      </c>
      <c r="H253" s="3" t="s">
        <v>13</v>
      </c>
      <c r="I253" s="3">
        <v>178855500</v>
      </c>
    </row>
    <row r="254" spans="1:9" x14ac:dyDescent="0.35">
      <c r="A254" t="str">
        <f>"06226"</f>
        <v>06226</v>
      </c>
      <c r="B254" t="s">
        <v>36</v>
      </c>
      <c r="C254" t="s">
        <v>149</v>
      </c>
      <c r="D254" s="5" t="s">
        <v>11</v>
      </c>
      <c r="E254" s="5" t="s">
        <v>12</v>
      </c>
      <c r="F254" s="3" t="s">
        <v>13</v>
      </c>
      <c r="G254" s="3" t="s">
        <v>13</v>
      </c>
      <c r="H254" s="3" t="s">
        <v>13</v>
      </c>
      <c r="I254" s="3">
        <v>99039900</v>
      </c>
    </row>
    <row r="255" spans="1:9" x14ac:dyDescent="0.35">
      <c r="A255" t="str">
        <f>"06251"</f>
        <v>06251</v>
      </c>
      <c r="B255" t="s">
        <v>36</v>
      </c>
      <c r="C255" t="s">
        <v>142</v>
      </c>
      <c r="D255" s="5" t="str">
        <f>"002"</f>
        <v>002</v>
      </c>
      <c r="E255" s="5">
        <v>2005</v>
      </c>
      <c r="F255" s="3">
        <v>19900</v>
      </c>
      <c r="G255" s="3">
        <v>20276600</v>
      </c>
      <c r="H255" s="3">
        <v>20256700</v>
      </c>
    </row>
    <row r="256" spans="1:9" x14ac:dyDescent="0.35">
      <c r="A256" t="str">
        <f>"06251"</f>
        <v>06251</v>
      </c>
      <c r="B256" t="s">
        <v>36</v>
      </c>
      <c r="C256" t="s">
        <v>142</v>
      </c>
      <c r="D256" s="5" t="str">
        <f>"003"</f>
        <v>003</v>
      </c>
      <c r="E256" s="5">
        <v>2023</v>
      </c>
      <c r="F256" s="3">
        <v>2636100</v>
      </c>
      <c r="G256" s="3">
        <v>3513400</v>
      </c>
      <c r="H256" s="3">
        <v>877300</v>
      </c>
    </row>
    <row r="257" spans="1:9" x14ac:dyDescent="0.35">
      <c r="A257" t="str">
        <f>"06251"</f>
        <v>06251</v>
      </c>
      <c r="B257" t="s">
        <v>36</v>
      </c>
      <c r="C257" t="s">
        <v>142</v>
      </c>
      <c r="D257" s="5" t="s">
        <v>11</v>
      </c>
      <c r="E257" s="5" t="s">
        <v>12</v>
      </c>
      <c r="F257" s="3" t="s">
        <v>13</v>
      </c>
      <c r="G257" s="3" t="s">
        <v>13</v>
      </c>
      <c r="H257" s="3" t="s">
        <v>13</v>
      </c>
      <c r="I257" s="3">
        <v>265802300</v>
      </c>
    </row>
    <row r="258" spans="1:9" x14ac:dyDescent="0.35">
      <c r="A258" t="s">
        <v>30</v>
      </c>
      <c r="B258" t="s">
        <v>38</v>
      </c>
      <c r="C258" t="s">
        <v>32</v>
      </c>
      <c r="D258" s="5" t="s">
        <v>11</v>
      </c>
      <c r="E258" s="5" t="s">
        <v>12</v>
      </c>
      <c r="F258" s="3" t="s">
        <v>13</v>
      </c>
      <c r="G258" s="3" t="s">
        <v>13</v>
      </c>
      <c r="H258" s="3" t="s">
        <v>13</v>
      </c>
      <c r="I258" s="3">
        <v>644547200</v>
      </c>
    </row>
    <row r="259" spans="1:9" x14ac:dyDescent="0.35">
      <c r="A259" t="s">
        <v>30</v>
      </c>
      <c r="B259" t="s">
        <v>39</v>
      </c>
      <c r="C259" t="s">
        <v>133</v>
      </c>
      <c r="D259" s="5" t="s">
        <v>11</v>
      </c>
      <c r="E259" s="5" t="s">
        <v>12</v>
      </c>
      <c r="F259" s="3" t="s">
        <v>13</v>
      </c>
      <c r="G259" s="3" t="s">
        <v>13</v>
      </c>
      <c r="H259" s="3" t="s">
        <v>13</v>
      </c>
      <c r="I259" s="3">
        <v>2320057000</v>
      </c>
    </row>
    <row r="260" spans="1:9" x14ac:dyDescent="0.35">
      <c r="A260" t="str">
        <f>"07002"</f>
        <v>07002</v>
      </c>
      <c r="B260" t="s">
        <v>9</v>
      </c>
      <c r="C260" t="s">
        <v>150</v>
      </c>
      <c r="D260" s="5" t="s">
        <v>11</v>
      </c>
      <c r="E260" s="5" t="s">
        <v>12</v>
      </c>
      <c r="F260" s="3" t="s">
        <v>13</v>
      </c>
      <c r="G260" s="3" t="s">
        <v>13</v>
      </c>
      <c r="H260" s="3" t="s">
        <v>13</v>
      </c>
      <c r="I260" s="3">
        <v>82050000</v>
      </c>
    </row>
    <row r="261" spans="1:9" x14ac:dyDescent="0.35">
      <c r="A261" t="str">
        <f>"07004"</f>
        <v>07004</v>
      </c>
      <c r="B261" t="s">
        <v>9</v>
      </c>
      <c r="C261" t="s">
        <v>151</v>
      </c>
      <c r="D261" s="5" t="s">
        <v>11</v>
      </c>
      <c r="E261" s="5" t="s">
        <v>12</v>
      </c>
      <c r="F261" s="3" t="s">
        <v>13</v>
      </c>
      <c r="G261" s="3" t="s">
        <v>13</v>
      </c>
      <c r="H261" s="3" t="s">
        <v>13</v>
      </c>
      <c r="I261" s="3">
        <v>86721100</v>
      </c>
    </row>
    <row r="262" spans="1:9" x14ac:dyDescent="0.35">
      <c r="A262" t="str">
        <f>"07006"</f>
        <v>07006</v>
      </c>
      <c r="B262" t="s">
        <v>9</v>
      </c>
      <c r="C262" t="s">
        <v>152</v>
      </c>
      <c r="D262" s="5" t="s">
        <v>11</v>
      </c>
      <c r="E262" s="5" t="s">
        <v>12</v>
      </c>
      <c r="F262" s="3" t="s">
        <v>13</v>
      </c>
      <c r="G262" s="3" t="s">
        <v>13</v>
      </c>
      <c r="H262" s="3" t="s">
        <v>13</v>
      </c>
      <c r="I262" s="3">
        <v>195616200</v>
      </c>
    </row>
    <row r="263" spans="1:9" x14ac:dyDescent="0.35">
      <c r="A263" t="str">
        <f>"07008"</f>
        <v>07008</v>
      </c>
      <c r="B263" t="s">
        <v>9</v>
      </c>
      <c r="C263" t="s">
        <v>153</v>
      </c>
      <c r="D263" s="5" t="s">
        <v>11</v>
      </c>
      <c r="E263" s="5" t="s">
        <v>12</v>
      </c>
      <c r="F263" s="3" t="s">
        <v>13</v>
      </c>
      <c r="G263" s="3" t="s">
        <v>13</v>
      </c>
      <c r="H263" s="3" t="s">
        <v>13</v>
      </c>
      <c r="I263" s="3">
        <v>129401200</v>
      </c>
    </row>
    <row r="264" spans="1:9" x14ac:dyDescent="0.35">
      <c r="A264" t="str">
        <f>"07010"</f>
        <v>07010</v>
      </c>
      <c r="B264" t="s">
        <v>9</v>
      </c>
      <c r="C264" t="s">
        <v>154</v>
      </c>
      <c r="D264" s="5" t="s">
        <v>11</v>
      </c>
      <c r="E264" s="5" t="s">
        <v>12</v>
      </c>
      <c r="F264" s="3" t="s">
        <v>13</v>
      </c>
      <c r="G264" s="3" t="s">
        <v>13</v>
      </c>
      <c r="H264" s="3" t="s">
        <v>13</v>
      </c>
      <c r="I264" s="3">
        <v>185900800</v>
      </c>
    </row>
    <row r="265" spans="1:9" x14ac:dyDescent="0.35">
      <c r="A265" t="str">
        <f>"07012"</f>
        <v>07012</v>
      </c>
      <c r="B265" t="s">
        <v>9</v>
      </c>
      <c r="C265" t="s">
        <v>18</v>
      </c>
      <c r="D265" s="5" t="s">
        <v>11</v>
      </c>
      <c r="E265" s="5" t="s">
        <v>12</v>
      </c>
      <c r="F265" s="3" t="s">
        <v>13</v>
      </c>
      <c r="G265" s="3" t="s">
        <v>13</v>
      </c>
      <c r="H265" s="3" t="s">
        <v>13</v>
      </c>
      <c r="I265" s="3">
        <v>587364700</v>
      </c>
    </row>
    <row r="266" spans="1:9" x14ac:dyDescent="0.35">
      <c r="A266" t="str">
        <f>"07014"</f>
        <v>07014</v>
      </c>
      <c r="B266" t="s">
        <v>9</v>
      </c>
      <c r="C266" t="s">
        <v>155</v>
      </c>
      <c r="D266" s="5" t="s">
        <v>11</v>
      </c>
      <c r="E266" s="5" t="s">
        <v>12</v>
      </c>
      <c r="F266" s="3" t="s">
        <v>13</v>
      </c>
      <c r="G266" s="3" t="s">
        <v>13</v>
      </c>
      <c r="H266" s="3" t="s">
        <v>13</v>
      </c>
      <c r="I266" s="3">
        <v>240449800</v>
      </c>
    </row>
    <row r="267" spans="1:9" x14ac:dyDescent="0.35">
      <c r="A267" t="str">
        <f>"07016"</f>
        <v>07016</v>
      </c>
      <c r="B267" t="s">
        <v>9</v>
      </c>
      <c r="C267" t="s">
        <v>20</v>
      </c>
      <c r="D267" s="5" t="s">
        <v>11</v>
      </c>
      <c r="E267" s="5" t="s">
        <v>12</v>
      </c>
      <c r="F267" s="3" t="s">
        <v>13</v>
      </c>
      <c r="G267" s="3" t="s">
        <v>13</v>
      </c>
      <c r="H267" s="3" t="s">
        <v>13</v>
      </c>
      <c r="I267" s="3">
        <v>80807000</v>
      </c>
    </row>
    <row r="268" spans="1:9" x14ac:dyDescent="0.35">
      <c r="A268" t="str">
        <f>"07018"</f>
        <v>07018</v>
      </c>
      <c r="B268" t="s">
        <v>9</v>
      </c>
      <c r="C268" t="s">
        <v>156</v>
      </c>
      <c r="D268" s="5" t="s">
        <v>11</v>
      </c>
      <c r="E268" s="5" t="s">
        <v>12</v>
      </c>
      <c r="F268" s="3" t="s">
        <v>13</v>
      </c>
      <c r="G268" s="3" t="s">
        <v>13</v>
      </c>
      <c r="H268" s="3" t="s">
        <v>13</v>
      </c>
      <c r="I268" s="3">
        <v>375112200</v>
      </c>
    </row>
    <row r="269" spans="1:9" x14ac:dyDescent="0.35">
      <c r="A269" t="str">
        <f>"07020"</f>
        <v>07020</v>
      </c>
      <c r="B269" t="s">
        <v>9</v>
      </c>
      <c r="C269" t="s">
        <v>157</v>
      </c>
      <c r="D269" s="5" t="s">
        <v>11</v>
      </c>
      <c r="E269" s="5" t="s">
        <v>12</v>
      </c>
      <c r="F269" s="3" t="s">
        <v>13</v>
      </c>
      <c r="G269" s="3" t="s">
        <v>13</v>
      </c>
      <c r="H269" s="3" t="s">
        <v>13</v>
      </c>
      <c r="I269" s="3">
        <v>555778700</v>
      </c>
    </row>
    <row r="270" spans="1:9" x14ac:dyDescent="0.35">
      <c r="A270" t="str">
        <f>"07022"</f>
        <v>07022</v>
      </c>
      <c r="B270" t="s">
        <v>9</v>
      </c>
      <c r="C270" t="s">
        <v>158</v>
      </c>
      <c r="D270" s="5" t="s">
        <v>11</v>
      </c>
      <c r="E270" s="5" t="s">
        <v>12</v>
      </c>
      <c r="F270" s="3" t="s">
        <v>13</v>
      </c>
      <c r="G270" s="3" t="s">
        <v>13</v>
      </c>
      <c r="H270" s="3" t="s">
        <v>13</v>
      </c>
      <c r="I270" s="3">
        <v>58296800</v>
      </c>
    </row>
    <row r="271" spans="1:9" x14ac:dyDescent="0.35">
      <c r="A271" t="str">
        <f>"07024"</f>
        <v>07024</v>
      </c>
      <c r="B271" t="s">
        <v>9</v>
      </c>
      <c r="C271" t="s">
        <v>159</v>
      </c>
      <c r="D271" s="5" t="s">
        <v>11</v>
      </c>
      <c r="E271" s="5" t="s">
        <v>12</v>
      </c>
      <c r="F271" s="3" t="s">
        <v>13</v>
      </c>
      <c r="G271" s="3" t="s">
        <v>13</v>
      </c>
      <c r="H271" s="3" t="s">
        <v>13</v>
      </c>
      <c r="I271" s="3">
        <v>185108000</v>
      </c>
    </row>
    <row r="272" spans="1:9" x14ac:dyDescent="0.35">
      <c r="A272" t="str">
        <f>"07026"</f>
        <v>07026</v>
      </c>
      <c r="B272" t="s">
        <v>9</v>
      </c>
      <c r="C272" t="s">
        <v>160</v>
      </c>
      <c r="D272" s="5" t="s">
        <v>11</v>
      </c>
      <c r="E272" s="5" t="s">
        <v>12</v>
      </c>
      <c r="F272" s="3" t="s">
        <v>13</v>
      </c>
      <c r="G272" s="3" t="s">
        <v>13</v>
      </c>
      <c r="H272" s="3" t="s">
        <v>13</v>
      </c>
      <c r="I272" s="3">
        <v>227219900</v>
      </c>
    </row>
    <row r="273" spans="1:9" x14ac:dyDescent="0.35">
      <c r="A273" t="str">
        <f>"07028"</f>
        <v>07028</v>
      </c>
      <c r="B273" t="s">
        <v>9</v>
      </c>
      <c r="C273" t="s">
        <v>118</v>
      </c>
      <c r="D273" s="5" t="s">
        <v>11</v>
      </c>
      <c r="E273" s="5" t="s">
        <v>12</v>
      </c>
      <c r="F273" s="3" t="s">
        <v>13</v>
      </c>
      <c r="G273" s="3" t="s">
        <v>13</v>
      </c>
      <c r="H273" s="3" t="s">
        <v>13</v>
      </c>
      <c r="I273" s="3">
        <v>503041800</v>
      </c>
    </row>
    <row r="274" spans="1:9" x14ac:dyDescent="0.35">
      <c r="A274" t="str">
        <f>"07030"</f>
        <v>07030</v>
      </c>
      <c r="B274" t="s">
        <v>9</v>
      </c>
      <c r="C274" t="s">
        <v>161</v>
      </c>
      <c r="D274" s="5" t="s">
        <v>11</v>
      </c>
      <c r="E274" s="5" t="s">
        <v>12</v>
      </c>
      <c r="F274" s="3" t="s">
        <v>13</v>
      </c>
      <c r="G274" s="3" t="s">
        <v>13</v>
      </c>
      <c r="H274" s="3" t="s">
        <v>13</v>
      </c>
      <c r="I274" s="3">
        <v>370049200</v>
      </c>
    </row>
    <row r="275" spans="1:9" x14ac:dyDescent="0.35">
      <c r="A275" t="str">
        <f>"07032"</f>
        <v>07032</v>
      </c>
      <c r="B275" t="s">
        <v>9</v>
      </c>
      <c r="C275" t="s">
        <v>162</v>
      </c>
      <c r="D275" s="5" t="s">
        <v>11</v>
      </c>
      <c r="E275" s="5" t="s">
        <v>12</v>
      </c>
      <c r="F275" s="3" t="s">
        <v>13</v>
      </c>
      <c r="G275" s="3" t="s">
        <v>13</v>
      </c>
      <c r="H275" s="3" t="s">
        <v>13</v>
      </c>
      <c r="I275" s="3">
        <v>397164700</v>
      </c>
    </row>
    <row r="276" spans="1:9" x14ac:dyDescent="0.35">
      <c r="A276" t="str">
        <f>"07034"</f>
        <v>07034</v>
      </c>
      <c r="B276" t="s">
        <v>9</v>
      </c>
      <c r="C276" t="s">
        <v>163</v>
      </c>
      <c r="D276" s="5" t="s">
        <v>11</v>
      </c>
      <c r="E276" s="5" t="s">
        <v>12</v>
      </c>
      <c r="F276" s="3" t="s">
        <v>13</v>
      </c>
      <c r="G276" s="3" t="s">
        <v>13</v>
      </c>
      <c r="H276" s="3" t="s">
        <v>13</v>
      </c>
      <c r="I276" s="3">
        <v>303863800</v>
      </c>
    </row>
    <row r="277" spans="1:9" x14ac:dyDescent="0.35">
      <c r="A277" t="str">
        <f>"07036"</f>
        <v>07036</v>
      </c>
      <c r="B277" t="s">
        <v>9</v>
      </c>
      <c r="C277" t="s">
        <v>164</v>
      </c>
      <c r="D277" s="5" t="s">
        <v>11</v>
      </c>
      <c r="E277" s="5" t="s">
        <v>12</v>
      </c>
      <c r="F277" s="3" t="s">
        <v>13</v>
      </c>
      <c r="G277" s="3" t="s">
        <v>13</v>
      </c>
      <c r="H277" s="3" t="s">
        <v>13</v>
      </c>
      <c r="I277" s="3">
        <v>233400400</v>
      </c>
    </row>
    <row r="278" spans="1:9" x14ac:dyDescent="0.35">
      <c r="A278" t="str">
        <f>"07038"</f>
        <v>07038</v>
      </c>
      <c r="B278" t="s">
        <v>9</v>
      </c>
      <c r="C278" t="s">
        <v>165</v>
      </c>
      <c r="D278" s="5" t="s">
        <v>11</v>
      </c>
      <c r="E278" s="5" t="s">
        <v>12</v>
      </c>
      <c r="F278" s="3" t="s">
        <v>13</v>
      </c>
      <c r="G278" s="3" t="s">
        <v>13</v>
      </c>
      <c r="H278" s="3" t="s">
        <v>13</v>
      </c>
      <c r="I278" s="3">
        <v>470395900</v>
      </c>
    </row>
    <row r="279" spans="1:9" x14ac:dyDescent="0.35">
      <c r="A279" t="str">
        <f>"07040"</f>
        <v>07040</v>
      </c>
      <c r="B279" t="s">
        <v>9</v>
      </c>
      <c r="C279" t="s">
        <v>166</v>
      </c>
      <c r="D279" s="5" t="s">
        <v>11</v>
      </c>
      <c r="E279" s="5" t="s">
        <v>12</v>
      </c>
      <c r="F279" s="3" t="s">
        <v>13</v>
      </c>
      <c r="G279" s="3" t="s">
        <v>13</v>
      </c>
      <c r="H279" s="3" t="s">
        <v>13</v>
      </c>
      <c r="I279" s="3">
        <v>76163400</v>
      </c>
    </row>
    <row r="280" spans="1:9" x14ac:dyDescent="0.35">
      <c r="A280" t="str">
        <f>"07042"</f>
        <v>07042</v>
      </c>
      <c r="B280" t="s">
        <v>9</v>
      </c>
      <c r="C280" t="s">
        <v>167</v>
      </c>
      <c r="D280" s="5" t="s">
        <v>11</v>
      </c>
      <c r="E280" s="5" t="s">
        <v>12</v>
      </c>
      <c r="F280" s="3" t="s">
        <v>13</v>
      </c>
      <c r="G280" s="3" t="s">
        <v>13</v>
      </c>
      <c r="H280" s="3" t="s">
        <v>13</v>
      </c>
      <c r="I280" s="3">
        <v>250546500</v>
      </c>
    </row>
    <row r="281" spans="1:9" x14ac:dyDescent="0.35">
      <c r="A281" t="s">
        <v>30</v>
      </c>
      <c r="B281" t="s">
        <v>31</v>
      </c>
      <c r="C281" t="s">
        <v>32</v>
      </c>
      <c r="D281" s="5" t="s">
        <v>11</v>
      </c>
      <c r="E281" s="5" t="s">
        <v>12</v>
      </c>
      <c r="F281" s="3" t="s">
        <v>13</v>
      </c>
      <c r="G281" s="3" t="s">
        <v>13</v>
      </c>
      <c r="H281" s="3" t="s">
        <v>13</v>
      </c>
      <c r="I281" s="3">
        <v>5594452100</v>
      </c>
    </row>
    <row r="282" spans="1:9" x14ac:dyDescent="0.35">
      <c r="A282" t="str">
        <f>"07131"</f>
        <v>07131</v>
      </c>
      <c r="B282" t="s">
        <v>33</v>
      </c>
      <c r="C282" t="s">
        <v>154</v>
      </c>
      <c r="D282" s="5" t="str">
        <f>"005"</f>
        <v>005</v>
      </c>
      <c r="E282" s="5">
        <v>2008</v>
      </c>
      <c r="F282" s="3">
        <v>4309500</v>
      </c>
      <c r="G282" s="3">
        <v>5672700</v>
      </c>
      <c r="H282" s="3">
        <v>1363200</v>
      </c>
    </row>
    <row r="283" spans="1:9" x14ac:dyDescent="0.35">
      <c r="A283" t="str">
        <f>"07131"</f>
        <v>07131</v>
      </c>
      <c r="B283" t="s">
        <v>33</v>
      </c>
      <c r="C283" t="s">
        <v>154</v>
      </c>
      <c r="D283" s="5" t="str">
        <f>"006"</f>
        <v>006</v>
      </c>
      <c r="E283" s="5">
        <v>2021</v>
      </c>
      <c r="F283" s="3">
        <v>3908600</v>
      </c>
      <c r="G283" s="3">
        <v>4243900</v>
      </c>
      <c r="H283" s="3">
        <v>335300</v>
      </c>
    </row>
    <row r="284" spans="1:9" x14ac:dyDescent="0.35">
      <c r="A284" t="str">
        <f>"07131"</f>
        <v>07131</v>
      </c>
      <c r="B284" t="s">
        <v>33</v>
      </c>
      <c r="C284" t="s">
        <v>154</v>
      </c>
      <c r="D284" s="5" t="s">
        <v>11</v>
      </c>
      <c r="E284" s="5" t="s">
        <v>12</v>
      </c>
      <c r="F284" s="3" t="s">
        <v>13</v>
      </c>
      <c r="G284" s="3" t="s">
        <v>13</v>
      </c>
      <c r="H284" s="3" t="s">
        <v>13</v>
      </c>
      <c r="I284" s="3">
        <v>126053000</v>
      </c>
    </row>
    <row r="285" spans="1:9" x14ac:dyDescent="0.35">
      <c r="A285" t="str">
        <f>"07181"</f>
        <v>07181</v>
      </c>
      <c r="B285" t="s">
        <v>33</v>
      </c>
      <c r="C285" t="s">
        <v>161</v>
      </c>
      <c r="D285" s="5" t="str">
        <f>"002"</f>
        <v>002</v>
      </c>
      <c r="E285" s="5">
        <v>2003</v>
      </c>
      <c r="F285" s="3">
        <v>18762600</v>
      </c>
      <c r="G285" s="3">
        <v>37032300</v>
      </c>
      <c r="H285" s="3">
        <v>18269700</v>
      </c>
    </row>
    <row r="286" spans="1:9" x14ac:dyDescent="0.35">
      <c r="A286" t="str">
        <f>"07181"</f>
        <v>07181</v>
      </c>
      <c r="B286" t="s">
        <v>33</v>
      </c>
      <c r="C286" t="s">
        <v>161</v>
      </c>
      <c r="D286" s="5" t="str">
        <f>"003"</f>
        <v>003</v>
      </c>
      <c r="E286" s="5">
        <v>2021</v>
      </c>
      <c r="F286" s="3">
        <v>588100</v>
      </c>
      <c r="G286" s="3">
        <v>4505900</v>
      </c>
      <c r="H286" s="3">
        <v>3917800</v>
      </c>
    </row>
    <row r="287" spans="1:9" x14ac:dyDescent="0.35">
      <c r="A287" t="str">
        <f>"07181"</f>
        <v>07181</v>
      </c>
      <c r="B287" t="s">
        <v>33</v>
      </c>
      <c r="C287" t="s">
        <v>161</v>
      </c>
      <c r="D287" s="5" t="s">
        <v>11</v>
      </c>
      <c r="E287" s="5" t="s">
        <v>12</v>
      </c>
      <c r="F287" s="3" t="s">
        <v>13</v>
      </c>
      <c r="G287" s="3" t="s">
        <v>13</v>
      </c>
      <c r="H287" s="3" t="s">
        <v>13</v>
      </c>
      <c r="I287" s="3">
        <v>109645600</v>
      </c>
    </row>
    <row r="288" spans="1:9" x14ac:dyDescent="0.35">
      <c r="A288" t="str">
        <f>"07191"</f>
        <v>07191</v>
      </c>
      <c r="B288" t="s">
        <v>33</v>
      </c>
      <c r="C288" t="s">
        <v>168</v>
      </c>
      <c r="D288" s="5" t="str">
        <f>"002"</f>
        <v>002</v>
      </c>
      <c r="E288" s="5">
        <v>2005</v>
      </c>
      <c r="F288" s="3">
        <v>2889500</v>
      </c>
      <c r="G288" s="3">
        <v>8472100</v>
      </c>
      <c r="H288" s="3">
        <v>5582600</v>
      </c>
    </row>
    <row r="289" spans="1:9" x14ac:dyDescent="0.35">
      <c r="A289" t="str">
        <f>"07191"</f>
        <v>07191</v>
      </c>
      <c r="B289" t="s">
        <v>33</v>
      </c>
      <c r="C289" t="s">
        <v>168</v>
      </c>
      <c r="D289" s="5" t="s">
        <v>11</v>
      </c>
      <c r="E289" s="5" t="s">
        <v>12</v>
      </c>
      <c r="F289" s="3" t="s">
        <v>13</v>
      </c>
      <c r="G289" s="3" t="s">
        <v>13</v>
      </c>
      <c r="H289" s="3" t="s">
        <v>13</v>
      </c>
      <c r="I289" s="3">
        <v>56374400</v>
      </c>
    </row>
    <row r="290" spans="1:9" x14ac:dyDescent="0.35">
      <c r="A290" t="s">
        <v>30</v>
      </c>
      <c r="B290" t="s">
        <v>35</v>
      </c>
      <c r="C290" t="s">
        <v>32</v>
      </c>
      <c r="D290" s="5" t="s">
        <v>11</v>
      </c>
      <c r="E290" s="5" t="s">
        <v>12</v>
      </c>
      <c r="F290" s="3" t="s">
        <v>13</v>
      </c>
      <c r="G290" s="3" t="s">
        <v>13</v>
      </c>
      <c r="H290" s="3" t="s">
        <v>13</v>
      </c>
      <c r="I290" s="3">
        <v>292073000</v>
      </c>
    </row>
    <row r="291" spans="1:9" x14ac:dyDescent="0.35">
      <c r="A291" t="s">
        <v>30</v>
      </c>
      <c r="B291" t="s">
        <v>39</v>
      </c>
      <c r="C291" t="s">
        <v>169</v>
      </c>
      <c r="D291" s="5" t="s">
        <v>11</v>
      </c>
      <c r="E291" s="5" t="s">
        <v>12</v>
      </c>
      <c r="F291" s="3" t="s">
        <v>13</v>
      </c>
      <c r="G291" s="3" t="s">
        <v>13</v>
      </c>
      <c r="H291" s="3" t="s">
        <v>13</v>
      </c>
      <c r="I291" s="3">
        <v>5886525100</v>
      </c>
    </row>
    <row r="292" spans="1:9" x14ac:dyDescent="0.35">
      <c r="A292" t="str">
        <f>"08002"</f>
        <v>08002</v>
      </c>
      <c r="B292" t="s">
        <v>9</v>
      </c>
      <c r="C292" t="s">
        <v>170</v>
      </c>
      <c r="D292" s="5" t="s">
        <v>11</v>
      </c>
      <c r="E292" s="5" t="s">
        <v>12</v>
      </c>
      <c r="F292" s="3" t="s">
        <v>13</v>
      </c>
      <c r="G292" s="3" t="s">
        <v>13</v>
      </c>
      <c r="H292" s="3" t="s">
        <v>13</v>
      </c>
      <c r="I292" s="3">
        <v>215289800</v>
      </c>
    </row>
    <row r="293" spans="1:9" x14ac:dyDescent="0.35">
      <c r="A293" t="str">
        <f>"08004"</f>
        <v>08004</v>
      </c>
      <c r="B293" t="s">
        <v>9</v>
      </c>
      <c r="C293" t="s">
        <v>171</v>
      </c>
      <c r="D293" s="5" t="s">
        <v>11</v>
      </c>
      <c r="E293" s="5" t="s">
        <v>12</v>
      </c>
      <c r="F293" s="3" t="s">
        <v>13</v>
      </c>
      <c r="G293" s="3" t="s">
        <v>13</v>
      </c>
      <c r="H293" s="3" t="s">
        <v>13</v>
      </c>
      <c r="I293" s="3">
        <v>287618200</v>
      </c>
    </row>
    <row r="294" spans="1:9" x14ac:dyDescent="0.35">
      <c r="A294" t="str">
        <f>"08006"</f>
        <v>08006</v>
      </c>
      <c r="B294" t="s">
        <v>9</v>
      </c>
      <c r="C294" t="s">
        <v>172</v>
      </c>
      <c r="D294" s="5" t="s">
        <v>11</v>
      </c>
      <c r="E294" s="5" t="s">
        <v>12</v>
      </c>
      <c r="F294" s="3" t="s">
        <v>13</v>
      </c>
      <c r="G294" s="3" t="s">
        <v>13</v>
      </c>
      <c r="H294" s="3" t="s">
        <v>13</v>
      </c>
      <c r="I294" s="3">
        <v>130019900</v>
      </c>
    </row>
    <row r="295" spans="1:9" x14ac:dyDescent="0.35">
      <c r="A295" t="str">
        <f>"08008"</f>
        <v>08008</v>
      </c>
      <c r="B295" t="s">
        <v>9</v>
      </c>
      <c r="C295" t="s">
        <v>173</v>
      </c>
      <c r="D295" s="5" t="s">
        <v>11</v>
      </c>
      <c r="E295" s="5" t="s">
        <v>12</v>
      </c>
      <c r="F295" s="3" t="s">
        <v>13</v>
      </c>
      <c r="G295" s="3" t="s">
        <v>13</v>
      </c>
      <c r="H295" s="3" t="s">
        <v>13</v>
      </c>
      <c r="I295" s="3">
        <v>224604200</v>
      </c>
    </row>
    <row r="296" spans="1:9" x14ac:dyDescent="0.35">
      <c r="A296" t="str">
        <f>"08010"</f>
        <v>08010</v>
      </c>
      <c r="B296" t="s">
        <v>9</v>
      </c>
      <c r="C296" t="s">
        <v>174</v>
      </c>
      <c r="D296" s="5" t="s">
        <v>11</v>
      </c>
      <c r="E296" s="5" t="s">
        <v>12</v>
      </c>
      <c r="F296" s="3" t="s">
        <v>13</v>
      </c>
      <c r="G296" s="3" t="s">
        <v>13</v>
      </c>
      <c r="H296" s="3" t="s">
        <v>13</v>
      </c>
      <c r="I296" s="3">
        <v>0</v>
      </c>
    </row>
    <row r="297" spans="1:9" x14ac:dyDescent="0.35">
      <c r="A297" t="str">
        <f>"08012"</f>
        <v>08012</v>
      </c>
      <c r="B297" t="s">
        <v>9</v>
      </c>
      <c r="C297" t="s">
        <v>175</v>
      </c>
      <c r="D297" s="5" t="s">
        <v>11</v>
      </c>
      <c r="E297" s="5" t="s">
        <v>12</v>
      </c>
      <c r="F297" s="3" t="s">
        <v>13</v>
      </c>
      <c r="G297" s="3" t="s">
        <v>13</v>
      </c>
      <c r="H297" s="3" t="s">
        <v>13</v>
      </c>
      <c r="I297" s="3">
        <v>260668900</v>
      </c>
    </row>
    <row r="298" spans="1:9" x14ac:dyDescent="0.35">
      <c r="A298" t="str">
        <f>"08014"</f>
        <v>08014</v>
      </c>
      <c r="B298" t="s">
        <v>9</v>
      </c>
      <c r="C298" t="s">
        <v>176</v>
      </c>
      <c r="D298" s="5" t="s">
        <v>11</v>
      </c>
      <c r="E298" s="5" t="s">
        <v>12</v>
      </c>
      <c r="F298" s="3" t="s">
        <v>13</v>
      </c>
      <c r="G298" s="3" t="s">
        <v>13</v>
      </c>
      <c r="H298" s="3" t="s">
        <v>13</v>
      </c>
      <c r="I298" s="3">
        <v>147760200</v>
      </c>
    </row>
    <row r="299" spans="1:9" x14ac:dyDescent="0.35">
      <c r="A299" t="str">
        <f>"08016"</f>
        <v>08016</v>
      </c>
      <c r="B299" t="s">
        <v>9</v>
      </c>
      <c r="C299" t="s">
        <v>177</v>
      </c>
      <c r="D299" s="5" t="s">
        <v>11</v>
      </c>
      <c r="E299" s="5" t="s">
        <v>12</v>
      </c>
      <c r="F299" s="3" t="s">
        <v>13</v>
      </c>
      <c r="G299" s="3" t="s">
        <v>13</v>
      </c>
      <c r="H299" s="3" t="s">
        <v>13</v>
      </c>
      <c r="I299" s="3">
        <v>344015500</v>
      </c>
    </row>
    <row r="300" spans="1:9" x14ac:dyDescent="0.35">
      <c r="A300" t="str">
        <f>"08018"</f>
        <v>08018</v>
      </c>
      <c r="B300" t="s">
        <v>9</v>
      </c>
      <c r="C300" t="s">
        <v>178</v>
      </c>
      <c r="D300" s="5" t="s">
        <v>11</v>
      </c>
      <c r="E300" s="5" t="s">
        <v>12</v>
      </c>
      <c r="F300" s="3" t="s">
        <v>13</v>
      </c>
      <c r="G300" s="3" t="s">
        <v>13</v>
      </c>
      <c r="H300" s="3" t="s">
        <v>13</v>
      </c>
      <c r="I300" s="3">
        <v>168488900</v>
      </c>
    </row>
    <row r="301" spans="1:9" x14ac:dyDescent="0.35">
      <c r="A301" t="s">
        <v>30</v>
      </c>
      <c r="B301" t="s">
        <v>31</v>
      </c>
      <c r="C301" t="s">
        <v>32</v>
      </c>
      <c r="D301" s="5" t="s">
        <v>11</v>
      </c>
      <c r="E301" s="5" t="s">
        <v>12</v>
      </c>
      <c r="F301" s="3" t="s">
        <v>13</v>
      </c>
      <c r="G301" s="3" t="s">
        <v>13</v>
      </c>
      <c r="H301" s="3" t="s">
        <v>13</v>
      </c>
      <c r="I301" s="3">
        <v>1778465600</v>
      </c>
    </row>
    <row r="302" spans="1:9" x14ac:dyDescent="0.35">
      <c r="A302" t="str">
        <f t="shared" ref="A302:A308" si="4">"08131"</f>
        <v>08131</v>
      </c>
      <c r="B302" t="s">
        <v>33</v>
      </c>
      <c r="C302" t="s">
        <v>174</v>
      </c>
      <c r="D302" s="5" t="str">
        <f>"001"</f>
        <v>001</v>
      </c>
      <c r="E302" s="5">
        <v>2013</v>
      </c>
      <c r="F302" s="3">
        <v>785100</v>
      </c>
      <c r="G302" s="3">
        <v>108342200</v>
      </c>
      <c r="H302" s="3">
        <v>107557100</v>
      </c>
    </row>
    <row r="303" spans="1:9" x14ac:dyDescent="0.35">
      <c r="A303" t="str">
        <f t="shared" si="4"/>
        <v>08131</v>
      </c>
      <c r="B303" t="s">
        <v>33</v>
      </c>
      <c r="C303" t="s">
        <v>174</v>
      </c>
      <c r="D303" s="5" t="str">
        <f>"002"</f>
        <v>002</v>
      </c>
      <c r="E303" s="5">
        <v>2019</v>
      </c>
      <c r="F303" s="3">
        <v>4489900</v>
      </c>
      <c r="G303" s="3">
        <v>47922900</v>
      </c>
      <c r="H303" s="3">
        <v>43433000</v>
      </c>
    </row>
    <row r="304" spans="1:9" x14ac:dyDescent="0.35">
      <c r="A304" t="str">
        <f t="shared" si="4"/>
        <v>08131</v>
      </c>
      <c r="B304" t="s">
        <v>33</v>
      </c>
      <c r="C304" t="s">
        <v>174</v>
      </c>
      <c r="D304" s="5" t="str">
        <f>"003"</f>
        <v>003</v>
      </c>
      <c r="E304" s="5">
        <v>2020</v>
      </c>
      <c r="F304" s="3">
        <v>193500</v>
      </c>
      <c r="G304" s="3">
        <v>25400600</v>
      </c>
      <c r="H304" s="3">
        <v>25207100</v>
      </c>
    </row>
    <row r="305" spans="1:9" x14ac:dyDescent="0.35">
      <c r="A305" t="str">
        <f t="shared" si="4"/>
        <v>08131</v>
      </c>
      <c r="B305" t="s">
        <v>33</v>
      </c>
      <c r="C305" t="s">
        <v>174</v>
      </c>
      <c r="D305" s="5" t="str">
        <f>"004"</f>
        <v>004</v>
      </c>
      <c r="E305" s="5">
        <v>2020</v>
      </c>
      <c r="F305" s="3">
        <v>423000</v>
      </c>
      <c r="G305" s="3">
        <v>105182400</v>
      </c>
      <c r="H305" s="3">
        <v>104759400</v>
      </c>
    </row>
    <row r="306" spans="1:9" x14ac:dyDescent="0.35">
      <c r="A306" t="str">
        <f t="shared" si="4"/>
        <v>08131</v>
      </c>
      <c r="B306" t="s">
        <v>33</v>
      </c>
      <c r="C306" t="s">
        <v>174</v>
      </c>
      <c r="D306" s="5" t="str">
        <f>"005"</f>
        <v>005</v>
      </c>
      <c r="E306" s="5">
        <v>2023</v>
      </c>
      <c r="F306" s="3">
        <v>240800</v>
      </c>
      <c r="G306" s="3">
        <v>0</v>
      </c>
      <c r="H306" s="3">
        <v>0</v>
      </c>
    </row>
    <row r="307" spans="1:9" x14ac:dyDescent="0.35">
      <c r="A307" t="str">
        <f t="shared" si="4"/>
        <v>08131</v>
      </c>
      <c r="B307" t="s">
        <v>33</v>
      </c>
      <c r="C307" t="s">
        <v>174</v>
      </c>
      <c r="D307" s="5" t="str">
        <f>"006"</f>
        <v>006</v>
      </c>
      <c r="E307" s="5">
        <v>2023</v>
      </c>
      <c r="F307" s="3">
        <v>562600</v>
      </c>
      <c r="G307" s="3">
        <v>27849300</v>
      </c>
      <c r="H307" s="3">
        <v>27286700</v>
      </c>
    </row>
    <row r="308" spans="1:9" x14ac:dyDescent="0.35">
      <c r="A308" t="str">
        <f t="shared" si="4"/>
        <v>08131</v>
      </c>
      <c r="B308" t="s">
        <v>33</v>
      </c>
      <c r="C308" t="s">
        <v>174</v>
      </c>
      <c r="D308" s="5" t="s">
        <v>11</v>
      </c>
      <c r="E308" s="5" t="s">
        <v>12</v>
      </c>
      <c r="F308" s="3" t="s">
        <v>13</v>
      </c>
      <c r="G308" s="3" t="s">
        <v>13</v>
      </c>
      <c r="H308" s="3" t="s">
        <v>13</v>
      </c>
      <c r="I308" s="3">
        <v>2358984800</v>
      </c>
    </row>
    <row r="309" spans="1:9" x14ac:dyDescent="0.35">
      <c r="A309" t="str">
        <f>"08136"</f>
        <v>08136</v>
      </c>
      <c r="B309" t="s">
        <v>33</v>
      </c>
      <c r="C309" t="s">
        <v>179</v>
      </c>
      <c r="D309" s="5" t="str">
        <f>"002"</f>
        <v>002</v>
      </c>
      <c r="E309" s="5">
        <v>2007</v>
      </c>
      <c r="F309" s="3">
        <v>2353300</v>
      </c>
      <c r="G309" s="3">
        <v>25237700</v>
      </c>
      <c r="H309" s="3">
        <v>22884400</v>
      </c>
    </row>
    <row r="310" spans="1:9" x14ac:dyDescent="0.35">
      <c r="A310" t="str">
        <f>"08136"</f>
        <v>08136</v>
      </c>
      <c r="B310" t="s">
        <v>33</v>
      </c>
      <c r="C310" t="s">
        <v>179</v>
      </c>
      <c r="D310" s="5" t="s">
        <v>11</v>
      </c>
      <c r="E310" s="5" t="s">
        <v>12</v>
      </c>
      <c r="F310" s="3" t="s">
        <v>13</v>
      </c>
      <c r="G310" s="3" t="s">
        <v>13</v>
      </c>
      <c r="H310" s="3" t="s">
        <v>13</v>
      </c>
      <c r="I310" s="3">
        <v>127533000</v>
      </c>
    </row>
    <row r="311" spans="1:9" x14ac:dyDescent="0.35">
      <c r="A311" t="str">
        <f>"08160"</f>
        <v>08160</v>
      </c>
      <c r="B311" t="s">
        <v>33</v>
      </c>
      <c r="C311" t="s">
        <v>180</v>
      </c>
      <c r="D311" s="5" t="s">
        <v>11</v>
      </c>
      <c r="E311" s="5" t="s">
        <v>12</v>
      </c>
      <c r="F311" s="3" t="s">
        <v>13</v>
      </c>
      <c r="G311" s="3" t="s">
        <v>13</v>
      </c>
      <c r="H311" s="3" t="s">
        <v>13</v>
      </c>
      <c r="I311" s="3">
        <v>27346600</v>
      </c>
    </row>
    <row r="312" spans="1:9" x14ac:dyDescent="0.35">
      <c r="A312" t="str">
        <f>"08179"</f>
        <v>08179</v>
      </c>
      <c r="B312" t="s">
        <v>33</v>
      </c>
      <c r="C312" t="s">
        <v>181</v>
      </c>
      <c r="D312" s="5" t="str">
        <f>"002"</f>
        <v>002</v>
      </c>
      <c r="E312" s="5">
        <v>2013</v>
      </c>
      <c r="F312" s="3">
        <v>2827500</v>
      </c>
      <c r="G312" s="3">
        <v>6194900</v>
      </c>
      <c r="H312" s="3">
        <v>3367400</v>
      </c>
    </row>
    <row r="313" spans="1:9" x14ac:dyDescent="0.35">
      <c r="A313" t="str">
        <f>"08179"</f>
        <v>08179</v>
      </c>
      <c r="B313" t="s">
        <v>33</v>
      </c>
      <c r="C313" t="s">
        <v>181</v>
      </c>
      <c r="D313" s="5" t="str">
        <f>"003"</f>
        <v>003</v>
      </c>
      <c r="E313" s="5">
        <v>2013</v>
      </c>
      <c r="F313" s="3">
        <v>8668600</v>
      </c>
      <c r="G313" s="3">
        <v>18986500</v>
      </c>
      <c r="H313" s="3">
        <v>10317900</v>
      </c>
    </row>
    <row r="314" spans="1:9" x14ac:dyDescent="0.35">
      <c r="A314" t="str">
        <f>"08179"</f>
        <v>08179</v>
      </c>
      <c r="B314" t="s">
        <v>33</v>
      </c>
      <c r="C314" t="s">
        <v>181</v>
      </c>
      <c r="D314" s="5" t="s">
        <v>11</v>
      </c>
      <c r="E314" s="5" t="s">
        <v>12</v>
      </c>
      <c r="F314" s="3" t="s">
        <v>13</v>
      </c>
      <c r="G314" s="3" t="s">
        <v>13</v>
      </c>
      <c r="H314" s="3" t="s">
        <v>13</v>
      </c>
      <c r="I314" s="3">
        <v>566388200</v>
      </c>
    </row>
    <row r="315" spans="1:9" x14ac:dyDescent="0.35">
      <c r="A315" t="str">
        <f>"08181"</f>
        <v>08181</v>
      </c>
      <c r="B315" t="s">
        <v>33</v>
      </c>
      <c r="C315" t="s">
        <v>177</v>
      </c>
      <c r="D315" s="5" t="s">
        <v>11</v>
      </c>
      <c r="E315" s="5" t="s">
        <v>12</v>
      </c>
      <c r="F315" s="3" t="s">
        <v>13</v>
      </c>
      <c r="G315" s="3" t="s">
        <v>13</v>
      </c>
      <c r="H315" s="3" t="s">
        <v>13</v>
      </c>
      <c r="I315" s="3">
        <v>134041300</v>
      </c>
    </row>
    <row r="316" spans="1:9" x14ac:dyDescent="0.35">
      <c r="A316" t="s">
        <v>30</v>
      </c>
      <c r="B316" t="s">
        <v>35</v>
      </c>
      <c r="C316" t="s">
        <v>32</v>
      </c>
      <c r="D316" s="5" t="s">
        <v>11</v>
      </c>
      <c r="E316" s="5" t="s">
        <v>12</v>
      </c>
      <c r="F316" s="3" t="s">
        <v>13</v>
      </c>
      <c r="G316" s="3" t="s">
        <v>13</v>
      </c>
      <c r="H316" s="3" t="s">
        <v>13</v>
      </c>
      <c r="I316" s="3">
        <v>3214293900</v>
      </c>
    </row>
    <row r="317" spans="1:9" x14ac:dyDescent="0.35">
      <c r="A317" t="str">
        <f>"08201"</f>
        <v>08201</v>
      </c>
      <c r="B317" t="s">
        <v>36</v>
      </c>
      <c r="C317" t="s">
        <v>182</v>
      </c>
      <c r="D317" s="5" t="str">
        <f>"013"</f>
        <v>013</v>
      </c>
      <c r="E317" s="5">
        <v>2023</v>
      </c>
      <c r="F317" s="3">
        <v>70716500</v>
      </c>
      <c r="G317" s="3">
        <v>137882200</v>
      </c>
      <c r="H317" s="3">
        <v>67165700</v>
      </c>
    </row>
    <row r="318" spans="1:9" x14ac:dyDescent="0.35">
      <c r="A318" t="str">
        <f>"08201"</f>
        <v>08201</v>
      </c>
      <c r="B318" t="s">
        <v>36</v>
      </c>
      <c r="C318" t="s">
        <v>182</v>
      </c>
      <c r="D318" s="5" t="s">
        <v>11</v>
      </c>
      <c r="E318" s="5" t="s">
        <v>12</v>
      </c>
      <c r="F318" s="3" t="s">
        <v>13</v>
      </c>
      <c r="G318" s="3" t="s">
        <v>13</v>
      </c>
      <c r="H318" s="3" t="s">
        <v>13</v>
      </c>
      <c r="I318" s="3">
        <v>1432164800</v>
      </c>
    </row>
    <row r="319" spans="1:9" x14ac:dyDescent="0.35">
      <c r="A319" t="str">
        <f>"08206"</f>
        <v>08206</v>
      </c>
      <c r="B319" t="s">
        <v>36</v>
      </c>
      <c r="C319" t="s">
        <v>170</v>
      </c>
      <c r="D319" s="5" t="str">
        <f>"002"</f>
        <v>002</v>
      </c>
      <c r="E319" s="5">
        <v>2006</v>
      </c>
      <c r="F319" s="3">
        <v>945900</v>
      </c>
      <c r="G319" s="3">
        <v>8269200</v>
      </c>
      <c r="H319" s="3">
        <v>7323300</v>
      </c>
    </row>
    <row r="320" spans="1:9" x14ac:dyDescent="0.35">
      <c r="A320" t="str">
        <f>"08206"</f>
        <v>08206</v>
      </c>
      <c r="B320" t="s">
        <v>36</v>
      </c>
      <c r="C320" t="s">
        <v>170</v>
      </c>
      <c r="D320" s="5" t="str">
        <f>"003"</f>
        <v>003</v>
      </c>
      <c r="E320" s="5">
        <v>2007</v>
      </c>
      <c r="F320" s="3">
        <v>127200</v>
      </c>
      <c r="G320" s="3">
        <v>16412000</v>
      </c>
      <c r="H320" s="3">
        <v>16284800</v>
      </c>
    </row>
    <row r="321" spans="1:9" x14ac:dyDescent="0.35">
      <c r="A321" t="str">
        <f>"08206"</f>
        <v>08206</v>
      </c>
      <c r="B321" t="s">
        <v>36</v>
      </c>
      <c r="C321" t="s">
        <v>170</v>
      </c>
      <c r="D321" s="5" t="str">
        <f>"004"</f>
        <v>004</v>
      </c>
      <c r="E321" s="5">
        <v>2007</v>
      </c>
      <c r="F321" s="3">
        <v>4829100</v>
      </c>
      <c r="G321" s="3">
        <v>21500000</v>
      </c>
      <c r="H321" s="3">
        <v>16670900</v>
      </c>
    </row>
    <row r="322" spans="1:9" x14ac:dyDescent="0.35">
      <c r="A322" t="str">
        <f>"08206"</f>
        <v>08206</v>
      </c>
      <c r="B322" t="s">
        <v>36</v>
      </c>
      <c r="C322" t="s">
        <v>170</v>
      </c>
      <c r="D322" s="5" t="str">
        <f>"005E"</f>
        <v>005E</v>
      </c>
      <c r="E322" s="5">
        <v>2018</v>
      </c>
      <c r="F322" s="3">
        <v>314601</v>
      </c>
      <c r="G322" s="3">
        <v>15851500</v>
      </c>
      <c r="H322" s="3">
        <v>15536899</v>
      </c>
    </row>
    <row r="323" spans="1:9" x14ac:dyDescent="0.35">
      <c r="A323" t="str">
        <f>"08206"</f>
        <v>08206</v>
      </c>
      <c r="B323" t="s">
        <v>36</v>
      </c>
      <c r="C323" t="s">
        <v>170</v>
      </c>
      <c r="D323" s="5" t="s">
        <v>11</v>
      </c>
      <c r="E323" s="5" t="s">
        <v>12</v>
      </c>
      <c r="F323" s="3" t="s">
        <v>13</v>
      </c>
      <c r="G323" s="3" t="s">
        <v>13</v>
      </c>
      <c r="H323" s="3" t="s">
        <v>13</v>
      </c>
      <c r="I323" s="3">
        <v>358139001</v>
      </c>
    </row>
    <row r="324" spans="1:9" x14ac:dyDescent="0.35">
      <c r="A324" t="str">
        <f t="shared" ref="A324:A329" si="5">"08211"</f>
        <v>08211</v>
      </c>
      <c r="B324" t="s">
        <v>36</v>
      </c>
      <c r="C324" t="s">
        <v>173</v>
      </c>
      <c r="D324" s="5" t="str">
        <f>"004"</f>
        <v>004</v>
      </c>
      <c r="E324" s="5">
        <v>2005</v>
      </c>
      <c r="F324" s="3">
        <v>2023800</v>
      </c>
      <c r="G324" s="3">
        <v>6798600</v>
      </c>
      <c r="H324" s="3">
        <v>4774800</v>
      </c>
    </row>
    <row r="325" spans="1:9" x14ac:dyDescent="0.35">
      <c r="A325" t="str">
        <f t="shared" si="5"/>
        <v>08211</v>
      </c>
      <c r="B325" t="s">
        <v>36</v>
      </c>
      <c r="C325" t="s">
        <v>173</v>
      </c>
      <c r="D325" s="5" t="str">
        <f>"006"</f>
        <v>006</v>
      </c>
      <c r="E325" s="5">
        <v>2017</v>
      </c>
      <c r="F325" s="3">
        <v>996400</v>
      </c>
      <c r="G325" s="3">
        <v>33882600</v>
      </c>
      <c r="H325" s="3">
        <v>32886200</v>
      </c>
    </row>
    <row r="326" spans="1:9" x14ac:dyDescent="0.35">
      <c r="A326" t="str">
        <f t="shared" si="5"/>
        <v>08211</v>
      </c>
      <c r="B326" t="s">
        <v>36</v>
      </c>
      <c r="C326" t="s">
        <v>173</v>
      </c>
      <c r="D326" s="5" t="str">
        <f>"007"</f>
        <v>007</v>
      </c>
      <c r="E326" s="5">
        <v>2017</v>
      </c>
      <c r="F326" s="3">
        <v>45800</v>
      </c>
      <c r="G326" s="3">
        <v>556500</v>
      </c>
      <c r="H326" s="3">
        <v>510700</v>
      </c>
    </row>
    <row r="327" spans="1:9" x14ac:dyDescent="0.35">
      <c r="A327" t="str">
        <f t="shared" si="5"/>
        <v>08211</v>
      </c>
      <c r="B327" t="s">
        <v>36</v>
      </c>
      <c r="C327" t="s">
        <v>173</v>
      </c>
      <c r="D327" s="5" t="str">
        <f>"008"</f>
        <v>008</v>
      </c>
      <c r="E327" s="5">
        <v>2020</v>
      </c>
      <c r="F327" s="3">
        <v>3409900</v>
      </c>
      <c r="G327" s="3">
        <v>7297400</v>
      </c>
      <c r="H327" s="3">
        <v>3887500</v>
      </c>
    </row>
    <row r="328" spans="1:9" x14ac:dyDescent="0.35">
      <c r="A328" t="str">
        <f t="shared" si="5"/>
        <v>08211</v>
      </c>
      <c r="B328" t="s">
        <v>36</v>
      </c>
      <c r="C328" t="s">
        <v>173</v>
      </c>
      <c r="D328" s="5" t="str">
        <f>"009"</f>
        <v>009</v>
      </c>
      <c r="E328" s="5">
        <v>2024</v>
      </c>
      <c r="F328" s="3">
        <v>4225500</v>
      </c>
      <c r="G328" s="3">
        <v>4772300</v>
      </c>
      <c r="H328" s="3">
        <v>546800</v>
      </c>
    </row>
    <row r="329" spans="1:9" x14ac:dyDescent="0.35">
      <c r="A329" t="str">
        <f t="shared" si="5"/>
        <v>08211</v>
      </c>
      <c r="B329" t="s">
        <v>36</v>
      </c>
      <c r="C329" t="s">
        <v>173</v>
      </c>
      <c r="D329" s="5" t="s">
        <v>11</v>
      </c>
      <c r="E329" s="5" t="s">
        <v>12</v>
      </c>
      <c r="F329" s="3" t="s">
        <v>13</v>
      </c>
      <c r="G329" s="3" t="s">
        <v>13</v>
      </c>
      <c r="H329" s="3" t="s">
        <v>13</v>
      </c>
      <c r="I329" s="3">
        <v>460645800</v>
      </c>
    </row>
    <row r="330" spans="1:9" x14ac:dyDescent="0.35">
      <c r="A330" t="str">
        <f>"08231"</f>
        <v>08231</v>
      </c>
      <c r="B330" t="s">
        <v>36</v>
      </c>
      <c r="C330" t="s">
        <v>183</v>
      </c>
      <c r="D330" s="5" t="s">
        <v>11</v>
      </c>
      <c r="E330" s="5" t="s">
        <v>12</v>
      </c>
      <c r="F330" s="3" t="s">
        <v>13</v>
      </c>
      <c r="G330" s="3" t="s">
        <v>13</v>
      </c>
      <c r="H330" s="3" t="s">
        <v>13</v>
      </c>
      <c r="I330" s="3">
        <v>78600</v>
      </c>
    </row>
    <row r="331" spans="1:9" x14ac:dyDescent="0.35">
      <c r="A331" t="str">
        <f>"08241"</f>
        <v>08241</v>
      </c>
      <c r="B331" t="s">
        <v>36</v>
      </c>
      <c r="C331" t="s">
        <v>184</v>
      </c>
      <c r="D331" s="5" t="str">
        <f>"005"</f>
        <v>005</v>
      </c>
      <c r="E331" s="5">
        <v>2014</v>
      </c>
      <c r="F331" s="3">
        <v>8445900</v>
      </c>
      <c r="G331" s="3">
        <v>31498800</v>
      </c>
      <c r="H331" s="3">
        <v>23052900</v>
      </c>
    </row>
    <row r="332" spans="1:9" x14ac:dyDescent="0.35">
      <c r="A332" t="str">
        <f>"08241"</f>
        <v>08241</v>
      </c>
      <c r="B332" t="s">
        <v>36</v>
      </c>
      <c r="C332" t="s">
        <v>184</v>
      </c>
      <c r="D332" s="5" t="s">
        <v>11</v>
      </c>
      <c r="E332" s="5" t="s">
        <v>12</v>
      </c>
      <c r="F332" s="3" t="s">
        <v>13</v>
      </c>
      <c r="G332" s="3" t="s">
        <v>13</v>
      </c>
      <c r="H332" s="3" t="s">
        <v>13</v>
      </c>
      <c r="I332" s="3">
        <v>43934000</v>
      </c>
    </row>
    <row r="333" spans="1:9" x14ac:dyDescent="0.35">
      <c r="A333" t="str">
        <f>"08251"</f>
        <v>08251</v>
      </c>
      <c r="B333" t="s">
        <v>36</v>
      </c>
      <c r="C333" t="s">
        <v>185</v>
      </c>
      <c r="D333" s="5" t="str">
        <f>"012"</f>
        <v>012</v>
      </c>
      <c r="E333" s="5">
        <v>2011</v>
      </c>
      <c r="F333" s="3">
        <v>21715600</v>
      </c>
      <c r="G333" s="3">
        <v>135149000</v>
      </c>
      <c r="H333" s="3">
        <v>113433400</v>
      </c>
    </row>
    <row r="334" spans="1:9" x14ac:dyDescent="0.35">
      <c r="A334" t="str">
        <f>"08251"</f>
        <v>08251</v>
      </c>
      <c r="B334" t="s">
        <v>36</v>
      </c>
      <c r="C334" t="s">
        <v>185</v>
      </c>
      <c r="D334" s="5" t="s">
        <v>11</v>
      </c>
      <c r="E334" s="5" t="s">
        <v>12</v>
      </c>
      <c r="F334" s="3" t="s">
        <v>13</v>
      </c>
      <c r="G334" s="3" t="s">
        <v>13</v>
      </c>
      <c r="H334" s="3" t="s">
        <v>13</v>
      </c>
      <c r="I334" s="3">
        <v>491388600</v>
      </c>
    </row>
    <row r="335" spans="1:9" x14ac:dyDescent="0.35">
      <c r="A335" t="str">
        <f>"08261"</f>
        <v>08261</v>
      </c>
      <c r="B335" t="s">
        <v>36</v>
      </c>
      <c r="C335" t="s">
        <v>175</v>
      </c>
      <c r="D335" s="5" t="str">
        <f>"004"</f>
        <v>004</v>
      </c>
      <c r="E335" s="5">
        <v>2018</v>
      </c>
      <c r="F335" s="3">
        <v>13229100</v>
      </c>
      <c r="G335" s="3">
        <v>21947900</v>
      </c>
      <c r="H335" s="3">
        <v>8718800</v>
      </c>
    </row>
    <row r="336" spans="1:9" x14ac:dyDescent="0.35">
      <c r="A336" t="str">
        <f>"08261"</f>
        <v>08261</v>
      </c>
      <c r="B336" t="s">
        <v>36</v>
      </c>
      <c r="C336" t="s">
        <v>175</v>
      </c>
      <c r="D336" s="5" t="str">
        <f>"005"</f>
        <v>005</v>
      </c>
      <c r="E336" s="5">
        <v>2018</v>
      </c>
      <c r="F336" s="3">
        <v>1286900</v>
      </c>
      <c r="G336" s="3">
        <v>2614100</v>
      </c>
      <c r="H336" s="3">
        <v>1327200</v>
      </c>
    </row>
    <row r="337" spans="1:9" x14ac:dyDescent="0.35">
      <c r="A337" t="str">
        <f>"08261"</f>
        <v>08261</v>
      </c>
      <c r="B337" t="s">
        <v>36</v>
      </c>
      <c r="C337" t="s">
        <v>175</v>
      </c>
      <c r="D337" s="5" t="str">
        <f>"006E"</f>
        <v>006E</v>
      </c>
      <c r="E337" s="5">
        <v>2019</v>
      </c>
      <c r="F337" s="3">
        <v>1</v>
      </c>
      <c r="G337" s="3">
        <v>1991800</v>
      </c>
      <c r="H337" s="3">
        <v>1991799</v>
      </c>
    </row>
    <row r="338" spans="1:9" x14ac:dyDescent="0.35">
      <c r="A338" t="str">
        <f>"08261"</f>
        <v>08261</v>
      </c>
      <c r="B338" t="s">
        <v>36</v>
      </c>
      <c r="C338" t="s">
        <v>175</v>
      </c>
      <c r="D338" s="5" t="s">
        <v>11</v>
      </c>
      <c r="E338" s="5" t="s">
        <v>12</v>
      </c>
      <c r="F338" s="3" t="s">
        <v>13</v>
      </c>
      <c r="G338" s="3" t="s">
        <v>13</v>
      </c>
      <c r="H338" s="3" t="s">
        <v>13</v>
      </c>
      <c r="I338" s="3">
        <v>351978401</v>
      </c>
    </row>
    <row r="339" spans="1:9" x14ac:dyDescent="0.35">
      <c r="A339" t="s">
        <v>30</v>
      </c>
      <c r="B339" t="s">
        <v>38</v>
      </c>
      <c r="C339" t="s">
        <v>32</v>
      </c>
      <c r="D339" s="5" t="s">
        <v>11</v>
      </c>
      <c r="E339" s="5" t="s">
        <v>12</v>
      </c>
      <c r="F339" s="3" t="s">
        <v>13</v>
      </c>
      <c r="G339" s="3" t="s">
        <v>13</v>
      </c>
      <c r="H339" s="3" t="s">
        <v>13</v>
      </c>
      <c r="I339" s="3">
        <v>3138329202</v>
      </c>
    </row>
    <row r="340" spans="1:9" x14ac:dyDescent="0.35">
      <c r="A340" t="s">
        <v>30</v>
      </c>
      <c r="B340" t="s">
        <v>39</v>
      </c>
      <c r="C340" t="s">
        <v>186</v>
      </c>
      <c r="D340" s="5" t="s">
        <v>11</v>
      </c>
      <c r="E340" s="5" t="s">
        <v>12</v>
      </c>
      <c r="F340" s="3" t="s">
        <v>13</v>
      </c>
      <c r="G340" s="3" t="s">
        <v>13</v>
      </c>
      <c r="H340" s="3" t="s">
        <v>13</v>
      </c>
      <c r="I340" s="3">
        <v>8131088702</v>
      </c>
    </row>
    <row r="341" spans="1:9" x14ac:dyDescent="0.35">
      <c r="A341" t="str">
        <f>"09002"</f>
        <v>09002</v>
      </c>
      <c r="B341" t="s">
        <v>9</v>
      </c>
      <c r="C341" t="s">
        <v>187</v>
      </c>
      <c r="D341" s="5" t="s">
        <v>11</v>
      </c>
      <c r="E341" s="5" t="s">
        <v>12</v>
      </c>
      <c r="F341" s="3" t="s">
        <v>13</v>
      </c>
      <c r="G341" s="3" t="s">
        <v>13</v>
      </c>
      <c r="H341" s="3" t="s">
        <v>13</v>
      </c>
      <c r="I341" s="3">
        <v>564284200</v>
      </c>
    </row>
    <row r="342" spans="1:9" x14ac:dyDescent="0.35">
      <c r="A342" t="str">
        <f>"09004"</f>
        <v>09004</v>
      </c>
      <c r="B342" t="s">
        <v>9</v>
      </c>
      <c r="C342" t="s">
        <v>188</v>
      </c>
      <c r="D342" s="5" t="s">
        <v>11</v>
      </c>
      <c r="E342" s="5" t="s">
        <v>12</v>
      </c>
      <c r="F342" s="3" t="s">
        <v>13</v>
      </c>
      <c r="G342" s="3" t="s">
        <v>13</v>
      </c>
      <c r="H342" s="3" t="s">
        <v>13</v>
      </c>
      <c r="I342" s="3">
        <v>149889400</v>
      </c>
    </row>
    <row r="343" spans="1:9" x14ac:dyDescent="0.35">
      <c r="A343" t="str">
        <f>"09006"</f>
        <v>09006</v>
      </c>
      <c r="B343" t="s">
        <v>9</v>
      </c>
      <c r="C343" t="s">
        <v>189</v>
      </c>
      <c r="D343" s="5" t="s">
        <v>11</v>
      </c>
      <c r="E343" s="5" t="s">
        <v>12</v>
      </c>
      <c r="F343" s="3" t="s">
        <v>13</v>
      </c>
      <c r="G343" s="3" t="s">
        <v>13</v>
      </c>
      <c r="H343" s="3" t="s">
        <v>13</v>
      </c>
      <c r="I343" s="3">
        <v>123796700</v>
      </c>
    </row>
    <row r="344" spans="1:9" x14ac:dyDescent="0.35">
      <c r="A344" t="str">
        <f>"09008"</f>
        <v>09008</v>
      </c>
      <c r="B344" t="s">
        <v>9</v>
      </c>
      <c r="C344" t="s">
        <v>190</v>
      </c>
      <c r="D344" s="5" t="s">
        <v>11</v>
      </c>
      <c r="E344" s="5" t="s">
        <v>12</v>
      </c>
      <c r="F344" s="3" t="s">
        <v>13</v>
      </c>
      <c r="G344" s="3" t="s">
        <v>13</v>
      </c>
      <c r="H344" s="3" t="s">
        <v>13</v>
      </c>
      <c r="I344" s="3">
        <v>229315800</v>
      </c>
    </row>
    <row r="345" spans="1:9" x14ac:dyDescent="0.35">
      <c r="A345" t="str">
        <f>"09010"</f>
        <v>09010</v>
      </c>
      <c r="B345" t="s">
        <v>9</v>
      </c>
      <c r="C345" t="s">
        <v>191</v>
      </c>
      <c r="D345" s="5" t="s">
        <v>11</v>
      </c>
      <c r="E345" s="5" t="s">
        <v>12</v>
      </c>
      <c r="F345" s="3" t="s">
        <v>13</v>
      </c>
      <c r="G345" s="3" t="s">
        <v>13</v>
      </c>
      <c r="H345" s="3" t="s">
        <v>13</v>
      </c>
      <c r="I345" s="3">
        <v>196688100</v>
      </c>
    </row>
    <row r="346" spans="1:9" x14ac:dyDescent="0.35">
      <c r="A346" t="str">
        <f>"09012"</f>
        <v>09012</v>
      </c>
      <c r="B346" t="s">
        <v>9</v>
      </c>
      <c r="C346" t="s">
        <v>192</v>
      </c>
      <c r="D346" s="5" t="s">
        <v>11</v>
      </c>
      <c r="E346" s="5" t="s">
        <v>12</v>
      </c>
      <c r="F346" s="3" t="s">
        <v>13</v>
      </c>
      <c r="G346" s="3" t="s">
        <v>13</v>
      </c>
      <c r="H346" s="3" t="s">
        <v>13</v>
      </c>
      <c r="I346" s="3">
        <v>180941100</v>
      </c>
    </row>
    <row r="347" spans="1:9" x14ac:dyDescent="0.35">
      <c r="A347" t="str">
        <f>"09014"</f>
        <v>09014</v>
      </c>
      <c r="B347" t="s">
        <v>9</v>
      </c>
      <c r="C347" t="s">
        <v>15</v>
      </c>
      <c r="D347" s="5" t="s">
        <v>11</v>
      </c>
      <c r="E347" s="5" t="s">
        <v>12</v>
      </c>
      <c r="F347" s="3" t="s">
        <v>13</v>
      </c>
      <c r="G347" s="3" t="s">
        <v>13</v>
      </c>
      <c r="H347" s="3" t="s">
        <v>13</v>
      </c>
      <c r="I347" s="3">
        <v>195408900</v>
      </c>
    </row>
    <row r="348" spans="1:9" x14ac:dyDescent="0.35">
      <c r="A348" t="str">
        <f>"09016"</f>
        <v>09016</v>
      </c>
      <c r="B348" t="s">
        <v>9</v>
      </c>
      <c r="C348" t="s">
        <v>193</v>
      </c>
      <c r="D348" s="5" t="s">
        <v>11</v>
      </c>
      <c r="E348" s="5" t="s">
        <v>12</v>
      </c>
      <c r="F348" s="3" t="s">
        <v>13</v>
      </c>
      <c r="G348" s="3" t="s">
        <v>13</v>
      </c>
      <c r="H348" s="3" t="s">
        <v>13</v>
      </c>
      <c r="I348" s="3">
        <v>128538600</v>
      </c>
    </row>
    <row r="349" spans="1:9" x14ac:dyDescent="0.35">
      <c r="A349" t="str">
        <f>"09018"</f>
        <v>09018</v>
      </c>
      <c r="B349" t="s">
        <v>9</v>
      </c>
      <c r="C349" t="s">
        <v>194</v>
      </c>
      <c r="D349" s="5" t="s">
        <v>11</v>
      </c>
      <c r="E349" s="5" t="s">
        <v>12</v>
      </c>
      <c r="F349" s="3" t="s">
        <v>13</v>
      </c>
      <c r="G349" s="3" t="s">
        <v>13</v>
      </c>
      <c r="H349" s="3" t="s">
        <v>13</v>
      </c>
      <c r="I349" s="3">
        <v>133143000</v>
      </c>
    </row>
    <row r="350" spans="1:9" x14ac:dyDescent="0.35">
      <c r="A350" t="str">
        <f>"09020"</f>
        <v>09020</v>
      </c>
      <c r="B350" t="s">
        <v>9</v>
      </c>
      <c r="C350" t="s">
        <v>195</v>
      </c>
      <c r="D350" s="5" t="s">
        <v>11</v>
      </c>
      <c r="E350" s="5" t="s">
        <v>12</v>
      </c>
      <c r="F350" s="3" t="s">
        <v>13</v>
      </c>
      <c r="G350" s="3" t="s">
        <v>13</v>
      </c>
      <c r="H350" s="3" t="s">
        <v>13</v>
      </c>
      <c r="I350" s="3">
        <v>802257200</v>
      </c>
    </row>
    <row r="351" spans="1:9" x14ac:dyDescent="0.35">
      <c r="A351" t="str">
        <f>"09022"</f>
        <v>09022</v>
      </c>
      <c r="B351" t="s">
        <v>9</v>
      </c>
      <c r="C351" t="s">
        <v>196</v>
      </c>
      <c r="D351" s="5" t="s">
        <v>11</v>
      </c>
      <c r="E351" s="5" t="s">
        <v>12</v>
      </c>
      <c r="F351" s="3" t="s">
        <v>13</v>
      </c>
      <c r="G351" s="3" t="s">
        <v>13</v>
      </c>
      <c r="H351" s="3" t="s">
        <v>13</v>
      </c>
      <c r="I351" s="3">
        <v>149504300</v>
      </c>
    </row>
    <row r="352" spans="1:9" x14ac:dyDescent="0.35">
      <c r="A352" t="str">
        <f>"09024"</f>
        <v>09024</v>
      </c>
      <c r="B352" t="s">
        <v>9</v>
      </c>
      <c r="C352" t="s">
        <v>197</v>
      </c>
      <c r="D352" s="5" t="s">
        <v>11</v>
      </c>
      <c r="E352" s="5" t="s">
        <v>12</v>
      </c>
      <c r="F352" s="3" t="s">
        <v>13</v>
      </c>
      <c r="G352" s="3" t="s">
        <v>13</v>
      </c>
      <c r="H352" s="3" t="s">
        <v>13</v>
      </c>
      <c r="I352" s="3">
        <v>81189100</v>
      </c>
    </row>
    <row r="353" spans="1:9" x14ac:dyDescent="0.35">
      <c r="A353" t="str">
        <f>"09026"</f>
        <v>09026</v>
      </c>
      <c r="B353" t="s">
        <v>9</v>
      </c>
      <c r="C353" t="s">
        <v>198</v>
      </c>
      <c r="D353" s="5" t="s">
        <v>11</v>
      </c>
      <c r="E353" s="5" t="s">
        <v>12</v>
      </c>
      <c r="F353" s="3" t="s">
        <v>13</v>
      </c>
      <c r="G353" s="3" t="s">
        <v>13</v>
      </c>
      <c r="H353" s="3" t="s">
        <v>13</v>
      </c>
      <c r="I353" s="3">
        <v>118903400</v>
      </c>
    </row>
    <row r="354" spans="1:9" x14ac:dyDescent="0.35">
      <c r="A354" t="str">
        <f>"09028"</f>
        <v>09028</v>
      </c>
      <c r="B354" t="s">
        <v>9</v>
      </c>
      <c r="C354" t="s">
        <v>199</v>
      </c>
      <c r="D354" s="5" t="s">
        <v>11</v>
      </c>
      <c r="E354" s="5" t="s">
        <v>12</v>
      </c>
      <c r="F354" s="3" t="s">
        <v>13</v>
      </c>
      <c r="G354" s="3" t="s">
        <v>13</v>
      </c>
      <c r="H354" s="3" t="s">
        <v>13</v>
      </c>
      <c r="I354" s="3">
        <v>30787700</v>
      </c>
    </row>
    <row r="355" spans="1:9" x14ac:dyDescent="0.35">
      <c r="A355" t="str">
        <f>"09032"</f>
        <v>09032</v>
      </c>
      <c r="B355" t="s">
        <v>9</v>
      </c>
      <c r="C355" t="s">
        <v>126</v>
      </c>
      <c r="D355" s="5" t="s">
        <v>11</v>
      </c>
      <c r="E355" s="5" t="s">
        <v>12</v>
      </c>
      <c r="F355" s="3" t="s">
        <v>13</v>
      </c>
      <c r="G355" s="3" t="s">
        <v>13</v>
      </c>
      <c r="H355" s="3" t="s">
        <v>13</v>
      </c>
      <c r="I355" s="3">
        <v>139277400</v>
      </c>
    </row>
    <row r="356" spans="1:9" x14ac:dyDescent="0.35">
      <c r="A356" t="str">
        <f>"09034"</f>
        <v>09034</v>
      </c>
      <c r="B356" t="s">
        <v>9</v>
      </c>
      <c r="C356" t="s">
        <v>200</v>
      </c>
      <c r="D356" s="5" t="s">
        <v>11</v>
      </c>
      <c r="E356" s="5" t="s">
        <v>12</v>
      </c>
      <c r="F356" s="3" t="s">
        <v>13</v>
      </c>
      <c r="G356" s="3" t="s">
        <v>13</v>
      </c>
      <c r="H356" s="3" t="s">
        <v>13</v>
      </c>
      <c r="I356" s="3">
        <v>1414721700</v>
      </c>
    </row>
    <row r="357" spans="1:9" x14ac:dyDescent="0.35">
      <c r="A357" t="str">
        <f>"09035"</f>
        <v>09035</v>
      </c>
      <c r="B357" t="s">
        <v>9</v>
      </c>
      <c r="C357" t="s">
        <v>201</v>
      </c>
      <c r="D357" s="5" t="s">
        <v>11</v>
      </c>
      <c r="E357" s="5" t="s">
        <v>12</v>
      </c>
      <c r="F357" s="3" t="s">
        <v>13</v>
      </c>
      <c r="G357" s="3" t="s">
        <v>13</v>
      </c>
      <c r="H357" s="3" t="s">
        <v>13</v>
      </c>
      <c r="I357" s="3">
        <v>370390200</v>
      </c>
    </row>
    <row r="358" spans="1:9" x14ac:dyDescent="0.35">
      <c r="A358" t="str">
        <f>"09036"</f>
        <v>09036</v>
      </c>
      <c r="B358" t="s">
        <v>9</v>
      </c>
      <c r="C358" t="s">
        <v>202</v>
      </c>
      <c r="D358" s="5" t="s">
        <v>11</v>
      </c>
      <c r="E358" s="5" t="s">
        <v>12</v>
      </c>
      <c r="F358" s="3" t="s">
        <v>13</v>
      </c>
      <c r="G358" s="3" t="s">
        <v>13</v>
      </c>
      <c r="H358" s="3" t="s">
        <v>13</v>
      </c>
      <c r="I358" s="3">
        <v>86359600</v>
      </c>
    </row>
    <row r="359" spans="1:9" x14ac:dyDescent="0.35">
      <c r="A359" t="str">
        <f>"09038"</f>
        <v>09038</v>
      </c>
      <c r="B359" t="s">
        <v>9</v>
      </c>
      <c r="C359" t="s">
        <v>203</v>
      </c>
      <c r="D359" s="5" t="s">
        <v>11</v>
      </c>
      <c r="E359" s="5" t="s">
        <v>12</v>
      </c>
      <c r="F359" s="3" t="s">
        <v>13</v>
      </c>
      <c r="G359" s="3" t="s">
        <v>13</v>
      </c>
      <c r="H359" s="3" t="s">
        <v>13</v>
      </c>
      <c r="I359" s="3">
        <v>500952200</v>
      </c>
    </row>
    <row r="360" spans="1:9" x14ac:dyDescent="0.35">
      <c r="A360" t="str">
        <f>"09040"</f>
        <v>09040</v>
      </c>
      <c r="B360" t="s">
        <v>9</v>
      </c>
      <c r="C360" t="s">
        <v>204</v>
      </c>
      <c r="D360" s="5" t="s">
        <v>11</v>
      </c>
      <c r="E360" s="5" t="s">
        <v>12</v>
      </c>
      <c r="F360" s="3" t="s">
        <v>13</v>
      </c>
      <c r="G360" s="3" t="s">
        <v>13</v>
      </c>
      <c r="H360" s="3" t="s">
        <v>13</v>
      </c>
      <c r="I360" s="3">
        <v>184209700</v>
      </c>
    </row>
    <row r="361" spans="1:9" x14ac:dyDescent="0.35">
      <c r="A361" t="str">
        <f>"09042"</f>
        <v>09042</v>
      </c>
      <c r="B361" t="s">
        <v>9</v>
      </c>
      <c r="C361" t="s">
        <v>205</v>
      </c>
      <c r="D361" s="5" t="s">
        <v>11</v>
      </c>
      <c r="E361" s="5" t="s">
        <v>12</v>
      </c>
      <c r="F361" s="3" t="s">
        <v>13</v>
      </c>
      <c r="G361" s="3" t="s">
        <v>13</v>
      </c>
      <c r="H361" s="3" t="s">
        <v>13</v>
      </c>
      <c r="I361" s="3">
        <v>291754700</v>
      </c>
    </row>
    <row r="362" spans="1:9" x14ac:dyDescent="0.35">
      <c r="A362" t="str">
        <f>"09044"</f>
        <v>09044</v>
      </c>
      <c r="B362" t="s">
        <v>9</v>
      </c>
      <c r="C362" t="s">
        <v>206</v>
      </c>
      <c r="D362" s="5" t="s">
        <v>11</v>
      </c>
      <c r="E362" s="5" t="s">
        <v>12</v>
      </c>
      <c r="F362" s="3" t="s">
        <v>13</v>
      </c>
      <c r="G362" s="3" t="s">
        <v>13</v>
      </c>
      <c r="H362" s="3" t="s">
        <v>13</v>
      </c>
      <c r="I362" s="3">
        <v>556958400</v>
      </c>
    </row>
    <row r="363" spans="1:9" x14ac:dyDescent="0.35">
      <c r="A363" t="str">
        <f>"09046"</f>
        <v>09046</v>
      </c>
      <c r="B363" t="s">
        <v>9</v>
      </c>
      <c r="C363" t="s">
        <v>207</v>
      </c>
      <c r="D363" s="5" t="s">
        <v>11</v>
      </c>
      <c r="E363" s="5" t="s">
        <v>12</v>
      </c>
      <c r="F363" s="3" t="s">
        <v>13</v>
      </c>
      <c r="G363" s="3" t="s">
        <v>13</v>
      </c>
      <c r="H363" s="3" t="s">
        <v>13</v>
      </c>
      <c r="I363" s="3">
        <v>183666200</v>
      </c>
    </row>
    <row r="364" spans="1:9" x14ac:dyDescent="0.35">
      <c r="A364" t="s">
        <v>30</v>
      </c>
      <c r="B364" t="s">
        <v>31</v>
      </c>
      <c r="C364" t="s">
        <v>32</v>
      </c>
      <c r="D364" s="5" t="s">
        <v>11</v>
      </c>
      <c r="E364" s="5" t="s">
        <v>12</v>
      </c>
      <c r="F364" s="3" t="s">
        <v>13</v>
      </c>
      <c r="G364" s="3" t="s">
        <v>13</v>
      </c>
      <c r="H364" s="3" t="s">
        <v>13</v>
      </c>
      <c r="I364" s="3">
        <v>6812937600</v>
      </c>
    </row>
    <row r="365" spans="1:9" x14ac:dyDescent="0.35">
      <c r="A365" t="str">
        <f>"09106"</f>
        <v>09106</v>
      </c>
      <c r="B365" t="s">
        <v>33</v>
      </c>
      <c r="C365" t="s">
        <v>208</v>
      </c>
      <c r="D365" s="5" t="s">
        <v>11</v>
      </c>
      <c r="E365" s="5" t="s">
        <v>12</v>
      </c>
      <c r="F365" s="3" t="s">
        <v>13</v>
      </c>
      <c r="G365" s="3" t="s">
        <v>13</v>
      </c>
      <c r="H365" s="3" t="s">
        <v>13</v>
      </c>
      <c r="I365" s="3">
        <v>59315500</v>
      </c>
    </row>
    <row r="366" spans="1:9" x14ac:dyDescent="0.35">
      <c r="A366" t="str">
        <f>"09111"</f>
        <v>09111</v>
      </c>
      <c r="B366" t="s">
        <v>33</v>
      </c>
      <c r="C366" t="s">
        <v>209</v>
      </c>
      <c r="D366" s="5" t="str">
        <f>"004"</f>
        <v>004</v>
      </c>
      <c r="E366" s="5">
        <v>2013</v>
      </c>
      <c r="F366" s="3">
        <v>2096200</v>
      </c>
      <c r="G366" s="3">
        <v>7160500</v>
      </c>
      <c r="H366" s="3">
        <v>5064300</v>
      </c>
    </row>
    <row r="367" spans="1:9" x14ac:dyDescent="0.35">
      <c r="A367" t="str">
        <f>"09111"</f>
        <v>09111</v>
      </c>
      <c r="B367" t="s">
        <v>33</v>
      </c>
      <c r="C367" t="s">
        <v>209</v>
      </c>
      <c r="D367" s="5" t="str">
        <f>"005"</f>
        <v>005</v>
      </c>
      <c r="E367" s="5">
        <v>2019</v>
      </c>
      <c r="F367" s="3">
        <v>5794000</v>
      </c>
      <c r="G367" s="3">
        <v>14639700</v>
      </c>
      <c r="H367" s="3">
        <v>8845700</v>
      </c>
    </row>
    <row r="368" spans="1:9" x14ac:dyDescent="0.35">
      <c r="A368" t="str">
        <f>"09111"</f>
        <v>09111</v>
      </c>
      <c r="B368" t="s">
        <v>33</v>
      </c>
      <c r="C368" t="s">
        <v>209</v>
      </c>
      <c r="D368" s="5" t="s">
        <v>11</v>
      </c>
      <c r="E368" s="5" t="s">
        <v>12</v>
      </c>
      <c r="F368" s="3" t="s">
        <v>13</v>
      </c>
      <c r="G368" s="3" t="s">
        <v>13</v>
      </c>
      <c r="H368" s="3" t="s">
        <v>13</v>
      </c>
      <c r="I368" s="3">
        <v>150302500</v>
      </c>
    </row>
    <row r="369" spans="1:9" x14ac:dyDescent="0.35">
      <c r="A369" t="str">
        <f>"09128"</f>
        <v>09128</v>
      </c>
      <c r="B369" t="s">
        <v>33</v>
      </c>
      <c r="C369" t="s">
        <v>210</v>
      </c>
      <c r="D369" s="5" t="s">
        <v>11</v>
      </c>
      <c r="E369" s="5" t="s">
        <v>12</v>
      </c>
      <c r="F369" s="3" t="s">
        <v>13</v>
      </c>
      <c r="G369" s="3" t="s">
        <v>13</v>
      </c>
      <c r="H369" s="3" t="s">
        <v>13</v>
      </c>
      <c r="I369" s="3">
        <v>1367020400</v>
      </c>
    </row>
    <row r="370" spans="1:9" x14ac:dyDescent="0.35">
      <c r="A370" t="str">
        <f>"09161"</f>
        <v>09161</v>
      </c>
      <c r="B370" t="s">
        <v>33</v>
      </c>
      <c r="C370" t="s">
        <v>82</v>
      </c>
      <c r="D370" s="5" t="str">
        <f>"001"</f>
        <v>001</v>
      </c>
      <c r="E370" s="5">
        <v>2008</v>
      </c>
      <c r="F370" s="3">
        <v>283700</v>
      </c>
      <c r="G370" s="3">
        <v>3916900</v>
      </c>
      <c r="H370" s="3">
        <v>3633200</v>
      </c>
    </row>
    <row r="371" spans="1:9" x14ac:dyDescent="0.35">
      <c r="A371" t="str">
        <f>"09161"</f>
        <v>09161</v>
      </c>
      <c r="B371" t="s">
        <v>33</v>
      </c>
      <c r="C371" t="s">
        <v>82</v>
      </c>
      <c r="D371" s="5" t="s">
        <v>11</v>
      </c>
      <c r="E371" s="5" t="s">
        <v>12</v>
      </c>
      <c r="F371" s="3" t="s">
        <v>13</v>
      </c>
      <c r="G371" s="3" t="s">
        <v>13</v>
      </c>
      <c r="H371" s="3" t="s">
        <v>13</v>
      </c>
      <c r="I371" s="3">
        <v>46755100</v>
      </c>
    </row>
    <row r="372" spans="1:9" x14ac:dyDescent="0.35">
      <c r="A372" t="s">
        <v>30</v>
      </c>
      <c r="B372" t="s">
        <v>35</v>
      </c>
      <c r="C372" t="s">
        <v>32</v>
      </c>
      <c r="D372" s="5" t="s">
        <v>11</v>
      </c>
      <c r="E372" s="5" t="s">
        <v>12</v>
      </c>
      <c r="F372" s="3" t="s">
        <v>13</v>
      </c>
      <c r="G372" s="3" t="s">
        <v>13</v>
      </c>
      <c r="H372" s="3" t="s">
        <v>13</v>
      </c>
      <c r="I372" s="3">
        <v>1623393500</v>
      </c>
    </row>
    <row r="373" spans="1:9" x14ac:dyDescent="0.35">
      <c r="A373" t="str">
        <f>"09206"</f>
        <v>09206</v>
      </c>
      <c r="B373" t="s">
        <v>36</v>
      </c>
      <c r="C373" t="s">
        <v>191</v>
      </c>
      <c r="D373" s="5" t="str">
        <f>"004"</f>
        <v>004</v>
      </c>
      <c r="E373" s="5">
        <v>2005</v>
      </c>
      <c r="F373" s="3">
        <v>3787400</v>
      </c>
      <c r="G373" s="3">
        <v>65873100</v>
      </c>
      <c r="H373" s="3">
        <v>62085700</v>
      </c>
    </row>
    <row r="374" spans="1:9" x14ac:dyDescent="0.35">
      <c r="A374" t="str">
        <f>"09206"</f>
        <v>09206</v>
      </c>
      <c r="B374" t="s">
        <v>36</v>
      </c>
      <c r="C374" t="s">
        <v>191</v>
      </c>
      <c r="D374" s="5" t="s">
        <v>11</v>
      </c>
      <c r="E374" s="5" t="s">
        <v>12</v>
      </c>
      <c r="F374" s="3" t="s">
        <v>13</v>
      </c>
      <c r="G374" s="3" t="s">
        <v>13</v>
      </c>
      <c r="H374" s="3" t="s">
        <v>13</v>
      </c>
      <c r="I374" s="3">
        <v>474700600</v>
      </c>
    </row>
    <row r="375" spans="1:9" x14ac:dyDescent="0.35">
      <c r="A375" t="str">
        <f t="shared" ref="A375:A384" si="6">"09211"</f>
        <v>09211</v>
      </c>
      <c r="B375" t="s">
        <v>36</v>
      </c>
      <c r="C375" t="s">
        <v>211</v>
      </c>
      <c r="D375" s="5" t="str">
        <f>"007"</f>
        <v>007</v>
      </c>
      <c r="E375" s="5">
        <v>2001</v>
      </c>
      <c r="F375" s="3">
        <v>1417800</v>
      </c>
      <c r="G375" s="3">
        <v>13988900</v>
      </c>
      <c r="H375" s="3">
        <v>12571100</v>
      </c>
    </row>
    <row r="376" spans="1:9" x14ac:dyDescent="0.35">
      <c r="A376" t="str">
        <f t="shared" si="6"/>
        <v>09211</v>
      </c>
      <c r="B376" t="s">
        <v>36</v>
      </c>
      <c r="C376" t="s">
        <v>211</v>
      </c>
      <c r="D376" s="5" t="str">
        <f>"008"</f>
        <v>008</v>
      </c>
      <c r="E376" s="5">
        <v>2002</v>
      </c>
      <c r="F376" s="3">
        <v>437100</v>
      </c>
      <c r="G376" s="3">
        <v>4349700</v>
      </c>
      <c r="H376" s="3">
        <v>3912600</v>
      </c>
    </row>
    <row r="377" spans="1:9" x14ac:dyDescent="0.35">
      <c r="A377" t="str">
        <f t="shared" si="6"/>
        <v>09211</v>
      </c>
      <c r="B377" t="s">
        <v>36</v>
      </c>
      <c r="C377" t="s">
        <v>211</v>
      </c>
      <c r="D377" s="5" t="str">
        <f>"010"</f>
        <v>010</v>
      </c>
      <c r="E377" s="5">
        <v>2005</v>
      </c>
      <c r="F377" s="3">
        <v>0</v>
      </c>
      <c r="G377" s="3">
        <v>8896600</v>
      </c>
      <c r="H377" s="3">
        <v>8896600</v>
      </c>
    </row>
    <row r="378" spans="1:9" x14ac:dyDescent="0.35">
      <c r="A378" t="str">
        <f t="shared" si="6"/>
        <v>09211</v>
      </c>
      <c r="B378" t="s">
        <v>36</v>
      </c>
      <c r="C378" t="s">
        <v>211</v>
      </c>
      <c r="D378" s="5" t="str">
        <f>"011"</f>
        <v>011</v>
      </c>
      <c r="E378" s="5">
        <v>2008</v>
      </c>
      <c r="F378" s="3">
        <v>79500</v>
      </c>
      <c r="G378" s="3">
        <v>4627300</v>
      </c>
      <c r="H378" s="3">
        <v>4547800</v>
      </c>
    </row>
    <row r="379" spans="1:9" x14ac:dyDescent="0.35">
      <c r="A379" t="str">
        <f t="shared" si="6"/>
        <v>09211</v>
      </c>
      <c r="B379" t="s">
        <v>36</v>
      </c>
      <c r="C379" t="s">
        <v>211</v>
      </c>
      <c r="D379" s="5" t="str">
        <f>"012"</f>
        <v>012</v>
      </c>
      <c r="E379" s="5">
        <v>2012</v>
      </c>
      <c r="F379" s="3">
        <v>5137600</v>
      </c>
      <c r="G379" s="3">
        <v>28174300</v>
      </c>
      <c r="H379" s="3">
        <v>23036700</v>
      </c>
    </row>
    <row r="380" spans="1:9" x14ac:dyDescent="0.35">
      <c r="A380" t="str">
        <f t="shared" si="6"/>
        <v>09211</v>
      </c>
      <c r="B380" t="s">
        <v>36</v>
      </c>
      <c r="C380" t="s">
        <v>211</v>
      </c>
      <c r="D380" s="5" t="str">
        <f>"013"</f>
        <v>013</v>
      </c>
      <c r="E380" s="5">
        <v>2015</v>
      </c>
      <c r="F380" s="3">
        <v>3476500</v>
      </c>
      <c r="G380" s="3">
        <v>10643200</v>
      </c>
      <c r="H380" s="3">
        <v>7166700</v>
      </c>
    </row>
    <row r="381" spans="1:9" x14ac:dyDescent="0.35">
      <c r="A381" t="str">
        <f t="shared" si="6"/>
        <v>09211</v>
      </c>
      <c r="B381" t="s">
        <v>36</v>
      </c>
      <c r="C381" t="s">
        <v>211</v>
      </c>
      <c r="D381" s="5" t="str">
        <f>"014"</f>
        <v>014</v>
      </c>
      <c r="E381" s="5">
        <v>2015</v>
      </c>
      <c r="F381" s="3">
        <v>0</v>
      </c>
      <c r="G381" s="3">
        <v>119933600</v>
      </c>
      <c r="H381" s="3">
        <v>119933600</v>
      </c>
    </row>
    <row r="382" spans="1:9" x14ac:dyDescent="0.35">
      <c r="A382" t="str">
        <f t="shared" si="6"/>
        <v>09211</v>
      </c>
      <c r="B382" t="s">
        <v>36</v>
      </c>
      <c r="C382" t="s">
        <v>211</v>
      </c>
      <c r="D382" s="5" t="str">
        <f>"015"</f>
        <v>015</v>
      </c>
      <c r="E382" s="5">
        <v>2018</v>
      </c>
      <c r="F382" s="3">
        <v>1810700</v>
      </c>
      <c r="G382" s="3">
        <v>3636700</v>
      </c>
      <c r="H382" s="3">
        <v>1826000</v>
      </c>
    </row>
    <row r="383" spans="1:9" x14ac:dyDescent="0.35">
      <c r="A383" t="str">
        <f t="shared" si="6"/>
        <v>09211</v>
      </c>
      <c r="B383" t="s">
        <v>36</v>
      </c>
      <c r="C383" t="s">
        <v>211</v>
      </c>
      <c r="D383" s="5" t="str">
        <f>"016"</f>
        <v>016</v>
      </c>
      <c r="E383" s="5">
        <v>2022</v>
      </c>
      <c r="F383" s="3">
        <v>9306800</v>
      </c>
      <c r="G383" s="3">
        <v>52169400</v>
      </c>
      <c r="H383" s="3">
        <v>42862600</v>
      </c>
    </row>
    <row r="384" spans="1:9" x14ac:dyDescent="0.35">
      <c r="A384" t="str">
        <f t="shared" si="6"/>
        <v>09211</v>
      </c>
      <c r="B384" t="s">
        <v>36</v>
      </c>
      <c r="C384" t="s">
        <v>211</v>
      </c>
      <c r="D384" s="5" t="s">
        <v>11</v>
      </c>
      <c r="E384" s="5" t="s">
        <v>12</v>
      </c>
      <c r="F384" s="3" t="s">
        <v>13</v>
      </c>
      <c r="G384" s="3" t="s">
        <v>13</v>
      </c>
      <c r="H384" s="3" t="s">
        <v>13</v>
      </c>
      <c r="I384" s="3">
        <v>1797707200</v>
      </c>
    </row>
    <row r="385" spans="1:9" x14ac:dyDescent="0.35">
      <c r="A385" t="str">
        <f>"09213"</f>
        <v>09213</v>
      </c>
      <c r="B385" t="s">
        <v>36</v>
      </c>
      <c r="C385" t="s">
        <v>212</v>
      </c>
      <c r="D385" s="5" t="s">
        <v>11</v>
      </c>
      <c r="E385" s="5" t="s">
        <v>12</v>
      </c>
      <c r="F385" s="3" t="s">
        <v>13</v>
      </c>
      <c r="G385" s="3" t="s">
        <v>13</v>
      </c>
      <c r="H385" s="3" t="s">
        <v>13</v>
      </c>
      <c r="I385" s="3">
        <v>146769400</v>
      </c>
    </row>
    <row r="386" spans="1:9" x14ac:dyDescent="0.35">
      <c r="A386" t="str">
        <f>"09221"</f>
        <v>09221</v>
      </c>
      <c r="B386" t="s">
        <v>36</v>
      </c>
      <c r="C386" t="s">
        <v>213</v>
      </c>
      <c r="D386" s="5" t="str">
        <f>"009"</f>
        <v>009</v>
      </c>
      <c r="E386" s="5">
        <v>2008</v>
      </c>
      <c r="F386" s="3">
        <v>54500</v>
      </c>
      <c r="G386" s="3">
        <v>38300</v>
      </c>
      <c r="H386" s="3">
        <v>0</v>
      </c>
    </row>
    <row r="387" spans="1:9" x14ac:dyDescent="0.35">
      <c r="A387" t="str">
        <f>"09221"</f>
        <v>09221</v>
      </c>
      <c r="B387" t="s">
        <v>36</v>
      </c>
      <c r="C387" t="s">
        <v>213</v>
      </c>
      <c r="D387" s="5" t="str">
        <f>"015"</f>
        <v>015</v>
      </c>
      <c r="E387" s="5">
        <v>2022</v>
      </c>
      <c r="F387" s="3">
        <v>171600</v>
      </c>
      <c r="G387" s="3">
        <v>22726200</v>
      </c>
      <c r="H387" s="3">
        <v>22554600</v>
      </c>
    </row>
    <row r="388" spans="1:9" x14ac:dyDescent="0.35">
      <c r="A388" t="str">
        <f>"09221"</f>
        <v>09221</v>
      </c>
      <c r="B388" t="s">
        <v>36</v>
      </c>
      <c r="C388" t="s">
        <v>213</v>
      </c>
      <c r="D388" s="5" t="s">
        <v>11</v>
      </c>
      <c r="E388" s="5" t="s">
        <v>12</v>
      </c>
      <c r="F388" s="3" t="s">
        <v>13</v>
      </c>
      <c r="G388" s="3" t="s">
        <v>13</v>
      </c>
      <c r="H388" s="3" t="s">
        <v>13</v>
      </c>
      <c r="I388" s="3">
        <v>428360200</v>
      </c>
    </row>
    <row r="389" spans="1:9" x14ac:dyDescent="0.35">
      <c r="A389" t="str">
        <f>"09281"</f>
        <v>09281</v>
      </c>
      <c r="B389" t="s">
        <v>36</v>
      </c>
      <c r="C389" t="s">
        <v>76</v>
      </c>
      <c r="D389" s="5" t="str">
        <f>"003"</f>
        <v>003</v>
      </c>
      <c r="E389" s="5">
        <v>2001</v>
      </c>
      <c r="F389" s="3">
        <v>4086000</v>
      </c>
      <c r="G389" s="3">
        <v>38400200</v>
      </c>
      <c r="H389" s="3">
        <v>34314200</v>
      </c>
    </row>
    <row r="390" spans="1:9" x14ac:dyDescent="0.35">
      <c r="A390" t="str">
        <f>"09281"</f>
        <v>09281</v>
      </c>
      <c r="B390" t="s">
        <v>36</v>
      </c>
      <c r="C390" t="s">
        <v>76</v>
      </c>
      <c r="D390" s="5" t="s">
        <v>11</v>
      </c>
      <c r="E390" s="5" t="s">
        <v>12</v>
      </c>
      <c r="F390" s="3" t="s">
        <v>13</v>
      </c>
      <c r="G390" s="3" t="s">
        <v>13</v>
      </c>
      <c r="H390" s="3" t="s">
        <v>13</v>
      </c>
      <c r="I390" s="3">
        <v>214409700</v>
      </c>
    </row>
    <row r="391" spans="1:9" x14ac:dyDescent="0.35">
      <c r="A391" t="s">
        <v>30</v>
      </c>
      <c r="B391" t="s">
        <v>38</v>
      </c>
      <c r="C391" t="s">
        <v>32</v>
      </c>
      <c r="D391" s="5" t="s">
        <v>11</v>
      </c>
      <c r="E391" s="5" t="s">
        <v>12</v>
      </c>
      <c r="F391" s="3" t="s">
        <v>13</v>
      </c>
      <c r="G391" s="3" t="s">
        <v>13</v>
      </c>
      <c r="H391" s="3" t="s">
        <v>13</v>
      </c>
      <c r="I391" s="3">
        <v>3061947100</v>
      </c>
    </row>
    <row r="392" spans="1:9" x14ac:dyDescent="0.35">
      <c r="A392" t="s">
        <v>30</v>
      </c>
      <c r="B392" t="s">
        <v>39</v>
      </c>
      <c r="C392" t="s">
        <v>42</v>
      </c>
      <c r="D392" s="5" t="s">
        <v>11</v>
      </c>
      <c r="E392" s="5" t="s">
        <v>12</v>
      </c>
      <c r="F392" s="3" t="s">
        <v>13</v>
      </c>
      <c r="G392" s="3" t="s">
        <v>13</v>
      </c>
      <c r="H392" s="3" t="s">
        <v>13</v>
      </c>
      <c r="I392" s="3">
        <v>11498278200</v>
      </c>
    </row>
    <row r="393" spans="1:9" x14ac:dyDescent="0.35">
      <c r="A393" t="str">
        <f>"10002"</f>
        <v>10002</v>
      </c>
      <c r="B393" t="s">
        <v>9</v>
      </c>
      <c r="C393" t="s">
        <v>214</v>
      </c>
      <c r="D393" s="5" t="s">
        <v>11</v>
      </c>
      <c r="E393" s="5" t="s">
        <v>12</v>
      </c>
      <c r="F393" s="3" t="s">
        <v>13</v>
      </c>
      <c r="G393" s="3" t="s">
        <v>13</v>
      </c>
      <c r="H393" s="3" t="s">
        <v>13</v>
      </c>
      <c r="I393" s="3">
        <v>95685200</v>
      </c>
    </row>
    <row r="394" spans="1:9" x14ac:dyDescent="0.35">
      <c r="A394" t="str">
        <f>"10004"</f>
        <v>10004</v>
      </c>
      <c r="B394" t="s">
        <v>9</v>
      </c>
      <c r="C394" t="s">
        <v>215</v>
      </c>
      <c r="D394" s="5" t="s">
        <v>11</v>
      </c>
      <c r="E394" s="5" t="s">
        <v>12</v>
      </c>
      <c r="F394" s="3" t="s">
        <v>13</v>
      </c>
      <c r="G394" s="3" t="s">
        <v>13</v>
      </c>
      <c r="H394" s="3" t="s">
        <v>13</v>
      </c>
      <c r="I394" s="3">
        <v>22067800</v>
      </c>
    </row>
    <row r="395" spans="1:9" x14ac:dyDescent="0.35">
      <c r="A395" t="str">
        <f>"10006"</f>
        <v>10006</v>
      </c>
      <c r="B395" t="s">
        <v>9</v>
      </c>
      <c r="C395" t="s">
        <v>216</v>
      </c>
      <c r="D395" s="5" t="s">
        <v>11</v>
      </c>
      <c r="E395" s="5" t="s">
        <v>12</v>
      </c>
      <c r="F395" s="3" t="s">
        <v>13</v>
      </c>
      <c r="G395" s="3" t="s">
        <v>13</v>
      </c>
      <c r="H395" s="3" t="s">
        <v>13</v>
      </c>
      <c r="I395" s="3">
        <v>91574800</v>
      </c>
    </row>
    <row r="396" spans="1:9" x14ac:dyDescent="0.35">
      <c r="A396" t="str">
        <f>"10008"</f>
        <v>10008</v>
      </c>
      <c r="B396" t="s">
        <v>9</v>
      </c>
      <c r="C396" t="s">
        <v>217</v>
      </c>
      <c r="D396" s="5" t="s">
        <v>11</v>
      </c>
      <c r="E396" s="5" t="s">
        <v>12</v>
      </c>
      <c r="F396" s="3" t="s">
        <v>13</v>
      </c>
      <c r="G396" s="3" t="s">
        <v>13</v>
      </c>
      <c r="H396" s="3" t="s">
        <v>13</v>
      </c>
      <c r="I396" s="3">
        <v>214249300</v>
      </c>
    </row>
    <row r="397" spans="1:9" x14ac:dyDescent="0.35">
      <c r="A397" t="str">
        <f>"10010"</f>
        <v>10010</v>
      </c>
      <c r="B397" t="s">
        <v>9</v>
      </c>
      <c r="C397" t="s">
        <v>107</v>
      </c>
      <c r="D397" s="5" t="s">
        <v>11</v>
      </c>
      <c r="E397" s="5" t="s">
        <v>12</v>
      </c>
      <c r="F397" s="3" t="s">
        <v>13</v>
      </c>
      <c r="G397" s="3" t="s">
        <v>13</v>
      </c>
      <c r="H397" s="3" t="s">
        <v>13</v>
      </c>
      <c r="I397" s="3">
        <v>127353300</v>
      </c>
    </row>
    <row r="398" spans="1:9" x14ac:dyDescent="0.35">
      <c r="A398" t="str">
        <f>"10012"</f>
        <v>10012</v>
      </c>
      <c r="B398" t="s">
        <v>9</v>
      </c>
      <c r="C398" t="s">
        <v>218</v>
      </c>
      <c r="D398" s="5" t="s">
        <v>11</v>
      </c>
      <c r="E398" s="5" t="s">
        <v>12</v>
      </c>
      <c r="F398" s="3" t="s">
        <v>13</v>
      </c>
      <c r="G398" s="3" t="s">
        <v>13</v>
      </c>
      <c r="H398" s="3" t="s">
        <v>13</v>
      </c>
      <c r="I398" s="3">
        <v>50098600</v>
      </c>
    </row>
    <row r="399" spans="1:9" x14ac:dyDescent="0.35">
      <c r="A399" t="str">
        <f>"10014"</f>
        <v>10014</v>
      </c>
      <c r="B399" t="s">
        <v>9</v>
      </c>
      <c r="C399" t="s">
        <v>219</v>
      </c>
      <c r="D399" s="5" t="s">
        <v>11</v>
      </c>
      <c r="E399" s="5" t="s">
        <v>12</v>
      </c>
      <c r="F399" s="3" t="s">
        <v>13</v>
      </c>
      <c r="G399" s="3" t="s">
        <v>13</v>
      </c>
      <c r="H399" s="3" t="s">
        <v>13</v>
      </c>
      <c r="I399" s="3">
        <v>130971600</v>
      </c>
    </row>
    <row r="400" spans="1:9" x14ac:dyDescent="0.35">
      <c r="A400" t="str">
        <f>"10016"</f>
        <v>10016</v>
      </c>
      <c r="B400" t="s">
        <v>9</v>
      </c>
      <c r="C400" t="s">
        <v>220</v>
      </c>
      <c r="D400" s="5" t="s">
        <v>11</v>
      </c>
      <c r="E400" s="5" t="s">
        <v>12</v>
      </c>
      <c r="F400" s="3" t="s">
        <v>13</v>
      </c>
      <c r="G400" s="3" t="s">
        <v>13</v>
      </c>
      <c r="H400" s="3" t="s">
        <v>13</v>
      </c>
      <c r="I400" s="3">
        <v>98919900</v>
      </c>
    </row>
    <row r="401" spans="1:9" x14ac:dyDescent="0.35">
      <c r="A401" t="str">
        <f>"10018"</f>
        <v>10018</v>
      </c>
      <c r="B401" t="s">
        <v>9</v>
      </c>
      <c r="C401" t="s">
        <v>221</v>
      </c>
      <c r="D401" s="5" t="s">
        <v>11</v>
      </c>
      <c r="E401" s="5" t="s">
        <v>12</v>
      </c>
      <c r="F401" s="3" t="s">
        <v>13</v>
      </c>
      <c r="G401" s="3" t="s">
        <v>13</v>
      </c>
      <c r="H401" s="3" t="s">
        <v>13</v>
      </c>
      <c r="I401" s="3">
        <v>84334100</v>
      </c>
    </row>
    <row r="402" spans="1:9" x14ac:dyDescent="0.35">
      <c r="A402" t="str">
        <f>"10020"</f>
        <v>10020</v>
      </c>
      <c r="B402" t="s">
        <v>9</v>
      </c>
      <c r="C402" t="s">
        <v>222</v>
      </c>
      <c r="D402" s="5" t="s">
        <v>11</v>
      </c>
      <c r="E402" s="5" t="s">
        <v>12</v>
      </c>
      <c r="F402" s="3" t="s">
        <v>13</v>
      </c>
      <c r="G402" s="3" t="s">
        <v>13</v>
      </c>
      <c r="H402" s="3" t="s">
        <v>13</v>
      </c>
      <c r="I402" s="3">
        <v>78775500</v>
      </c>
    </row>
    <row r="403" spans="1:9" x14ac:dyDescent="0.35">
      <c r="A403" t="str">
        <f>"10022"</f>
        <v>10022</v>
      </c>
      <c r="B403" t="s">
        <v>9</v>
      </c>
      <c r="C403" t="s">
        <v>223</v>
      </c>
      <c r="D403" s="5" t="s">
        <v>11</v>
      </c>
      <c r="E403" s="5" t="s">
        <v>12</v>
      </c>
      <c r="F403" s="3" t="s">
        <v>13</v>
      </c>
      <c r="G403" s="3" t="s">
        <v>13</v>
      </c>
      <c r="H403" s="3" t="s">
        <v>13</v>
      </c>
      <c r="I403" s="3">
        <v>61622000</v>
      </c>
    </row>
    <row r="404" spans="1:9" x14ac:dyDescent="0.35">
      <c r="A404" t="str">
        <f>"10024"</f>
        <v>10024</v>
      </c>
      <c r="B404" t="s">
        <v>9</v>
      </c>
      <c r="C404" t="s">
        <v>224</v>
      </c>
      <c r="D404" s="5" t="s">
        <v>11</v>
      </c>
      <c r="E404" s="5" t="s">
        <v>12</v>
      </c>
      <c r="F404" s="3" t="s">
        <v>13</v>
      </c>
      <c r="G404" s="3" t="s">
        <v>13</v>
      </c>
      <c r="H404" s="3" t="s">
        <v>13</v>
      </c>
      <c r="I404" s="3">
        <v>92295800</v>
      </c>
    </row>
    <row r="405" spans="1:9" x14ac:dyDescent="0.35">
      <c r="A405" t="str">
        <f>"10026"</f>
        <v>10026</v>
      </c>
      <c r="B405" t="s">
        <v>9</v>
      </c>
      <c r="C405" t="s">
        <v>225</v>
      </c>
      <c r="D405" s="5" t="s">
        <v>11</v>
      </c>
      <c r="E405" s="5" t="s">
        <v>12</v>
      </c>
      <c r="F405" s="3" t="s">
        <v>13</v>
      </c>
      <c r="G405" s="3" t="s">
        <v>13</v>
      </c>
      <c r="H405" s="3" t="s">
        <v>13</v>
      </c>
      <c r="I405" s="3">
        <v>72667900</v>
      </c>
    </row>
    <row r="406" spans="1:9" x14ac:dyDescent="0.35">
      <c r="A406" t="str">
        <f>"10028"</f>
        <v>10028</v>
      </c>
      <c r="B406" t="s">
        <v>9</v>
      </c>
      <c r="C406" t="s">
        <v>226</v>
      </c>
      <c r="D406" s="5" t="s">
        <v>11</v>
      </c>
      <c r="E406" s="5" t="s">
        <v>12</v>
      </c>
      <c r="F406" s="3" t="s">
        <v>13</v>
      </c>
      <c r="G406" s="3" t="s">
        <v>13</v>
      </c>
      <c r="H406" s="3" t="s">
        <v>13</v>
      </c>
      <c r="I406" s="3">
        <v>88013500</v>
      </c>
    </row>
    <row r="407" spans="1:9" x14ac:dyDescent="0.35">
      <c r="A407" t="str">
        <f>"10030"</f>
        <v>10030</v>
      </c>
      <c r="B407" t="s">
        <v>9</v>
      </c>
      <c r="C407" t="s">
        <v>227</v>
      </c>
      <c r="D407" s="5" t="s">
        <v>11</v>
      </c>
      <c r="E407" s="5" t="s">
        <v>12</v>
      </c>
      <c r="F407" s="3" t="s">
        <v>13</v>
      </c>
      <c r="G407" s="3" t="s">
        <v>13</v>
      </c>
      <c r="H407" s="3" t="s">
        <v>13</v>
      </c>
      <c r="I407" s="3">
        <v>91954100</v>
      </c>
    </row>
    <row r="408" spans="1:9" x14ac:dyDescent="0.35">
      <c r="A408" t="str">
        <f>"10032"</f>
        <v>10032</v>
      </c>
      <c r="B408" t="s">
        <v>9</v>
      </c>
      <c r="C408" t="s">
        <v>228</v>
      </c>
      <c r="D408" s="5" t="s">
        <v>11</v>
      </c>
      <c r="E408" s="5" t="s">
        <v>12</v>
      </c>
      <c r="F408" s="3" t="s">
        <v>13</v>
      </c>
      <c r="G408" s="3" t="s">
        <v>13</v>
      </c>
      <c r="H408" s="3" t="s">
        <v>13</v>
      </c>
      <c r="I408" s="3">
        <v>92134300</v>
      </c>
    </row>
    <row r="409" spans="1:9" x14ac:dyDescent="0.35">
      <c r="A409" t="str">
        <f>"10034"</f>
        <v>10034</v>
      </c>
      <c r="B409" t="s">
        <v>9</v>
      </c>
      <c r="C409" t="s">
        <v>229</v>
      </c>
      <c r="D409" s="5" t="s">
        <v>11</v>
      </c>
      <c r="E409" s="5" t="s">
        <v>12</v>
      </c>
      <c r="F409" s="3" t="s">
        <v>13</v>
      </c>
      <c r="G409" s="3" t="s">
        <v>13</v>
      </c>
      <c r="H409" s="3" t="s">
        <v>13</v>
      </c>
      <c r="I409" s="3">
        <v>95813200</v>
      </c>
    </row>
    <row r="410" spans="1:9" x14ac:dyDescent="0.35">
      <c r="A410" t="str">
        <f>"10036"</f>
        <v>10036</v>
      </c>
      <c r="B410" t="s">
        <v>9</v>
      </c>
      <c r="C410" t="s">
        <v>230</v>
      </c>
      <c r="D410" s="5" t="s">
        <v>11</v>
      </c>
      <c r="E410" s="5" t="s">
        <v>12</v>
      </c>
      <c r="F410" s="3" t="s">
        <v>13</v>
      </c>
      <c r="G410" s="3" t="s">
        <v>13</v>
      </c>
      <c r="H410" s="3" t="s">
        <v>13</v>
      </c>
      <c r="I410" s="3">
        <v>108386100</v>
      </c>
    </row>
    <row r="411" spans="1:9" x14ac:dyDescent="0.35">
      <c r="A411" t="str">
        <f>"10038"</f>
        <v>10038</v>
      </c>
      <c r="B411" t="s">
        <v>9</v>
      </c>
      <c r="C411" t="s">
        <v>231</v>
      </c>
      <c r="D411" s="5" t="s">
        <v>11</v>
      </c>
      <c r="E411" s="5" t="s">
        <v>12</v>
      </c>
      <c r="F411" s="3" t="s">
        <v>13</v>
      </c>
      <c r="G411" s="3" t="s">
        <v>13</v>
      </c>
      <c r="H411" s="3" t="s">
        <v>13</v>
      </c>
      <c r="I411" s="3">
        <v>100731200</v>
      </c>
    </row>
    <row r="412" spans="1:9" x14ac:dyDescent="0.35">
      <c r="A412" t="str">
        <f>"10040"</f>
        <v>10040</v>
      </c>
      <c r="B412" t="s">
        <v>9</v>
      </c>
      <c r="C412" t="s">
        <v>232</v>
      </c>
      <c r="D412" s="5" t="s">
        <v>11</v>
      </c>
      <c r="E412" s="5" t="s">
        <v>12</v>
      </c>
      <c r="F412" s="3" t="s">
        <v>13</v>
      </c>
      <c r="G412" s="3" t="s">
        <v>13</v>
      </c>
      <c r="H412" s="3" t="s">
        <v>13</v>
      </c>
      <c r="I412" s="3">
        <v>97353800</v>
      </c>
    </row>
    <row r="413" spans="1:9" x14ac:dyDescent="0.35">
      <c r="A413" t="str">
        <f>"10042"</f>
        <v>10042</v>
      </c>
      <c r="B413" t="s">
        <v>9</v>
      </c>
      <c r="C413" t="s">
        <v>233</v>
      </c>
      <c r="D413" s="5" t="s">
        <v>11</v>
      </c>
      <c r="E413" s="5" t="s">
        <v>12</v>
      </c>
      <c r="F413" s="3" t="s">
        <v>13</v>
      </c>
      <c r="G413" s="3" t="s">
        <v>13</v>
      </c>
      <c r="H413" s="3" t="s">
        <v>13</v>
      </c>
      <c r="I413" s="3">
        <v>199101900</v>
      </c>
    </row>
    <row r="414" spans="1:9" x14ac:dyDescent="0.35">
      <c r="A414" t="str">
        <f>"10044"</f>
        <v>10044</v>
      </c>
      <c r="B414" t="s">
        <v>9</v>
      </c>
      <c r="C414" t="s">
        <v>234</v>
      </c>
      <c r="D414" s="5" t="s">
        <v>11</v>
      </c>
      <c r="E414" s="5" t="s">
        <v>12</v>
      </c>
      <c r="F414" s="3" t="s">
        <v>13</v>
      </c>
      <c r="G414" s="3" t="s">
        <v>13</v>
      </c>
      <c r="H414" s="3" t="s">
        <v>13</v>
      </c>
      <c r="I414" s="3">
        <v>94462800</v>
      </c>
    </row>
    <row r="415" spans="1:9" x14ac:dyDescent="0.35">
      <c r="A415" t="str">
        <f>"10046"</f>
        <v>10046</v>
      </c>
      <c r="B415" t="s">
        <v>9</v>
      </c>
      <c r="C415" t="s">
        <v>235</v>
      </c>
      <c r="D415" s="5" t="s">
        <v>11</v>
      </c>
      <c r="E415" s="5" t="s">
        <v>12</v>
      </c>
      <c r="F415" s="3" t="s">
        <v>13</v>
      </c>
      <c r="G415" s="3" t="s">
        <v>13</v>
      </c>
      <c r="H415" s="3" t="s">
        <v>13</v>
      </c>
      <c r="I415" s="3">
        <v>36959400</v>
      </c>
    </row>
    <row r="416" spans="1:9" x14ac:dyDescent="0.35">
      <c r="A416" t="str">
        <f>"10048"</f>
        <v>10048</v>
      </c>
      <c r="B416" t="s">
        <v>9</v>
      </c>
      <c r="C416" t="s">
        <v>236</v>
      </c>
      <c r="D416" s="5" t="s">
        <v>11</v>
      </c>
      <c r="E416" s="5" t="s">
        <v>12</v>
      </c>
      <c r="F416" s="3" t="s">
        <v>13</v>
      </c>
      <c r="G416" s="3" t="s">
        <v>13</v>
      </c>
      <c r="H416" s="3" t="s">
        <v>13</v>
      </c>
      <c r="I416" s="3">
        <v>108232000</v>
      </c>
    </row>
    <row r="417" spans="1:9" x14ac:dyDescent="0.35">
      <c r="A417" t="str">
        <f>"10050"</f>
        <v>10050</v>
      </c>
      <c r="B417" t="s">
        <v>9</v>
      </c>
      <c r="C417" t="s">
        <v>181</v>
      </c>
      <c r="D417" s="5" t="s">
        <v>11</v>
      </c>
      <c r="E417" s="5" t="s">
        <v>12</v>
      </c>
      <c r="F417" s="3" t="s">
        <v>13</v>
      </c>
      <c r="G417" s="3" t="s">
        <v>13</v>
      </c>
      <c r="H417" s="3" t="s">
        <v>13</v>
      </c>
      <c r="I417" s="3">
        <v>45923600</v>
      </c>
    </row>
    <row r="418" spans="1:9" x14ac:dyDescent="0.35">
      <c r="A418" t="str">
        <f>"10052"</f>
        <v>10052</v>
      </c>
      <c r="B418" t="s">
        <v>9</v>
      </c>
      <c r="C418" t="s">
        <v>237</v>
      </c>
      <c r="D418" s="5" t="s">
        <v>11</v>
      </c>
      <c r="E418" s="5" t="s">
        <v>12</v>
      </c>
      <c r="F418" s="3" t="s">
        <v>13</v>
      </c>
      <c r="G418" s="3" t="s">
        <v>13</v>
      </c>
      <c r="H418" s="3" t="s">
        <v>13</v>
      </c>
      <c r="I418" s="3">
        <v>124028000</v>
      </c>
    </row>
    <row r="419" spans="1:9" x14ac:dyDescent="0.35">
      <c r="A419" t="str">
        <f>"10054"</f>
        <v>10054</v>
      </c>
      <c r="B419" t="s">
        <v>9</v>
      </c>
      <c r="C419" t="s">
        <v>238</v>
      </c>
      <c r="D419" s="5" t="s">
        <v>11</v>
      </c>
      <c r="E419" s="5" t="s">
        <v>12</v>
      </c>
      <c r="F419" s="3" t="s">
        <v>13</v>
      </c>
      <c r="G419" s="3" t="s">
        <v>13</v>
      </c>
      <c r="H419" s="3" t="s">
        <v>13</v>
      </c>
      <c r="I419" s="3">
        <v>105913800</v>
      </c>
    </row>
    <row r="420" spans="1:9" x14ac:dyDescent="0.35">
      <c r="A420" t="str">
        <f>"10056"</f>
        <v>10056</v>
      </c>
      <c r="B420" t="s">
        <v>9</v>
      </c>
      <c r="C420" t="s">
        <v>239</v>
      </c>
      <c r="D420" s="5" t="s">
        <v>11</v>
      </c>
      <c r="E420" s="5" t="s">
        <v>12</v>
      </c>
      <c r="F420" s="3" t="s">
        <v>13</v>
      </c>
      <c r="G420" s="3" t="s">
        <v>13</v>
      </c>
      <c r="H420" s="3" t="s">
        <v>13</v>
      </c>
      <c r="I420" s="3">
        <v>76343000</v>
      </c>
    </row>
    <row r="421" spans="1:9" x14ac:dyDescent="0.35">
      <c r="A421" t="str">
        <f>"10058"</f>
        <v>10058</v>
      </c>
      <c r="B421" t="s">
        <v>9</v>
      </c>
      <c r="C421" t="s">
        <v>106</v>
      </c>
      <c r="D421" s="5" t="s">
        <v>11</v>
      </c>
      <c r="E421" s="5" t="s">
        <v>12</v>
      </c>
      <c r="F421" s="3" t="s">
        <v>13</v>
      </c>
      <c r="G421" s="3" t="s">
        <v>13</v>
      </c>
      <c r="H421" s="3" t="s">
        <v>13</v>
      </c>
      <c r="I421" s="3">
        <v>53797000</v>
      </c>
    </row>
    <row r="422" spans="1:9" x14ac:dyDescent="0.35">
      <c r="A422" t="str">
        <f>"10060"</f>
        <v>10060</v>
      </c>
      <c r="B422" t="s">
        <v>9</v>
      </c>
      <c r="C422" t="s">
        <v>240</v>
      </c>
      <c r="D422" s="5" t="s">
        <v>11</v>
      </c>
      <c r="E422" s="5" t="s">
        <v>12</v>
      </c>
      <c r="F422" s="3" t="s">
        <v>13</v>
      </c>
      <c r="G422" s="3" t="s">
        <v>13</v>
      </c>
      <c r="H422" s="3" t="s">
        <v>13</v>
      </c>
      <c r="I422" s="3">
        <v>88063200</v>
      </c>
    </row>
    <row r="423" spans="1:9" x14ac:dyDescent="0.35">
      <c r="A423" t="str">
        <f>"10062"</f>
        <v>10062</v>
      </c>
      <c r="B423" t="s">
        <v>9</v>
      </c>
      <c r="C423" t="s">
        <v>241</v>
      </c>
      <c r="D423" s="5" t="s">
        <v>11</v>
      </c>
      <c r="E423" s="5" t="s">
        <v>12</v>
      </c>
      <c r="F423" s="3" t="s">
        <v>13</v>
      </c>
      <c r="G423" s="3" t="s">
        <v>13</v>
      </c>
      <c r="H423" s="3" t="s">
        <v>13</v>
      </c>
      <c r="I423" s="3">
        <v>114063800</v>
      </c>
    </row>
    <row r="424" spans="1:9" x14ac:dyDescent="0.35">
      <c r="A424" t="str">
        <f>"10064"</f>
        <v>10064</v>
      </c>
      <c r="B424" t="s">
        <v>9</v>
      </c>
      <c r="C424" t="s">
        <v>242</v>
      </c>
      <c r="D424" s="5" t="s">
        <v>11</v>
      </c>
      <c r="E424" s="5" t="s">
        <v>12</v>
      </c>
      <c r="F424" s="3" t="s">
        <v>13</v>
      </c>
      <c r="G424" s="3" t="s">
        <v>13</v>
      </c>
      <c r="H424" s="3" t="s">
        <v>13</v>
      </c>
      <c r="I424" s="3">
        <v>107777600</v>
      </c>
    </row>
    <row r="425" spans="1:9" x14ac:dyDescent="0.35">
      <c r="A425" t="str">
        <f>"10066"</f>
        <v>10066</v>
      </c>
      <c r="B425" t="s">
        <v>9</v>
      </c>
      <c r="C425" t="s">
        <v>243</v>
      </c>
      <c r="D425" s="5" t="s">
        <v>11</v>
      </c>
      <c r="E425" s="5" t="s">
        <v>12</v>
      </c>
      <c r="F425" s="3" t="s">
        <v>13</v>
      </c>
      <c r="G425" s="3" t="s">
        <v>13</v>
      </c>
      <c r="H425" s="3" t="s">
        <v>13</v>
      </c>
      <c r="I425" s="3">
        <v>73638900</v>
      </c>
    </row>
    <row r="426" spans="1:9" x14ac:dyDescent="0.35">
      <c r="A426" t="s">
        <v>30</v>
      </c>
      <c r="B426" t="s">
        <v>31</v>
      </c>
      <c r="C426" t="s">
        <v>32</v>
      </c>
      <c r="D426" s="5" t="s">
        <v>11</v>
      </c>
      <c r="E426" s="5" t="s">
        <v>12</v>
      </c>
      <c r="F426" s="3" t="s">
        <v>13</v>
      </c>
      <c r="G426" s="3" t="s">
        <v>13</v>
      </c>
      <c r="H426" s="3" t="s">
        <v>13</v>
      </c>
      <c r="I426" s="3">
        <v>3123307000</v>
      </c>
    </row>
    <row r="427" spans="1:9" x14ac:dyDescent="0.35">
      <c r="A427" t="str">
        <f>"10111"</f>
        <v>10111</v>
      </c>
      <c r="B427" t="s">
        <v>33</v>
      </c>
      <c r="C427" t="s">
        <v>244</v>
      </c>
      <c r="D427" s="5" t="s">
        <v>11</v>
      </c>
      <c r="E427" s="5" t="s">
        <v>12</v>
      </c>
      <c r="F427" s="3" t="s">
        <v>13</v>
      </c>
      <c r="G427" s="3" t="s">
        <v>13</v>
      </c>
      <c r="H427" s="3" t="s">
        <v>13</v>
      </c>
      <c r="I427" s="3">
        <v>38796000</v>
      </c>
    </row>
    <row r="428" spans="1:9" x14ac:dyDescent="0.35">
      <c r="A428" t="str">
        <f>"10116"</f>
        <v>10116</v>
      </c>
      <c r="B428" t="s">
        <v>33</v>
      </c>
      <c r="C428" t="s">
        <v>245</v>
      </c>
      <c r="D428" s="5" t="s">
        <v>11</v>
      </c>
      <c r="E428" s="5" t="s">
        <v>12</v>
      </c>
      <c r="F428" s="3" t="s">
        <v>13</v>
      </c>
      <c r="G428" s="3" t="s">
        <v>13</v>
      </c>
      <c r="H428" s="3" t="s">
        <v>13</v>
      </c>
      <c r="I428" s="3">
        <v>79027600</v>
      </c>
    </row>
    <row r="429" spans="1:9" x14ac:dyDescent="0.35">
      <c r="A429" t="str">
        <f>"10131"</f>
        <v>10131</v>
      </c>
      <c r="B429" t="s">
        <v>33</v>
      </c>
      <c r="C429" t="s">
        <v>246</v>
      </c>
      <c r="D429" s="5" t="str">
        <f>"001"</f>
        <v>001</v>
      </c>
      <c r="E429" s="5">
        <v>2009</v>
      </c>
      <c r="F429" s="3">
        <v>1363000</v>
      </c>
      <c r="G429" s="3">
        <v>4248200</v>
      </c>
      <c r="H429" s="3">
        <v>2885200</v>
      </c>
    </row>
    <row r="430" spans="1:9" x14ac:dyDescent="0.35">
      <c r="A430" t="str">
        <f>"10131"</f>
        <v>10131</v>
      </c>
      <c r="B430" t="s">
        <v>33</v>
      </c>
      <c r="C430" t="s">
        <v>246</v>
      </c>
      <c r="D430" s="5" t="s">
        <v>11</v>
      </c>
      <c r="E430" s="5" t="s">
        <v>12</v>
      </c>
      <c r="F430" s="3" t="s">
        <v>13</v>
      </c>
      <c r="G430" s="3" t="s">
        <v>13</v>
      </c>
      <c r="H430" s="3" t="s">
        <v>13</v>
      </c>
      <c r="I430" s="3">
        <v>23514300</v>
      </c>
    </row>
    <row r="431" spans="1:9" x14ac:dyDescent="0.35">
      <c r="A431" t="str">
        <f>"10186"</f>
        <v>10186</v>
      </c>
      <c r="B431" t="s">
        <v>33</v>
      </c>
      <c r="C431" t="s">
        <v>238</v>
      </c>
      <c r="D431" s="5" t="s">
        <v>11</v>
      </c>
      <c r="E431" s="5" t="s">
        <v>12</v>
      </c>
      <c r="F431" s="3" t="s">
        <v>13</v>
      </c>
      <c r="G431" s="3" t="s">
        <v>13</v>
      </c>
      <c r="H431" s="3" t="s">
        <v>13</v>
      </c>
      <c r="I431" s="3">
        <v>9987300</v>
      </c>
    </row>
    <row r="432" spans="1:9" x14ac:dyDescent="0.35">
      <c r="A432" t="str">
        <f>"10191"</f>
        <v>10191</v>
      </c>
      <c r="B432" t="s">
        <v>33</v>
      </c>
      <c r="C432" t="s">
        <v>241</v>
      </c>
      <c r="D432" s="5" t="str">
        <f>"002"</f>
        <v>002</v>
      </c>
      <c r="E432" s="5">
        <v>2010</v>
      </c>
      <c r="F432" s="3">
        <v>428700</v>
      </c>
      <c r="G432" s="3">
        <v>2210300</v>
      </c>
      <c r="H432" s="3">
        <v>1781600</v>
      </c>
    </row>
    <row r="433" spans="1:9" x14ac:dyDescent="0.35">
      <c r="A433" t="str">
        <f>"10191"</f>
        <v>10191</v>
      </c>
      <c r="B433" t="s">
        <v>33</v>
      </c>
      <c r="C433" t="s">
        <v>241</v>
      </c>
      <c r="D433" s="5" t="str">
        <f>"003"</f>
        <v>003</v>
      </c>
      <c r="E433" s="5">
        <v>2012</v>
      </c>
      <c r="F433" s="3">
        <v>262800</v>
      </c>
      <c r="G433" s="3">
        <v>1843200</v>
      </c>
      <c r="H433" s="3">
        <v>1580400</v>
      </c>
    </row>
    <row r="434" spans="1:9" x14ac:dyDescent="0.35">
      <c r="A434" t="str">
        <f>"10191"</f>
        <v>10191</v>
      </c>
      <c r="B434" t="s">
        <v>33</v>
      </c>
      <c r="C434" t="s">
        <v>241</v>
      </c>
      <c r="D434" s="5" t="s">
        <v>11</v>
      </c>
      <c r="E434" s="5" t="s">
        <v>12</v>
      </c>
      <c r="F434" s="3" t="s">
        <v>13</v>
      </c>
      <c r="G434" s="3" t="s">
        <v>13</v>
      </c>
      <c r="H434" s="3" t="s">
        <v>13</v>
      </c>
      <c r="I434" s="3">
        <v>40588100</v>
      </c>
    </row>
    <row r="435" spans="1:9" x14ac:dyDescent="0.35">
      <c r="A435" t="s">
        <v>30</v>
      </c>
      <c r="B435" t="s">
        <v>35</v>
      </c>
      <c r="C435" t="s">
        <v>32</v>
      </c>
      <c r="D435" s="5" t="s">
        <v>11</v>
      </c>
      <c r="E435" s="5" t="s">
        <v>12</v>
      </c>
      <c r="F435" s="3" t="s">
        <v>13</v>
      </c>
      <c r="G435" s="3" t="s">
        <v>13</v>
      </c>
      <c r="H435" s="3" t="s">
        <v>13</v>
      </c>
      <c r="I435" s="3">
        <v>191913300</v>
      </c>
    </row>
    <row r="436" spans="1:9" x14ac:dyDescent="0.35">
      <c r="A436" t="str">
        <f>"10201"</f>
        <v>10201</v>
      </c>
      <c r="B436" t="s">
        <v>36</v>
      </c>
      <c r="C436" t="s">
        <v>247</v>
      </c>
      <c r="D436" s="5" t="str">
        <f>"005"</f>
        <v>005</v>
      </c>
      <c r="E436" s="5">
        <v>2008</v>
      </c>
      <c r="F436" s="3">
        <v>458800</v>
      </c>
      <c r="G436" s="3">
        <v>2309500</v>
      </c>
      <c r="H436" s="3">
        <v>1850700</v>
      </c>
    </row>
    <row r="437" spans="1:9" x14ac:dyDescent="0.35">
      <c r="A437" t="str">
        <f>"10201"</f>
        <v>10201</v>
      </c>
      <c r="B437" t="s">
        <v>36</v>
      </c>
      <c r="C437" t="s">
        <v>247</v>
      </c>
      <c r="D437" s="5" t="str">
        <f>"006"</f>
        <v>006</v>
      </c>
      <c r="E437" s="5">
        <v>2016</v>
      </c>
      <c r="F437" s="3">
        <v>2301900</v>
      </c>
      <c r="G437" s="3">
        <v>45756300</v>
      </c>
      <c r="H437" s="3">
        <v>43454400</v>
      </c>
    </row>
    <row r="438" spans="1:9" x14ac:dyDescent="0.35">
      <c r="A438" t="str">
        <f>"10201"</f>
        <v>10201</v>
      </c>
      <c r="B438" t="s">
        <v>36</v>
      </c>
      <c r="C438" t="s">
        <v>247</v>
      </c>
      <c r="D438" s="5" t="str">
        <f>"007"</f>
        <v>007</v>
      </c>
      <c r="E438" s="5">
        <v>2016</v>
      </c>
      <c r="F438" s="3">
        <v>1267400</v>
      </c>
      <c r="G438" s="3">
        <v>2081900</v>
      </c>
      <c r="H438" s="3">
        <v>814500</v>
      </c>
    </row>
    <row r="439" spans="1:9" x14ac:dyDescent="0.35">
      <c r="A439" t="str">
        <f>"10201"</f>
        <v>10201</v>
      </c>
      <c r="B439" t="s">
        <v>36</v>
      </c>
      <c r="C439" t="s">
        <v>247</v>
      </c>
      <c r="D439" s="5" t="s">
        <v>11</v>
      </c>
      <c r="E439" s="5" t="s">
        <v>12</v>
      </c>
      <c r="F439" s="3" t="s">
        <v>13</v>
      </c>
      <c r="G439" s="3" t="s">
        <v>13</v>
      </c>
      <c r="H439" s="3" t="s">
        <v>13</v>
      </c>
      <c r="I439" s="3">
        <v>108197100</v>
      </c>
    </row>
    <row r="440" spans="1:9" x14ac:dyDescent="0.35">
      <c r="A440" t="str">
        <f>"10211"</f>
        <v>10211</v>
      </c>
      <c r="B440" t="s">
        <v>36</v>
      </c>
      <c r="C440" t="s">
        <v>216</v>
      </c>
      <c r="D440" s="5" t="str">
        <f>"004"</f>
        <v>004</v>
      </c>
      <c r="E440" s="5">
        <v>2022</v>
      </c>
      <c r="F440" s="3">
        <v>3180800</v>
      </c>
      <c r="G440" s="3">
        <v>5362900</v>
      </c>
      <c r="H440" s="3">
        <v>2182100</v>
      </c>
    </row>
    <row r="441" spans="1:9" x14ac:dyDescent="0.35">
      <c r="A441" t="str">
        <f>"10211"</f>
        <v>10211</v>
      </c>
      <c r="B441" t="s">
        <v>36</v>
      </c>
      <c r="C441" t="s">
        <v>216</v>
      </c>
      <c r="D441" s="5" t="s">
        <v>11</v>
      </c>
      <c r="E441" s="5" t="s">
        <v>12</v>
      </c>
      <c r="F441" s="3" t="s">
        <v>13</v>
      </c>
      <c r="G441" s="3" t="s">
        <v>13</v>
      </c>
      <c r="H441" s="3" t="s">
        <v>13</v>
      </c>
      <c r="I441" s="3">
        <v>94613000</v>
      </c>
    </row>
    <row r="442" spans="1:9" x14ac:dyDescent="0.35">
      <c r="A442" t="str">
        <f>"10231"</f>
        <v>10231</v>
      </c>
      <c r="B442" t="s">
        <v>36</v>
      </c>
      <c r="C442" t="s">
        <v>248</v>
      </c>
      <c r="D442" s="5" t="str">
        <f>"003"</f>
        <v>003</v>
      </c>
      <c r="E442" s="5">
        <v>2019</v>
      </c>
      <c r="F442" s="3">
        <v>394700</v>
      </c>
      <c r="G442" s="3">
        <v>7768400</v>
      </c>
      <c r="H442" s="3">
        <v>7373700</v>
      </c>
    </row>
    <row r="443" spans="1:9" x14ac:dyDescent="0.35">
      <c r="A443" t="str">
        <f>"10231"</f>
        <v>10231</v>
      </c>
      <c r="B443" t="s">
        <v>36</v>
      </c>
      <c r="C443" t="s">
        <v>248</v>
      </c>
      <c r="D443" s="5" t="s">
        <v>11</v>
      </c>
      <c r="E443" s="5" t="s">
        <v>12</v>
      </c>
      <c r="F443" s="3" t="s">
        <v>13</v>
      </c>
      <c r="G443" s="3" t="s">
        <v>13</v>
      </c>
      <c r="H443" s="3" t="s">
        <v>13</v>
      </c>
      <c r="I443" s="3">
        <v>87305100</v>
      </c>
    </row>
    <row r="444" spans="1:9" x14ac:dyDescent="0.35">
      <c r="A444" t="str">
        <f>"10246"</f>
        <v>10246</v>
      </c>
      <c r="B444" t="s">
        <v>36</v>
      </c>
      <c r="C444" t="s">
        <v>228</v>
      </c>
      <c r="D444" s="5" t="s">
        <v>11</v>
      </c>
      <c r="E444" s="5" t="s">
        <v>12</v>
      </c>
      <c r="F444" s="3" t="s">
        <v>13</v>
      </c>
      <c r="G444" s="3" t="s">
        <v>13</v>
      </c>
      <c r="H444" s="3" t="s">
        <v>13</v>
      </c>
      <c r="I444" s="3">
        <v>112155100</v>
      </c>
    </row>
    <row r="445" spans="1:9" x14ac:dyDescent="0.35">
      <c r="A445" t="str">
        <f>"10261"</f>
        <v>10261</v>
      </c>
      <c r="B445" t="s">
        <v>36</v>
      </c>
      <c r="C445" t="s">
        <v>249</v>
      </c>
      <c r="D445" s="5" t="str">
        <f>"003"</f>
        <v>003</v>
      </c>
      <c r="E445" s="5">
        <v>2006</v>
      </c>
      <c r="F445" s="3">
        <v>304800</v>
      </c>
      <c r="G445" s="3">
        <v>4247100</v>
      </c>
      <c r="H445" s="3">
        <v>3942300</v>
      </c>
    </row>
    <row r="446" spans="1:9" x14ac:dyDescent="0.35">
      <c r="A446" t="str">
        <f>"10261"</f>
        <v>10261</v>
      </c>
      <c r="B446" t="s">
        <v>36</v>
      </c>
      <c r="C446" t="s">
        <v>249</v>
      </c>
      <c r="D446" s="5" t="str">
        <f>"004"</f>
        <v>004</v>
      </c>
      <c r="E446" s="5">
        <v>2021</v>
      </c>
      <c r="F446" s="3">
        <v>6331600</v>
      </c>
      <c r="G446" s="3">
        <v>14230900</v>
      </c>
      <c r="H446" s="3">
        <v>7899300</v>
      </c>
    </row>
    <row r="447" spans="1:9" x14ac:dyDescent="0.35">
      <c r="A447" t="str">
        <f>"10261"</f>
        <v>10261</v>
      </c>
      <c r="B447" t="s">
        <v>36</v>
      </c>
      <c r="C447" t="s">
        <v>249</v>
      </c>
      <c r="D447" s="5" t="str">
        <f>"005"</f>
        <v>005</v>
      </c>
      <c r="E447" s="5">
        <v>2025</v>
      </c>
      <c r="F447" s="3">
        <v>4338700</v>
      </c>
      <c r="G447" s="3">
        <v>4535700</v>
      </c>
      <c r="H447" s="3">
        <v>197000</v>
      </c>
    </row>
    <row r="448" spans="1:9" x14ac:dyDescent="0.35">
      <c r="A448" t="str">
        <f>"10261"</f>
        <v>10261</v>
      </c>
      <c r="B448" t="s">
        <v>36</v>
      </c>
      <c r="C448" t="s">
        <v>249</v>
      </c>
      <c r="D448" s="5" t="s">
        <v>11</v>
      </c>
      <c r="E448" s="5" t="s">
        <v>12</v>
      </c>
      <c r="F448" s="3" t="s">
        <v>13</v>
      </c>
      <c r="G448" s="3" t="s">
        <v>13</v>
      </c>
      <c r="H448" s="3" t="s">
        <v>13</v>
      </c>
      <c r="I448" s="3">
        <v>202843600</v>
      </c>
    </row>
    <row r="449" spans="1:9" x14ac:dyDescent="0.35">
      <c r="A449" t="str">
        <f>"10265"</f>
        <v>10265</v>
      </c>
      <c r="B449" t="s">
        <v>36</v>
      </c>
      <c r="C449" t="s">
        <v>250</v>
      </c>
      <c r="D449" s="5" t="str">
        <f>"003"</f>
        <v>003</v>
      </c>
      <c r="E449" s="5">
        <v>1996</v>
      </c>
      <c r="F449" s="3">
        <v>6100</v>
      </c>
      <c r="G449" s="3">
        <v>1396700</v>
      </c>
      <c r="H449" s="3">
        <v>1390600</v>
      </c>
    </row>
    <row r="450" spans="1:9" x14ac:dyDescent="0.35">
      <c r="A450" t="str">
        <f>"10265"</f>
        <v>10265</v>
      </c>
      <c r="B450" t="s">
        <v>36</v>
      </c>
      <c r="C450" t="s">
        <v>250</v>
      </c>
      <c r="D450" s="5" t="str">
        <f>"004"</f>
        <v>004</v>
      </c>
      <c r="E450" s="5">
        <v>2004</v>
      </c>
      <c r="F450" s="3">
        <v>2268400</v>
      </c>
      <c r="G450" s="3">
        <v>17668300</v>
      </c>
      <c r="H450" s="3">
        <v>15399900</v>
      </c>
    </row>
    <row r="451" spans="1:9" x14ac:dyDescent="0.35">
      <c r="A451" t="str">
        <f>"10265"</f>
        <v>10265</v>
      </c>
      <c r="B451" t="s">
        <v>36</v>
      </c>
      <c r="C451" t="s">
        <v>250</v>
      </c>
      <c r="D451" s="5" t="s">
        <v>11</v>
      </c>
      <c r="E451" s="5" t="s">
        <v>12</v>
      </c>
      <c r="F451" s="3" t="s">
        <v>13</v>
      </c>
      <c r="G451" s="3" t="s">
        <v>13</v>
      </c>
      <c r="H451" s="3" t="s">
        <v>13</v>
      </c>
      <c r="I451" s="3">
        <v>69247500</v>
      </c>
    </row>
    <row r="452" spans="1:9" x14ac:dyDescent="0.35">
      <c r="A452" t="str">
        <f>"10281"</f>
        <v>10281</v>
      </c>
      <c r="B452" t="s">
        <v>36</v>
      </c>
      <c r="C452" t="s">
        <v>76</v>
      </c>
      <c r="D452" s="5" t="s">
        <v>11</v>
      </c>
      <c r="E452" s="5" t="s">
        <v>12</v>
      </c>
      <c r="F452" s="3" t="s">
        <v>13</v>
      </c>
      <c r="G452" s="3" t="s">
        <v>13</v>
      </c>
      <c r="H452" s="3" t="s">
        <v>13</v>
      </c>
      <c r="I452" s="3">
        <v>23992000</v>
      </c>
    </row>
    <row r="453" spans="1:9" x14ac:dyDescent="0.35">
      <c r="A453" t="str">
        <f>"10286"</f>
        <v>10286</v>
      </c>
      <c r="B453" t="s">
        <v>36</v>
      </c>
      <c r="C453" t="s">
        <v>237</v>
      </c>
      <c r="D453" s="5" t="str">
        <f>"007"</f>
        <v>007</v>
      </c>
      <c r="E453" s="5">
        <v>2022</v>
      </c>
      <c r="F453" s="3">
        <v>3607800</v>
      </c>
      <c r="G453" s="3">
        <v>5155900</v>
      </c>
      <c r="H453" s="3">
        <v>1548100</v>
      </c>
    </row>
    <row r="454" spans="1:9" x14ac:dyDescent="0.35">
      <c r="A454" t="str">
        <f>"10286"</f>
        <v>10286</v>
      </c>
      <c r="B454" t="s">
        <v>36</v>
      </c>
      <c r="C454" t="s">
        <v>237</v>
      </c>
      <c r="D454" s="5" t="s">
        <v>11</v>
      </c>
      <c r="E454" s="5" t="s">
        <v>12</v>
      </c>
      <c r="F454" s="3" t="s">
        <v>13</v>
      </c>
      <c r="G454" s="3" t="s">
        <v>13</v>
      </c>
      <c r="H454" s="3" t="s">
        <v>13</v>
      </c>
      <c r="I454" s="3">
        <v>183501500</v>
      </c>
    </row>
    <row r="455" spans="1:9" x14ac:dyDescent="0.35">
      <c r="A455" t="s">
        <v>30</v>
      </c>
      <c r="B455" t="s">
        <v>38</v>
      </c>
      <c r="C455" t="s">
        <v>32</v>
      </c>
      <c r="D455" s="5" t="s">
        <v>11</v>
      </c>
      <c r="E455" s="5" t="s">
        <v>12</v>
      </c>
      <c r="F455" s="3" t="s">
        <v>13</v>
      </c>
      <c r="G455" s="3" t="s">
        <v>13</v>
      </c>
      <c r="H455" s="3" t="s">
        <v>13</v>
      </c>
      <c r="I455" s="3">
        <v>881854900</v>
      </c>
    </row>
    <row r="456" spans="1:9" x14ac:dyDescent="0.35">
      <c r="A456" t="s">
        <v>30</v>
      </c>
      <c r="B456" t="s">
        <v>39</v>
      </c>
      <c r="C456" t="s">
        <v>251</v>
      </c>
      <c r="D456" s="5" t="s">
        <v>11</v>
      </c>
      <c r="E456" s="5" t="s">
        <v>12</v>
      </c>
      <c r="F456" s="3" t="s">
        <v>13</v>
      </c>
      <c r="G456" s="3" t="s">
        <v>13</v>
      </c>
      <c r="H456" s="3" t="s">
        <v>13</v>
      </c>
      <c r="I456" s="3">
        <v>4197075200</v>
      </c>
    </row>
    <row r="457" spans="1:9" x14ac:dyDescent="0.35">
      <c r="A457" t="str">
        <f>"11002"</f>
        <v>11002</v>
      </c>
      <c r="B457" t="s">
        <v>9</v>
      </c>
      <c r="C457" t="s">
        <v>252</v>
      </c>
      <c r="D457" s="5" t="s">
        <v>11</v>
      </c>
      <c r="E457" s="5" t="s">
        <v>12</v>
      </c>
      <c r="F457" s="3" t="s">
        <v>13</v>
      </c>
      <c r="G457" s="3" t="s">
        <v>13</v>
      </c>
      <c r="H457" s="3" t="s">
        <v>13</v>
      </c>
      <c r="I457" s="3">
        <v>193227200</v>
      </c>
    </row>
    <row r="458" spans="1:9" x14ac:dyDescent="0.35">
      <c r="A458" t="str">
        <f>"11004"</f>
        <v>11004</v>
      </c>
      <c r="B458" t="s">
        <v>9</v>
      </c>
      <c r="C458" t="s">
        <v>253</v>
      </c>
      <c r="D458" s="5" t="s">
        <v>11</v>
      </c>
      <c r="E458" s="5" t="s">
        <v>12</v>
      </c>
      <c r="F458" s="3" t="s">
        <v>13</v>
      </c>
      <c r="G458" s="3" t="s">
        <v>13</v>
      </c>
      <c r="H458" s="3" t="s">
        <v>13</v>
      </c>
      <c r="I458" s="3">
        <v>479052900</v>
      </c>
    </row>
    <row r="459" spans="1:9" x14ac:dyDescent="0.35">
      <c r="A459" t="str">
        <f>"11006"</f>
        <v>11006</v>
      </c>
      <c r="B459" t="s">
        <v>9</v>
      </c>
      <c r="C459" t="s">
        <v>254</v>
      </c>
      <c r="D459" s="5" t="s">
        <v>11</v>
      </c>
      <c r="E459" s="5" t="s">
        <v>12</v>
      </c>
      <c r="F459" s="3" t="s">
        <v>13</v>
      </c>
      <c r="G459" s="3" t="s">
        <v>13</v>
      </c>
      <c r="H459" s="3" t="s">
        <v>13</v>
      </c>
      <c r="I459" s="3">
        <v>146588800</v>
      </c>
    </row>
    <row r="460" spans="1:9" x14ac:dyDescent="0.35">
      <c r="A460" t="str">
        <f>"11008"</f>
        <v>11008</v>
      </c>
      <c r="B460" t="s">
        <v>9</v>
      </c>
      <c r="C460" t="s">
        <v>255</v>
      </c>
      <c r="D460" s="5" t="s">
        <v>11</v>
      </c>
      <c r="E460" s="5" t="s">
        <v>12</v>
      </c>
      <c r="F460" s="3" t="s">
        <v>13</v>
      </c>
      <c r="G460" s="3" t="s">
        <v>13</v>
      </c>
      <c r="H460" s="3" t="s">
        <v>13</v>
      </c>
      <c r="I460" s="3">
        <v>100705100</v>
      </c>
    </row>
    <row r="461" spans="1:9" x14ac:dyDescent="0.35">
      <c r="A461" t="str">
        <f>"11010"</f>
        <v>11010</v>
      </c>
      <c r="B461" t="s">
        <v>9</v>
      </c>
      <c r="C461" t="s">
        <v>256</v>
      </c>
      <c r="D461" s="5" t="s">
        <v>11</v>
      </c>
      <c r="E461" s="5" t="s">
        <v>12</v>
      </c>
      <c r="F461" s="3" t="s">
        <v>13</v>
      </c>
      <c r="G461" s="3" t="s">
        <v>13</v>
      </c>
      <c r="H461" s="3" t="s">
        <v>13</v>
      </c>
      <c r="I461" s="3">
        <v>761541800</v>
      </c>
    </row>
    <row r="462" spans="1:9" x14ac:dyDescent="0.35">
      <c r="A462" t="str">
        <f>"11012"</f>
        <v>11012</v>
      </c>
      <c r="B462" t="s">
        <v>9</v>
      </c>
      <c r="C462" t="s">
        <v>257</v>
      </c>
      <c r="D462" s="5" t="s">
        <v>11</v>
      </c>
      <c r="E462" s="5" t="s">
        <v>12</v>
      </c>
      <c r="F462" s="3" t="s">
        <v>13</v>
      </c>
      <c r="G462" s="3" t="s">
        <v>13</v>
      </c>
      <c r="H462" s="3" t="s">
        <v>13</v>
      </c>
      <c r="I462" s="3">
        <v>153960700</v>
      </c>
    </row>
    <row r="463" spans="1:9" x14ac:dyDescent="0.35">
      <c r="A463" t="str">
        <f>"11014"</f>
        <v>11014</v>
      </c>
      <c r="B463" t="s">
        <v>9</v>
      </c>
      <c r="C463" t="s">
        <v>258</v>
      </c>
      <c r="D463" s="5" t="s">
        <v>11</v>
      </c>
      <c r="E463" s="5" t="s">
        <v>12</v>
      </c>
      <c r="F463" s="3" t="s">
        <v>13</v>
      </c>
      <c r="G463" s="3" t="s">
        <v>13</v>
      </c>
      <c r="H463" s="3" t="s">
        <v>13</v>
      </c>
      <c r="I463" s="3">
        <v>192602000</v>
      </c>
    </row>
    <row r="464" spans="1:9" x14ac:dyDescent="0.35">
      <c r="A464" t="str">
        <f>"11016"</f>
        <v>11016</v>
      </c>
      <c r="B464" t="s">
        <v>9</v>
      </c>
      <c r="C464" t="s">
        <v>259</v>
      </c>
      <c r="D464" s="5" t="s">
        <v>11</v>
      </c>
      <c r="E464" s="5" t="s">
        <v>12</v>
      </c>
      <c r="F464" s="3" t="s">
        <v>13</v>
      </c>
      <c r="G464" s="3" t="s">
        <v>13</v>
      </c>
      <c r="H464" s="3" t="s">
        <v>13</v>
      </c>
      <c r="I464" s="3">
        <v>135273200</v>
      </c>
    </row>
    <row r="465" spans="1:9" x14ac:dyDescent="0.35">
      <c r="A465" t="str">
        <f>"11018"</f>
        <v>11018</v>
      </c>
      <c r="B465" t="s">
        <v>9</v>
      </c>
      <c r="C465" t="s">
        <v>260</v>
      </c>
      <c r="D465" s="5" t="s">
        <v>11</v>
      </c>
      <c r="E465" s="5" t="s">
        <v>12</v>
      </c>
      <c r="F465" s="3" t="s">
        <v>13</v>
      </c>
      <c r="G465" s="3" t="s">
        <v>13</v>
      </c>
      <c r="H465" s="3" t="s">
        <v>13</v>
      </c>
      <c r="I465" s="3">
        <v>161026200</v>
      </c>
    </row>
    <row r="466" spans="1:9" x14ac:dyDescent="0.35">
      <c r="A466" t="str">
        <f>"11020"</f>
        <v>11020</v>
      </c>
      <c r="B466" t="s">
        <v>9</v>
      </c>
      <c r="C466" t="s">
        <v>261</v>
      </c>
      <c r="D466" s="5" t="s">
        <v>11</v>
      </c>
      <c r="E466" s="5" t="s">
        <v>12</v>
      </c>
      <c r="F466" s="3" t="s">
        <v>13</v>
      </c>
      <c r="G466" s="3" t="s">
        <v>13</v>
      </c>
      <c r="H466" s="3" t="s">
        <v>13</v>
      </c>
      <c r="I466" s="3">
        <v>270337500</v>
      </c>
    </row>
    <row r="467" spans="1:9" x14ac:dyDescent="0.35">
      <c r="A467" t="str">
        <f>"11022"</f>
        <v>11022</v>
      </c>
      <c r="B467" t="s">
        <v>9</v>
      </c>
      <c r="C467" t="s">
        <v>262</v>
      </c>
      <c r="D467" s="5" t="s">
        <v>11</v>
      </c>
      <c r="E467" s="5" t="s">
        <v>12</v>
      </c>
      <c r="F467" s="3" t="s">
        <v>13</v>
      </c>
      <c r="G467" s="3" t="s">
        <v>13</v>
      </c>
      <c r="H467" s="3" t="s">
        <v>13</v>
      </c>
      <c r="I467" s="3">
        <v>1027146000</v>
      </c>
    </row>
    <row r="468" spans="1:9" x14ac:dyDescent="0.35">
      <c r="A468" t="str">
        <f>"11024"</f>
        <v>11024</v>
      </c>
      <c r="B468" t="s">
        <v>9</v>
      </c>
      <c r="C468" t="s">
        <v>263</v>
      </c>
      <c r="D468" s="5" t="s">
        <v>11</v>
      </c>
      <c r="E468" s="5" t="s">
        <v>12</v>
      </c>
      <c r="F468" s="3" t="s">
        <v>13</v>
      </c>
      <c r="G468" s="3" t="s">
        <v>13</v>
      </c>
      <c r="H468" s="3" t="s">
        <v>13</v>
      </c>
      <c r="I468" s="3">
        <v>222891000</v>
      </c>
    </row>
    <row r="469" spans="1:9" x14ac:dyDescent="0.35">
      <c r="A469" t="str">
        <f>"11026"</f>
        <v>11026</v>
      </c>
      <c r="B469" t="s">
        <v>9</v>
      </c>
      <c r="C469" t="s">
        <v>264</v>
      </c>
      <c r="D469" s="5" t="s">
        <v>11</v>
      </c>
      <c r="E469" s="5" t="s">
        <v>12</v>
      </c>
      <c r="F469" s="3" t="s">
        <v>13</v>
      </c>
      <c r="G469" s="3" t="s">
        <v>13</v>
      </c>
      <c r="H469" s="3" t="s">
        <v>13</v>
      </c>
      <c r="I469" s="3">
        <v>192520000</v>
      </c>
    </row>
    <row r="470" spans="1:9" x14ac:dyDescent="0.35">
      <c r="A470" t="str">
        <f>"11028"</f>
        <v>11028</v>
      </c>
      <c r="B470" t="s">
        <v>9</v>
      </c>
      <c r="C470" t="s">
        <v>265</v>
      </c>
      <c r="D470" s="5" t="s">
        <v>11</v>
      </c>
      <c r="E470" s="5" t="s">
        <v>12</v>
      </c>
      <c r="F470" s="3" t="s">
        <v>13</v>
      </c>
      <c r="G470" s="3" t="s">
        <v>13</v>
      </c>
      <c r="H470" s="3" t="s">
        <v>13</v>
      </c>
      <c r="I470" s="3">
        <v>114893700</v>
      </c>
    </row>
    <row r="471" spans="1:9" x14ac:dyDescent="0.35">
      <c r="A471" t="str">
        <f>"11030"</f>
        <v>11030</v>
      </c>
      <c r="B471" t="s">
        <v>9</v>
      </c>
      <c r="C471" t="s">
        <v>266</v>
      </c>
      <c r="D471" s="5" t="s">
        <v>11</v>
      </c>
      <c r="E471" s="5" t="s">
        <v>12</v>
      </c>
      <c r="F471" s="3" t="s">
        <v>13</v>
      </c>
      <c r="G471" s="3" t="s">
        <v>13</v>
      </c>
      <c r="H471" s="3" t="s">
        <v>13</v>
      </c>
      <c r="I471" s="3">
        <v>152936200</v>
      </c>
    </row>
    <row r="472" spans="1:9" x14ac:dyDescent="0.35">
      <c r="A472" t="str">
        <f>"11032"</f>
        <v>11032</v>
      </c>
      <c r="B472" t="s">
        <v>9</v>
      </c>
      <c r="C472" t="s">
        <v>267</v>
      </c>
      <c r="D472" s="5" t="s">
        <v>11</v>
      </c>
      <c r="E472" s="5" t="s">
        <v>12</v>
      </c>
      <c r="F472" s="3" t="s">
        <v>13</v>
      </c>
      <c r="G472" s="3" t="s">
        <v>13</v>
      </c>
      <c r="H472" s="3" t="s">
        <v>13</v>
      </c>
      <c r="I472" s="3">
        <v>526840300</v>
      </c>
    </row>
    <row r="473" spans="1:9" x14ac:dyDescent="0.35">
      <c r="A473" t="str">
        <f>"11034"</f>
        <v>11034</v>
      </c>
      <c r="B473" t="s">
        <v>9</v>
      </c>
      <c r="C473" t="s">
        <v>268</v>
      </c>
      <c r="D473" s="5" t="s">
        <v>11</v>
      </c>
      <c r="E473" s="5" t="s">
        <v>12</v>
      </c>
      <c r="F473" s="3" t="s">
        <v>13</v>
      </c>
      <c r="G473" s="3" t="s">
        <v>13</v>
      </c>
      <c r="H473" s="3" t="s">
        <v>13</v>
      </c>
      <c r="I473" s="3">
        <v>160538100</v>
      </c>
    </row>
    <row r="474" spans="1:9" x14ac:dyDescent="0.35">
      <c r="A474" t="str">
        <f>"11036"</f>
        <v>11036</v>
      </c>
      <c r="B474" t="s">
        <v>9</v>
      </c>
      <c r="C474" t="s">
        <v>118</v>
      </c>
      <c r="D474" s="5" t="s">
        <v>11</v>
      </c>
      <c r="E474" s="5" t="s">
        <v>12</v>
      </c>
      <c r="F474" s="3" t="s">
        <v>13</v>
      </c>
      <c r="G474" s="3" t="s">
        <v>13</v>
      </c>
      <c r="H474" s="3" t="s">
        <v>13</v>
      </c>
      <c r="I474" s="3">
        <v>131318200</v>
      </c>
    </row>
    <row r="475" spans="1:9" x14ac:dyDescent="0.35">
      <c r="A475" t="str">
        <f>"11038"</f>
        <v>11038</v>
      </c>
      <c r="B475" t="s">
        <v>9</v>
      </c>
      <c r="C475" t="s">
        <v>269</v>
      </c>
      <c r="D475" s="5" t="s">
        <v>11</v>
      </c>
      <c r="E475" s="5" t="s">
        <v>12</v>
      </c>
      <c r="F475" s="3" t="s">
        <v>13</v>
      </c>
      <c r="G475" s="3" t="s">
        <v>13</v>
      </c>
      <c r="H475" s="3" t="s">
        <v>13</v>
      </c>
      <c r="I475" s="3">
        <v>121868800</v>
      </c>
    </row>
    <row r="476" spans="1:9" x14ac:dyDescent="0.35">
      <c r="A476" t="str">
        <f>"11040"</f>
        <v>11040</v>
      </c>
      <c r="B476" t="s">
        <v>9</v>
      </c>
      <c r="C476" t="s">
        <v>270</v>
      </c>
      <c r="D476" s="5" t="s">
        <v>11</v>
      </c>
      <c r="E476" s="5" t="s">
        <v>12</v>
      </c>
      <c r="F476" s="3" t="s">
        <v>13</v>
      </c>
      <c r="G476" s="3" t="s">
        <v>13</v>
      </c>
      <c r="H476" s="3" t="s">
        <v>13</v>
      </c>
      <c r="I476" s="3">
        <v>714490600</v>
      </c>
    </row>
    <row r="477" spans="1:9" x14ac:dyDescent="0.35">
      <c r="A477" t="str">
        <f>"11042"</f>
        <v>11042</v>
      </c>
      <c r="B477" t="s">
        <v>9</v>
      </c>
      <c r="C477" t="s">
        <v>271</v>
      </c>
      <c r="D477" s="5" t="s">
        <v>11</v>
      </c>
      <c r="E477" s="5" t="s">
        <v>12</v>
      </c>
      <c r="F477" s="3" t="s">
        <v>13</v>
      </c>
      <c r="G477" s="3" t="s">
        <v>13</v>
      </c>
      <c r="H477" s="3" t="s">
        <v>13</v>
      </c>
      <c r="I477" s="3">
        <v>402856100</v>
      </c>
    </row>
    <row r="478" spans="1:9" x14ac:dyDescent="0.35">
      <c r="A478" t="s">
        <v>30</v>
      </c>
      <c r="B478" t="s">
        <v>31</v>
      </c>
      <c r="C478" t="s">
        <v>32</v>
      </c>
      <c r="D478" s="5" t="s">
        <v>11</v>
      </c>
      <c r="E478" s="5" t="s">
        <v>12</v>
      </c>
      <c r="F478" s="3" t="s">
        <v>13</v>
      </c>
      <c r="G478" s="3" t="s">
        <v>13</v>
      </c>
      <c r="H478" s="3" t="s">
        <v>13</v>
      </c>
      <c r="I478" s="3">
        <v>6362614400</v>
      </c>
    </row>
    <row r="479" spans="1:9" x14ac:dyDescent="0.35">
      <c r="A479" t="str">
        <f>"11101"</f>
        <v>11101</v>
      </c>
      <c r="B479" t="s">
        <v>33</v>
      </c>
      <c r="C479" t="s">
        <v>252</v>
      </c>
      <c r="D479" s="5" t="str">
        <f>"003"</f>
        <v>003</v>
      </c>
      <c r="E479" s="5">
        <v>2024</v>
      </c>
      <c r="F479" s="3">
        <v>1203800</v>
      </c>
      <c r="G479" s="3">
        <v>17623100</v>
      </c>
      <c r="H479" s="3">
        <v>16419300</v>
      </c>
    </row>
    <row r="480" spans="1:9" x14ac:dyDescent="0.35">
      <c r="A480" t="str">
        <f>"11101"</f>
        <v>11101</v>
      </c>
      <c r="B480" t="s">
        <v>33</v>
      </c>
      <c r="C480" t="s">
        <v>252</v>
      </c>
      <c r="D480" s="5" t="s">
        <v>11</v>
      </c>
      <c r="E480" s="5" t="s">
        <v>12</v>
      </c>
      <c r="F480" s="3" t="s">
        <v>13</v>
      </c>
      <c r="G480" s="3" t="s">
        <v>13</v>
      </c>
      <c r="H480" s="3" t="s">
        <v>13</v>
      </c>
      <c r="I480" s="3">
        <v>139847200</v>
      </c>
    </row>
    <row r="481" spans="1:9" x14ac:dyDescent="0.35">
      <c r="A481" t="str">
        <f>"11111"</f>
        <v>11111</v>
      </c>
      <c r="B481" t="s">
        <v>33</v>
      </c>
      <c r="C481" t="s">
        <v>272</v>
      </c>
      <c r="D481" s="5" t="s">
        <v>11</v>
      </c>
      <c r="E481" s="5" t="s">
        <v>12</v>
      </c>
      <c r="F481" s="3" t="s">
        <v>13</v>
      </c>
      <c r="G481" s="3" t="s">
        <v>13</v>
      </c>
      <c r="H481" s="3" t="s">
        <v>13</v>
      </c>
      <c r="I481" s="3">
        <v>90456300</v>
      </c>
    </row>
    <row r="482" spans="1:9" x14ac:dyDescent="0.35">
      <c r="A482" t="str">
        <f>"11116"</f>
        <v>11116</v>
      </c>
      <c r="B482" t="s">
        <v>33</v>
      </c>
      <c r="C482" t="s">
        <v>273</v>
      </c>
      <c r="D482" s="5" t="s">
        <v>11</v>
      </c>
      <c r="E482" s="5" t="s">
        <v>12</v>
      </c>
      <c r="F482" s="3" t="s">
        <v>13</v>
      </c>
      <c r="G482" s="3" t="s">
        <v>13</v>
      </c>
      <c r="H482" s="3" t="s">
        <v>13</v>
      </c>
      <c r="I482" s="3">
        <v>28628400</v>
      </c>
    </row>
    <row r="483" spans="1:9" x14ac:dyDescent="0.35">
      <c r="A483" t="str">
        <f>"11126"</f>
        <v>11126</v>
      </c>
      <c r="B483" t="s">
        <v>33</v>
      </c>
      <c r="C483" t="s">
        <v>274</v>
      </c>
      <c r="D483" s="5" t="str">
        <f>"005"</f>
        <v>005</v>
      </c>
      <c r="E483" s="5">
        <v>2020</v>
      </c>
      <c r="F483" s="3">
        <v>21693100</v>
      </c>
      <c r="G483" s="3">
        <v>37354900</v>
      </c>
      <c r="H483" s="3">
        <v>15661800</v>
      </c>
    </row>
    <row r="484" spans="1:9" x14ac:dyDescent="0.35">
      <c r="A484" t="str">
        <f>"11126"</f>
        <v>11126</v>
      </c>
      <c r="B484" t="s">
        <v>33</v>
      </c>
      <c r="C484" t="s">
        <v>274</v>
      </c>
      <c r="D484" s="5" t="s">
        <v>11</v>
      </c>
      <c r="E484" s="5" t="s">
        <v>12</v>
      </c>
      <c r="F484" s="3" t="s">
        <v>13</v>
      </c>
      <c r="G484" s="3" t="s">
        <v>13</v>
      </c>
      <c r="H484" s="3" t="s">
        <v>13</v>
      </c>
      <c r="I484" s="3">
        <v>290406900</v>
      </c>
    </row>
    <row r="485" spans="1:9" x14ac:dyDescent="0.35">
      <c r="A485" t="str">
        <f>"11127"</f>
        <v>11127</v>
      </c>
      <c r="B485" t="s">
        <v>33</v>
      </c>
      <c r="C485" t="s">
        <v>275</v>
      </c>
      <c r="D485" s="5" t="s">
        <v>11</v>
      </c>
      <c r="E485" s="5" t="s">
        <v>12</v>
      </c>
      <c r="F485" s="3" t="s">
        <v>13</v>
      </c>
      <c r="G485" s="3" t="s">
        <v>13</v>
      </c>
      <c r="H485" s="3" t="s">
        <v>13</v>
      </c>
      <c r="I485" s="3">
        <v>38510500</v>
      </c>
    </row>
    <row r="486" spans="1:9" x14ac:dyDescent="0.35">
      <c r="A486" t="str">
        <f>"11171"</f>
        <v>11171</v>
      </c>
      <c r="B486" t="s">
        <v>33</v>
      </c>
      <c r="C486" t="s">
        <v>276</v>
      </c>
      <c r="D486" s="5" t="str">
        <f>"002"</f>
        <v>002</v>
      </c>
      <c r="E486" s="5">
        <v>2021</v>
      </c>
      <c r="F486" s="3">
        <v>17676500</v>
      </c>
      <c r="G486" s="3">
        <v>49266300</v>
      </c>
      <c r="H486" s="3">
        <v>31589800</v>
      </c>
    </row>
    <row r="487" spans="1:9" x14ac:dyDescent="0.35">
      <c r="A487" t="str">
        <f>"11171"</f>
        <v>11171</v>
      </c>
      <c r="B487" t="s">
        <v>33</v>
      </c>
      <c r="C487" t="s">
        <v>276</v>
      </c>
      <c r="D487" s="5" t="s">
        <v>11</v>
      </c>
      <c r="E487" s="5" t="s">
        <v>12</v>
      </c>
      <c r="F487" s="3" t="s">
        <v>13</v>
      </c>
      <c r="G487" s="3" t="s">
        <v>13</v>
      </c>
      <c r="H487" s="3" t="s">
        <v>13</v>
      </c>
      <c r="I487" s="3">
        <v>275090500</v>
      </c>
    </row>
    <row r="488" spans="1:9" x14ac:dyDescent="0.35">
      <c r="A488" t="str">
        <f>"11172"</f>
        <v>11172</v>
      </c>
      <c r="B488" t="s">
        <v>33</v>
      </c>
      <c r="C488" t="s">
        <v>277</v>
      </c>
      <c r="D488" s="5" t="str">
        <f>"004"</f>
        <v>004</v>
      </c>
      <c r="E488" s="5">
        <v>2023</v>
      </c>
      <c r="F488" s="3">
        <v>29180700</v>
      </c>
      <c r="G488" s="3">
        <v>67953600</v>
      </c>
      <c r="H488" s="3">
        <v>38772900</v>
      </c>
    </row>
    <row r="489" spans="1:9" x14ac:dyDescent="0.35">
      <c r="A489" t="str">
        <f>"11172"</f>
        <v>11172</v>
      </c>
      <c r="B489" t="s">
        <v>33</v>
      </c>
      <c r="C489" t="s">
        <v>277</v>
      </c>
      <c r="D489" s="5" t="s">
        <v>11</v>
      </c>
      <c r="E489" s="5" t="s">
        <v>12</v>
      </c>
      <c r="F489" s="3" t="s">
        <v>13</v>
      </c>
      <c r="G489" s="3" t="s">
        <v>13</v>
      </c>
      <c r="H489" s="3" t="s">
        <v>13</v>
      </c>
      <c r="I489" s="3">
        <v>330419200</v>
      </c>
    </row>
    <row r="490" spans="1:9" x14ac:dyDescent="0.35">
      <c r="A490" t="str">
        <f>"11176"</f>
        <v>11176</v>
      </c>
      <c r="B490" t="s">
        <v>33</v>
      </c>
      <c r="C490" t="s">
        <v>268</v>
      </c>
      <c r="D490" s="5" t="str">
        <f>"003"</f>
        <v>003</v>
      </c>
      <c r="E490" s="5">
        <v>2024</v>
      </c>
      <c r="F490" s="3">
        <v>1207600</v>
      </c>
      <c r="G490" s="3">
        <v>1304600</v>
      </c>
      <c r="H490" s="3">
        <v>97000</v>
      </c>
    </row>
    <row r="491" spans="1:9" x14ac:dyDescent="0.35">
      <c r="A491" t="str">
        <f>"11176"</f>
        <v>11176</v>
      </c>
      <c r="B491" t="s">
        <v>33</v>
      </c>
      <c r="C491" t="s">
        <v>268</v>
      </c>
      <c r="D491" s="5" t="s">
        <v>11</v>
      </c>
      <c r="E491" s="5" t="s">
        <v>12</v>
      </c>
      <c r="F491" s="3" t="s">
        <v>13</v>
      </c>
      <c r="G491" s="3" t="s">
        <v>13</v>
      </c>
      <c r="H491" s="3" t="s">
        <v>13</v>
      </c>
      <c r="I491" s="3">
        <v>50919300</v>
      </c>
    </row>
    <row r="492" spans="1:9" x14ac:dyDescent="0.35">
      <c r="A492" t="str">
        <f>"11177"</f>
        <v>11177</v>
      </c>
      <c r="B492" t="s">
        <v>33</v>
      </c>
      <c r="C492" t="s">
        <v>278</v>
      </c>
      <c r="D492" s="5" t="s">
        <v>11</v>
      </c>
      <c r="E492" s="5" t="s">
        <v>12</v>
      </c>
      <c r="F492" s="3" t="s">
        <v>13</v>
      </c>
      <c r="G492" s="3" t="s">
        <v>13</v>
      </c>
      <c r="H492" s="3" t="s">
        <v>13</v>
      </c>
      <c r="I492" s="3">
        <v>131157500</v>
      </c>
    </row>
    <row r="493" spans="1:9" x14ac:dyDescent="0.35">
      <c r="A493" t="str">
        <f>"11191"</f>
        <v>11191</v>
      </c>
      <c r="B493" t="s">
        <v>33</v>
      </c>
      <c r="C493" t="s">
        <v>271</v>
      </c>
      <c r="D493" s="5" t="s">
        <v>11</v>
      </c>
      <c r="E493" s="5" t="s">
        <v>12</v>
      </c>
      <c r="F493" s="3" t="s">
        <v>13</v>
      </c>
      <c r="G493" s="3" t="s">
        <v>13</v>
      </c>
      <c r="H493" s="3" t="s">
        <v>13</v>
      </c>
      <c r="I493" s="3">
        <v>86818700</v>
      </c>
    </row>
    <row r="494" spans="1:9" x14ac:dyDescent="0.35">
      <c r="A494" t="s">
        <v>30</v>
      </c>
      <c r="B494" t="s">
        <v>35</v>
      </c>
      <c r="C494" t="s">
        <v>32</v>
      </c>
      <c r="D494" s="5" t="s">
        <v>11</v>
      </c>
      <c r="E494" s="5" t="s">
        <v>12</v>
      </c>
      <c r="F494" s="3" t="s">
        <v>13</v>
      </c>
      <c r="G494" s="3" t="s">
        <v>13</v>
      </c>
      <c r="H494" s="3" t="s">
        <v>13</v>
      </c>
      <c r="I494" s="3">
        <v>1462254500</v>
      </c>
    </row>
    <row r="495" spans="1:9" x14ac:dyDescent="0.35">
      <c r="A495" t="str">
        <f>"11211"</f>
        <v>11211</v>
      </c>
      <c r="B495" t="s">
        <v>36</v>
      </c>
      <c r="C495" t="s">
        <v>254</v>
      </c>
      <c r="D495" s="5" t="str">
        <f>"004"</f>
        <v>004</v>
      </c>
      <c r="E495" s="5">
        <v>2015</v>
      </c>
      <c r="F495" s="3">
        <v>2995500</v>
      </c>
      <c r="G495" s="3">
        <v>25834000</v>
      </c>
      <c r="H495" s="3">
        <v>22838500</v>
      </c>
    </row>
    <row r="496" spans="1:9" x14ac:dyDescent="0.35">
      <c r="A496" t="str">
        <f>"11211"</f>
        <v>11211</v>
      </c>
      <c r="B496" t="s">
        <v>36</v>
      </c>
      <c r="C496" t="s">
        <v>254</v>
      </c>
      <c r="D496" s="5" t="str">
        <f>"005"</f>
        <v>005</v>
      </c>
      <c r="E496" s="5">
        <v>2019</v>
      </c>
      <c r="F496" s="3">
        <v>4506000</v>
      </c>
      <c r="G496" s="3">
        <v>8250900</v>
      </c>
      <c r="H496" s="3">
        <v>3744900</v>
      </c>
    </row>
    <row r="497" spans="1:9" x14ac:dyDescent="0.35">
      <c r="A497" t="str">
        <f>"11211"</f>
        <v>11211</v>
      </c>
      <c r="B497" t="s">
        <v>36</v>
      </c>
      <c r="C497" t="s">
        <v>254</v>
      </c>
      <c r="D497" s="5" t="str">
        <f>"006"</f>
        <v>006</v>
      </c>
      <c r="E497" s="5">
        <v>2021</v>
      </c>
      <c r="F497" s="3">
        <v>14041700</v>
      </c>
      <c r="G497" s="3">
        <v>21480000</v>
      </c>
      <c r="H497" s="3">
        <v>7438300</v>
      </c>
    </row>
    <row r="498" spans="1:9" x14ac:dyDescent="0.35">
      <c r="A498" t="str">
        <f>"11211"</f>
        <v>11211</v>
      </c>
      <c r="B498" t="s">
        <v>36</v>
      </c>
      <c r="C498" t="s">
        <v>254</v>
      </c>
      <c r="D498" s="5" t="str">
        <f>"007"</f>
        <v>007</v>
      </c>
      <c r="E498" s="5">
        <v>2024</v>
      </c>
      <c r="F498" s="3">
        <v>3963700</v>
      </c>
      <c r="G498" s="3">
        <v>6942800</v>
      </c>
      <c r="H498" s="3">
        <v>2979100</v>
      </c>
    </row>
    <row r="499" spans="1:9" x14ac:dyDescent="0.35">
      <c r="A499" t="str">
        <f>"11211"</f>
        <v>11211</v>
      </c>
      <c r="B499" t="s">
        <v>36</v>
      </c>
      <c r="C499" t="s">
        <v>254</v>
      </c>
      <c r="D499" s="5" t="s">
        <v>11</v>
      </c>
      <c r="E499" s="5" t="s">
        <v>12</v>
      </c>
      <c r="F499" s="3" t="s">
        <v>13</v>
      </c>
      <c r="G499" s="3" t="s">
        <v>13</v>
      </c>
      <c r="H499" s="3" t="s">
        <v>13</v>
      </c>
      <c r="I499" s="3">
        <v>709080900</v>
      </c>
    </row>
    <row r="500" spans="1:9" x14ac:dyDescent="0.35">
      <c r="A500" t="str">
        <f>"11246"</f>
        <v>11246</v>
      </c>
      <c r="B500" t="s">
        <v>36</v>
      </c>
      <c r="C500" t="s">
        <v>262</v>
      </c>
      <c r="D500" s="5" t="str">
        <f>"003"</f>
        <v>003</v>
      </c>
      <c r="E500" s="5">
        <v>2005</v>
      </c>
      <c r="F500" s="3">
        <v>161000</v>
      </c>
      <c r="G500" s="3">
        <v>1285600</v>
      </c>
      <c r="H500" s="3">
        <v>1124600</v>
      </c>
    </row>
    <row r="501" spans="1:9" x14ac:dyDescent="0.35">
      <c r="A501" t="str">
        <f>"11246"</f>
        <v>11246</v>
      </c>
      <c r="B501" t="s">
        <v>36</v>
      </c>
      <c r="C501" t="s">
        <v>262</v>
      </c>
      <c r="D501" s="5" t="str">
        <f>"004"</f>
        <v>004</v>
      </c>
      <c r="E501" s="5">
        <v>2015</v>
      </c>
      <c r="F501" s="3">
        <v>16032800</v>
      </c>
      <c r="G501" s="3">
        <v>28176700</v>
      </c>
      <c r="H501" s="3">
        <v>12143900</v>
      </c>
    </row>
    <row r="502" spans="1:9" x14ac:dyDescent="0.35">
      <c r="A502" t="str">
        <f>"11246"</f>
        <v>11246</v>
      </c>
      <c r="B502" t="s">
        <v>36</v>
      </c>
      <c r="C502" t="s">
        <v>262</v>
      </c>
      <c r="D502" s="5" t="str">
        <f>"005"</f>
        <v>005</v>
      </c>
      <c r="E502" s="5">
        <v>2015</v>
      </c>
      <c r="F502" s="3">
        <v>12622800</v>
      </c>
      <c r="G502" s="3">
        <v>24653800</v>
      </c>
      <c r="H502" s="3">
        <v>12031000</v>
      </c>
    </row>
    <row r="503" spans="1:9" x14ac:dyDescent="0.35">
      <c r="A503" t="str">
        <f>"11246"</f>
        <v>11246</v>
      </c>
      <c r="B503" t="s">
        <v>36</v>
      </c>
      <c r="C503" t="s">
        <v>262</v>
      </c>
      <c r="D503" s="5" t="s">
        <v>11</v>
      </c>
      <c r="E503" s="5" t="s">
        <v>12</v>
      </c>
      <c r="F503" s="3" t="s">
        <v>13</v>
      </c>
      <c r="G503" s="3" t="s">
        <v>13</v>
      </c>
      <c r="H503" s="3" t="s">
        <v>13</v>
      </c>
      <c r="I503" s="3">
        <v>459931000</v>
      </c>
    </row>
    <row r="504" spans="1:9" x14ac:dyDescent="0.35">
      <c r="A504" t="str">
        <f t="shared" ref="A504:A512" si="7">"11271"</f>
        <v>11271</v>
      </c>
      <c r="B504" t="s">
        <v>36</v>
      </c>
      <c r="C504" t="s">
        <v>279</v>
      </c>
      <c r="D504" s="5" t="str">
        <f>"004"</f>
        <v>004</v>
      </c>
      <c r="E504" s="5">
        <v>2003</v>
      </c>
      <c r="F504" s="3">
        <v>211900</v>
      </c>
      <c r="G504" s="3">
        <v>8172700</v>
      </c>
      <c r="H504" s="3">
        <v>7960800</v>
      </c>
    </row>
    <row r="505" spans="1:9" x14ac:dyDescent="0.35">
      <c r="A505" t="str">
        <f t="shared" si="7"/>
        <v>11271</v>
      </c>
      <c r="B505" t="s">
        <v>36</v>
      </c>
      <c r="C505" t="s">
        <v>279</v>
      </c>
      <c r="D505" s="5" t="str">
        <f>"005"</f>
        <v>005</v>
      </c>
      <c r="E505" s="5">
        <v>2004</v>
      </c>
      <c r="F505" s="3">
        <v>1258100</v>
      </c>
      <c r="G505" s="3">
        <v>9432800</v>
      </c>
      <c r="H505" s="3">
        <v>8174700</v>
      </c>
    </row>
    <row r="506" spans="1:9" x14ac:dyDescent="0.35">
      <c r="A506" t="str">
        <f t="shared" si="7"/>
        <v>11271</v>
      </c>
      <c r="B506" t="s">
        <v>36</v>
      </c>
      <c r="C506" t="s">
        <v>279</v>
      </c>
      <c r="D506" s="5" t="str">
        <f>"006"</f>
        <v>006</v>
      </c>
      <c r="E506" s="5">
        <v>2008</v>
      </c>
      <c r="F506" s="3">
        <v>13314500</v>
      </c>
      <c r="G506" s="3">
        <v>20330500</v>
      </c>
      <c r="H506" s="3">
        <v>7016000</v>
      </c>
    </row>
    <row r="507" spans="1:9" x14ac:dyDescent="0.35">
      <c r="A507" t="str">
        <f t="shared" si="7"/>
        <v>11271</v>
      </c>
      <c r="B507" t="s">
        <v>36</v>
      </c>
      <c r="C507" t="s">
        <v>279</v>
      </c>
      <c r="D507" s="5" t="str">
        <f>"007"</f>
        <v>007</v>
      </c>
      <c r="E507" s="5">
        <v>2010</v>
      </c>
      <c r="F507" s="3">
        <v>19073400</v>
      </c>
      <c r="G507" s="3">
        <v>36212300</v>
      </c>
      <c r="H507" s="3">
        <v>17138900</v>
      </c>
    </row>
    <row r="508" spans="1:9" x14ac:dyDescent="0.35">
      <c r="A508" t="str">
        <f t="shared" si="7"/>
        <v>11271</v>
      </c>
      <c r="B508" t="s">
        <v>36</v>
      </c>
      <c r="C508" t="s">
        <v>279</v>
      </c>
      <c r="D508" s="5" t="str">
        <f>"008"</f>
        <v>008</v>
      </c>
      <c r="E508" s="5">
        <v>2014</v>
      </c>
      <c r="F508" s="3">
        <v>567800</v>
      </c>
      <c r="G508" s="3">
        <v>3992900</v>
      </c>
      <c r="H508" s="3">
        <v>3425100</v>
      </c>
    </row>
    <row r="509" spans="1:9" x14ac:dyDescent="0.35">
      <c r="A509" t="str">
        <f t="shared" si="7"/>
        <v>11271</v>
      </c>
      <c r="B509" t="s">
        <v>36</v>
      </c>
      <c r="C509" t="s">
        <v>279</v>
      </c>
      <c r="D509" s="5" t="str">
        <f>"009"</f>
        <v>009</v>
      </c>
      <c r="E509" s="5">
        <v>2017</v>
      </c>
      <c r="F509" s="3">
        <v>1614200</v>
      </c>
      <c r="G509" s="3">
        <v>13391600</v>
      </c>
      <c r="H509" s="3">
        <v>11777400</v>
      </c>
    </row>
    <row r="510" spans="1:9" x14ac:dyDescent="0.35">
      <c r="A510" t="str">
        <f t="shared" si="7"/>
        <v>11271</v>
      </c>
      <c r="B510" t="s">
        <v>36</v>
      </c>
      <c r="C510" t="s">
        <v>279</v>
      </c>
      <c r="D510" s="5" t="str">
        <f>"010"</f>
        <v>010</v>
      </c>
      <c r="E510" s="5">
        <v>2019</v>
      </c>
      <c r="F510" s="3">
        <v>910100</v>
      </c>
      <c r="G510" s="3">
        <v>4843900</v>
      </c>
      <c r="H510" s="3">
        <v>3933800</v>
      </c>
    </row>
    <row r="511" spans="1:9" x14ac:dyDescent="0.35">
      <c r="A511" t="str">
        <f t="shared" si="7"/>
        <v>11271</v>
      </c>
      <c r="B511" t="s">
        <v>36</v>
      </c>
      <c r="C511" t="s">
        <v>279</v>
      </c>
      <c r="D511" s="5" t="str">
        <f>"011"</f>
        <v>011</v>
      </c>
      <c r="E511" s="5">
        <v>2023</v>
      </c>
      <c r="F511" s="3">
        <v>9860200</v>
      </c>
      <c r="G511" s="3">
        <v>14426600</v>
      </c>
      <c r="H511" s="3">
        <v>4566400</v>
      </c>
    </row>
    <row r="512" spans="1:9" x14ac:dyDescent="0.35">
      <c r="A512" t="str">
        <f t="shared" si="7"/>
        <v>11271</v>
      </c>
      <c r="B512" t="s">
        <v>36</v>
      </c>
      <c r="C512" t="s">
        <v>279</v>
      </c>
      <c r="D512" s="5" t="s">
        <v>11</v>
      </c>
      <c r="E512" s="5" t="s">
        <v>12</v>
      </c>
      <c r="F512" s="3" t="s">
        <v>13</v>
      </c>
      <c r="G512" s="3" t="s">
        <v>13</v>
      </c>
      <c r="H512" s="3" t="s">
        <v>13</v>
      </c>
      <c r="I512" s="3">
        <v>1055927400</v>
      </c>
    </row>
    <row r="513" spans="1:9" x14ac:dyDescent="0.35">
      <c r="A513" t="str">
        <f>"11291"</f>
        <v>11291</v>
      </c>
      <c r="B513" t="s">
        <v>36</v>
      </c>
      <c r="C513" t="s">
        <v>37</v>
      </c>
      <c r="D513" s="5" t="str">
        <f>"003"</f>
        <v>003</v>
      </c>
      <c r="E513" s="5">
        <v>2005</v>
      </c>
      <c r="F513" s="3">
        <v>14917900</v>
      </c>
      <c r="G513" s="3">
        <v>62752200</v>
      </c>
      <c r="H513" s="3">
        <v>47834300</v>
      </c>
    </row>
    <row r="514" spans="1:9" x14ac:dyDescent="0.35">
      <c r="A514" t="str">
        <f>"11291"</f>
        <v>11291</v>
      </c>
      <c r="B514" t="s">
        <v>36</v>
      </c>
      <c r="C514" t="s">
        <v>37</v>
      </c>
      <c r="D514" s="5" t="s">
        <v>11</v>
      </c>
      <c r="E514" s="5" t="s">
        <v>12</v>
      </c>
      <c r="F514" s="3" t="s">
        <v>13</v>
      </c>
      <c r="G514" s="3" t="s">
        <v>13</v>
      </c>
      <c r="H514" s="3" t="s">
        <v>13</v>
      </c>
      <c r="I514" s="3">
        <v>419080300</v>
      </c>
    </row>
    <row r="515" spans="1:9" x14ac:dyDescent="0.35">
      <c r="A515" t="s">
        <v>30</v>
      </c>
      <c r="B515" t="s">
        <v>38</v>
      </c>
      <c r="C515" t="s">
        <v>32</v>
      </c>
      <c r="D515" s="5" t="s">
        <v>11</v>
      </c>
      <c r="E515" s="5" t="s">
        <v>12</v>
      </c>
      <c r="F515" s="3" t="s">
        <v>13</v>
      </c>
      <c r="G515" s="3" t="s">
        <v>13</v>
      </c>
      <c r="H515" s="3" t="s">
        <v>13</v>
      </c>
      <c r="I515" s="3">
        <v>2644019600</v>
      </c>
    </row>
    <row r="516" spans="1:9" x14ac:dyDescent="0.35">
      <c r="A516" t="s">
        <v>30</v>
      </c>
      <c r="B516" t="s">
        <v>39</v>
      </c>
      <c r="C516" t="s">
        <v>280</v>
      </c>
      <c r="D516" s="5" t="s">
        <v>11</v>
      </c>
      <c r="E516" s="5" t="s">
        <v>12</v>
      </c>
      <c r="F516" s="3" t="s">
        <v>13</v>
      </c>
      <c r="G516" s="3" t="s">
        <v>13</v>
      </c>
      <c r="H516" s="3" t="s">
        <v>13</v>
      </c>
      <c r="I516" s="3">
        <v>10468888500</v>
      </c>
    </row>
    <row r="517" spans="1:9" x14ac:dyDescent="0.35">
      <c r="A517" t="str">
        <f>"12002"</f>
        <v>12002</v>
      </c>
      <c r="B517" t="s">
        <v>9</v>
      </c>
      <c r="C517" t="s">
        <v>281</v>
      </c>
      <c r="D517" s="5" t="s">
        <v>11</v>
      </c>
      <c r="E517" s="5" t="s">
        <v>12</v>
      </c>
      <c r="F517" s="3" t="s">
        <v>13</v>
      </c>
      <c r="G517" s="3" t="s">
        <v>13</v>
      </c>
      <c r="H517" s="3" t="s">
        <v>13</v>
      </c>
      <c r="I517" s="3">
        <v>196000100</v>
      </c>
    </row>
    <row r="518" spans="1:9" x14ac:dyDescent="0.35">
      <c r="A518" t="str">
        <f>"12004"</f>
        <v>12004</v>
      </c>
      <c r="B518" t="s">
        <v>9</v>
      </c>
      <c r="C518" t="s">
        <v>282</v>
      </c>
      <c r="D518" s="5" t="s">
        <v>11</v>
      </c>
      <c r="E518" s="5" t="s">
        <v>12</v>
      </c>
      <c r="F518" s="3" t="s">
        <v>13</v>
      </c>
      <c r="G518" s="3" t="s">
        <v>13</v>
      </c>
      <c r="H518" s="3" t="s">
        <v>13</v>
      </c>
      <c r="I518" s="3">
        <v>187329000</v>
      </c>
    </row>
    <row r="519" spans="1:9" x14ac:dyDescent="0.35">
      <c r="A519" t="str">
        <f>"12006"</f>
        <v>12006</v>
      </c>
      <c r="B519" t="s">
        <v>9</v>
      </c>
      <c r="C519" t="s">
        <v>283</v>
      </c>
      <c r="D519" s="5" t="s">
        <v>11</v>
      </c>
      <c r="E519" s="5" t="s">
        <v>12</v>
      </c>
      <c r="F519" s="3" t="s">
        <v>13</v>
      </c>
      <c r="G519" s="3" t="s">
        <v>13</v>
      </c>
      <c r="H519" s="3" t="s">
        <v>13</v>
      </c>
      <c r="I519" s="3">
        <v>150983500</v>
      </c>
    </row>
    <row r="520" spans="1:9" x14ac:dyDescent="0.35">
      <c r="A520" t="str">
        <f>"12008"</f>
        <v>12008</v>
      </c>
      <c r="B520" t="s">
        <v>9</v>
      </c>
      <c r="C520" t="s">
        <v>284</v>
      </c>
      <c r="D520" s="5" t="s">
        <v>11</v>
      </c>
      <c r="E520" s="5" t="s">
        <v>12</v>
      </c>
      <c r="F520" s="3" t="s">
        <v>13</v>
      </c>
      <c r="G520" s="3" t="s">
        <v>13</v>
      </c>
      <c r="H520" s="3" t="s">
        <v>13</v>
      </c>
      <c r="I520" s="3">
        <v>211496500</v>
      </c>
    </row>
    <row r="521" spans="1:9" x14ac:dyDescent="0.35">
      <c r="A521" t="str">
        <f>"12010"</f>
        <v>12010</v>
      </c>
      <c r="B521" t="s">
        <v>9</v>
      </c>
      <c r="C521" t="s">
        <v>285</v>
      </c>
      <c r="D521" s="5" t="s">
        <v>11</v>
      </c>
      <c r="E521" s="5" t="s">
        <v>12</v>
      </c>
      <c r="F521" s="3" t="s">
        <v>13</v>
      </c>
      <c r="G521" s="3" t="s">
        <v>13</v>
      </c>
      <c r="H521" s="3" t="s">
        <v>13</v>
      </c>
      <c r="I521" s="3">
        <v>53230300</v>
      </c>
    </row>
    <row r="522" spans="1:9" x14ac:dyDescent="0.35">
      <c r="A522" t="str">
        <f>"12012"</f>
        <v>12012</v>
      </c>
      <c r="B522" t="s">
        <v>9</v>
      </c>
      <c r="C522" t="s">
        <v>286</v>
      </c>
      <c r="D522" s="5" t="s">
        <v>11</v>
      </c>
      <c r="E522" s="5" t="s">
        <v>12</v>
      </c>
      <c r="F522" s="3" t="s">
        <v>13</v>
      </c>
      <c r="G522" s="3" t="s">
        <v>13</v>
      </c>
      <c r="H522" s="3" t="s">
        <v>13</v>
      </c>
      <c r="I522" s="3">
        <v>94271400</v>
      </c>
    </row>
    <row r="523" spans="1:9" x14ac:dyDescent="0.35">
      <c r="A523" t="str">
        <f>"12014"</f>
        <v>12014</v>
      </c>
      <c r="B523" t="s">
        <v>9</v>
      </c>
      <c r="C523" t="s">
        <v>287</v>
      </c>
      <c r="D523" s="5" t="s">
        <v>11</v>
      </c>
      <c r="E523" s="5" t="s">
        <v>12</v>
      </c>
      <c r="F523" s="3" t="s">
        <v>13</v>
      </c>
      <c r="G523" s="3" t="s">
        <v>13</v>
      </c>
      <c r="H523" s="3" t="s">
        <v>13</v>
      </c>
      <c r="I523" s="3">
        <v>138903400</v>
      </c>
    </row>
    <row r="524" spans="1:9" x14ac:dyDescent="0.35">
      <c r="A524" t="str">
        <f>"12016"</f>
        <v>12016</v>
      </c>
      <c r="B524" t="s">
        <v>9</v>
      </c>
      <c r="C524" t="s">
        <v>118</v>
      </c>
      <c r="D524" s="5" t="s">
        <v>11</v>
      </c>
      <c r="E524" s="5" t="s">
        <v>12</v>
      </c>
      <c r="F524" s="3" t="s">
        <v>13</v>
      </c>
      <c r="G524" s="3" t="s">
        <v>13</v>
      </c>
      <c r="H524" s="3" t="s">
        <v>13</v>
      </c>
      <c r="I524" s="3">
        <v>95165100</v>
      </c>
    </row>
    <row r="525" spans="1:9" x14ac:dyDescent="0.35">
      <c r="A525" t="str">
        <f>"12018"</f>
        <v>12018</v>
      </c>
      <c r="B525" t="s">
        <v>9</v>
      </c>
      <c r="C525" t="s">
        <v>288</v>
      </c>
      <c r="D525" s="5" t="s">
        <v>11</v>
      </c>
      <c r="E525" s="5" t="s">
        <v>12</v>
      </c>
      <c r="F525" s="3" t="s">
        <v>13</v>
      </c>
      <c r="G525" s="3" t="s">
        <v>13</v>
      </c>
      <c r="H525" s="3" t="s">
        <v>13</v>
      </c>
      <c r="I525" s="3">
        <v>189497600</v>
      </c>
    </row>
    <row r="526" spans="1:9" x14ac:dyDescent="0.35">
      <c r="A526" t="str">
        <f>"12020"</f>
        <v>12020</v>
      </c>
      <c r="B526" t="s">
        <v>9</v>
      </c>
      <c r="C526" t="s">
        <v>289</v>
      </c>
      <c r="D526" s="5" t="s">
        <v>11</v>
      </c>
      <c r="E526" s="5" t="s">
        <v>12</v>
      </c>
      <c r="F526" s="3" t="s">
        <v>13</v>
      </c>
      <c r="G526" s="3" t="s">
        <v>13</v>
      </c>
      <c r="H526" s="3" t="s">
        <v>13</v>
      </c>
      <c r="I526" s="3">
        <v>105384900</v>
      </c>
    </row>
    <row r="527" spans="1:9" x14ac:dyDescent="0.35">
      <c r="A527" t="str">
        <f>"12022"</f>
        <v>12022</v>
      </c>
      <c r="B527" t="s">
        <v>9</v>
      </c>
      <c r="C527" t="s">
        <v>290</v>
      </c>
      <c r="D527" s="5" t="s">
        <v>11</v>
      </c>
      <c r="E527" s="5" t="s">
        <v>12</v>
      </c>
      <c r="F527" s="3" t="s">
        <v>13</v>
      </c>
      <c r="G527" s="3" t="s">
        <v>13</v>
      </c>
      <c r="H527" s="3" t="s">
        <v>13</v>
      </c>
      <c r="I527" s="3">
        <v>62882500</v>
      </c>
    </row>
    <row r="528" spans="1:9" x14ac:dyDescent="0.35">
      <c r="A528" t="s">
        <v>30</v>
      </c>
      <c r="B528" t="s">
        <v>31</v>
      </c>
      <c r="C528" t="s">
        <v>32</v>
      </c>
      <c r="D528" s="5" t="s">
        <v>11</v>
      </c>
      <c r="E528" s="5" t="s">
        <v>12</v>
      </c>
      <c r="F528" s="3" t="s">
        <v>13</v>
      </c>
      <c r="G528" s="3" t="s">
        <v>13</v>
      </c>
      <c r="H528" s="3" t="s">
        <v>13</v>
      </c>
      <c r="I528" s="3">
        <v>1485144300</v>
      </c>
    </row>
    <row r="529" spans="1:9" x14ac:dyDescent="0.35">
      <c r="A529" t="str">
        <f>"12106"</f>
        <v>12106</v>
      </c>
      <c r="B529" t="s">
        <v>33</v>
      </c>
      <c r="C529" t="s">
        <v>291</v>
      </c>
      <c r="D529" s="5" t="s">
        <v>11</v>
      </c>
      <c r="E529" s="5" t="s">
        <v>12</v>
      </c>
      <c r="F529" s="3" t="s">
        <v>13</v>
      </c>
      <c r="G529" s="3" t="s">
        <v>13</v>
      </c>
      <c r="H529" s="3" t="s">
        <v>13</v>
      </c>
      <c r="I529" s="3">
        <v>13908200</v>
      </c>
    </row>
    <row r="530" spans="1:9" x14ac:dyDescent="0.35">
      <c r="A530" t="str">
        <f>"12116"</f>
        <v>12116</v>
      </c>
      <c r="B530" t="s">
        <v>33</v>
      </c>
      <c r="C530" t="s">
        <v>292</v>
      </c>
      <c r="D530" s="5" t="str">
        <f>"002"</f>
        <v>002</v>
      </c>
      <c r="E530" s="5">
        <v>2025</v>
      </c>
      <c r="F530" s="3">
        <v>218200</v>
      </c>
      <c r="G530" s="3">
        <v>238300</v>
      </c>
      <c r="H530" s="3">
        <v>20100</v>
      </c>
    </row>
    <row r="531" spans="1:9" x14ac:dyDescent="0.35">
      <c r="A531" t="str">
        <f>"12116"</f>
        <v>12116</v>
      </c>
      <c r="B531" t="s">
        <v>33</v>
      </c>
      <c r="C531" t="s">
        <v>292</v>
      </c>
      <c r="D531" s="5" t="s">
        <v>11</v>
      </c>
      <c r="E531" s="5" t="s">
        <v>12</v>
      </c>
      <c r="F531" s="3" t="s">
        <v>13</v>
      </c>
      <c r="G531" s="3" t="s">
        <v>13</v>
      </c>
      <c r="H531" s="3" t="s">
        <v>13</v>
      </c>
      <c r="I531" s="3">
        <v>7398400</v>
      </c>
    </row>
    <row r="532" spans="1:9" x14ac:dyDescent="0.35">
      <c r="A532" t="str">
        <f>"12121"</f>
        <v>12121</v>
      </c>
      <c r="B532" t="s">
        <v>33</v>
      </c>
      <c r="C532" t="s">
        <v>283</v>
      </c>
      <c r="D532" s="5" t="s">
        <v>11</v>
      </c>
      <c r="E532" s="5" t="s">
        <v>12</v>
      </c>
      <c r="F532" s="3" t="s">
        <v>13</v>
      </c>
      <c r="G532" s="3" t="s">
        <v>13</v>
      </c>
      <c r="H532" s="3" t="s">
        <v>13</v>
      </c>
      <c r="I532" s="3">
        <v>32485600</v>
      </c>
    </row>
    <row r="533" spans="1:9" x14ac:dyDescent="0.35">
      <c r="A533" t="str">
        <f>"12126"</f>
        <v>12126</v>
      </c>
      <c r="B533" t="s">
        <v>33</v>
      </c>
      <c r="C533" t="s">
        <v>293</v>
      </c>
      <c r="D533" s="5" t="s">
        <v>11</v>
      </c>
      <c r="E533" s="5" t="s">
        <v>12</v>
      </c>
      <c r="F533" s="3" t="s">
        <v>13</v>
      </c>
      <c r="G533" s="3" t="s">
        <v>13</v>
      </c>
      <c r="H533" s="3" t="s">
        <v>13</v>
      </c>
      <c r="I533" s="3">
        <v>49567900</v>
      </c>
    </row>
    <row r="534" spans="1:9" x14ac:dyDescent="0.35">
      <c r="A534" t="str">
        <f>"12131"</f>
        <v>12131</v>
      </c>
      <c r="B534" t="s">
        <v>33</v>
      </c>
      <c r="C534" t="s">
        <v>294</v>
      </c>
      <c r="D534" s="5" t="str">
        <f>"001"</f>
        <v>001</v>
      </c>
      <c r="E534" s="5">
        <v>2000</v>
      </c>
      <c r="F534" s="3">
        <v>7900</v>
      </c>
      <c r="G534" s="3">
        <v>2947500</v>
      </c>
      <c r="H534" s="3">
        <v>2939600</v>
      </c>
    </row>
    <row r="535" spans="1:9" x14ac:dyDescent="0.35">
      <c r="A535" t="str">
        <f>"12131"</f>
        <v>12131</v>
      </c>
      <c r="B535" t="s">
        <v>33</v>
      </c>
      <c r="C535" t="s">
        <v>294</v>
      </c>
      <c r="D535" s="5" t="str">
        <f>"003"</f>
        <v>003</v>
      </c>
      <c r="E535" s="5">
        <v>2018</v>
      </c>
      <c r="F535" s="3">
        <v>0</v>
      </c>
      <c r="G535" s="3">
        <v>367500</v>
      </c>
      <c r="H535" s="3">
        <v>367500</v>
      </c>
    </row>
    <row r="536" spans="1:9" x14ac:dyDescent="0.35">
      <c r="A536" t="str">
        <f>"12131"</f>
        <v>12131</v>
      </c>
      <c r="B536" t="s">
        <v>33</v>
      </c>
      <c r="C536" t="s">
        <v>294</v>
      </c>
      <c r="D536" s="5" t="str">
        <f>"004"</f>
        <v>004</v>
      </c>
      <c r="E536" s="5">
        <v>2018</v>
      </c>
      <c r="F536" s="3">
        <v>206800</v>
      </c>
      <c r="G536" s="3">
        <v>1703200</v>
      </c>
      <c r="H536" s="3">
        <v>1496400</v>
      </c>
    </row>
    <row r="537" spans="1:9" x14ac:dyDescent="0.35">
      <c r="A537" t="str">
        <f>"12131"</f>
        <v>12131</v>
      </c>
      <c r="B537" t="s">
        <v>33</v>
      </c>
      <c r="C537" t="s">
        <v>294</v>
      </c>
      <c r="D537" s="5" t="s">
        <v>11</v>
      </c>
      <c r="E537" s="5" t="s">
        <v>12</v>
      </c>
      <c r="F537" s="3" t="s">
        <v>13</v>
      </c>
      <c r="G537" s="3" t="s">
        <v>13</v>
      </c>
      <c r="H537" s="3" t="s">
        <v>13</v>
      </c>
      <c r="I537" s="3">
        <v>51561700</v>
      </c>
    </row>
    <row r="538" spans="1:9" x14ac:dyDescent="0.35">
      <c r="A538" t="str">
        <f>"12146"</f>
        <v>12146</v>
      </c>
      <c r="B538" t="s">
        <v>33</v>
      </c>
      <c r="C538" t="s">
        <v>295</v>
      </c>
      <c r="D538" s="5" t="s">
        <v>11</v>
      </c>
      <c r="E538" s="5" t="s">
        <v>12</v>
      </c>
      <c r="F538" s="3" t="s">
        <v>13</v>
      </c>
      <c r="G538" s="3" t="s">
        <v>13</v>
      </c>
      <c r="H538" s="3" t="s">
        <v>13</v>
      </c>
      <c r="I538" s="3">
        <v>21674100</v>
      </c>
    </row>
    <row r="539" spans="1:9" x14ac:dyDescent="0.35">
      <c r="A539" t="str">
        <f>"12151"</f>
        <v>12151</v>
      </c>
      <c r="B539" t="s">
        <v>33</v>
      </c>
      <c r="C539" t="s">
        <v>296</v>
      </c>
      <c r="D539" s="5" t="s">
        <v>11</v>
      </c>
      <c r="E539" s="5" t="s">
        <v>12</v>
      </c>
      <c r="F539" s="3" t="s">
        <v>13</v>
      </c>
      <c r="G539" s="3" t="s">
        <v>13</v>
      </c>
      <c r="H539" s="3" t="s">
        <v>13</v>
      </c>
      <c r="I539" s="3">
        <v>18810500</v>
      </c>
    </row>
    <row r="540" spans="1:9" x14ac:dyDescent="0.35">
      <c r="A540" t="str">
        <f>"12181"</f>
        <v>12181</v>
      </c>
      <c r="B540" t="s">
        <v>33</v>
      </c>
      <c r="C540" t="s">
        <v>297</v>
      </c>
      <c r="D540" s="5" t="s">
        <v>11</v>
      </c>
      <c r="E540" s="5" t="s">
        <v>12</v>
      </c>
      <c r="F540" s="3" t="s">
        <v>13</v>
      </c>
      <c r="G540" s="3" t="s">
        <v>13</v>
      </c>
      <c r="H540" s="3" t="s">
        <v>13</v>
      </c>
      <c r="I540" s="3">
        <v>49895800</v>
      </c>
    </row>
    <row r="541" spans="1:9" x14ac:dyDescent="0.35">
      <c r="A541" t="str">
        <f>"12182"</f>
        <v>12182</v>
      </c>
      <c r="B541" t="s">
        <v>33</v>
      </c>
      <c r="C541" t="s">
        <v>298</v>
      </c>
      <c r="D541" s="5" t="s">
        <v>11</v>
      </c>
      <c r="E541" s="5" t="s">
        <v>12</v>
      </c>
      <c r="F541" s="3" t="s">
        <v>13</v>
      </c>
      <c r="G541" s="3" t="s">
        <v>13</v>
      </c>
      <c r="H541" s="3" t="s">
        <v>13</v>
      </c>
      <c r="I541" s="3">
        <v>9534600</v>
      </c>
    </row>
    <row r="542" spans="1:9" x14ac:dyDescent="0.35">
      <c r="A542" t="str">
        <f>"12191"</f>
        <v>12191</v>
      </c>
      <c r="B542" t="s">
        <v>33</v>
      </c>
      <c r="C542" t="s">
        <v>290</v>
      </c>
      <c r="D542" s="5" t="s">
        <v>11</v>
      </c>
      <c r="E542" s="5" t="s">
        <v>12</v>
      </c>
      <c r="F542" s="3" t="s">
        <v>13</v>
      </c>
      <c r="G542" s="3" t="s">
        <v>13</v>
      </c>
      <c r="H542" s="3" t="s">
        <v>13</v>
      </c>
      <c r="I542" s="3">
        <v>41825200</v>
      </c>
    </row>
    <row r="543" spans="1:9" x14ac:dyDescent="0.35">
      <c r="A543" t="s">
        <v>30</v>
      </c>
      <c r="B543" t="s">
        <v>35</v>
      </c>
      <c r="C543" t="s">
        <v>32</v>
      </c>
      <c r="D543" s="5" t="s">
        <v>11</v>
      </c>
      <c r="E543" s="5" t="s">
        <v>12</v>
      </c>
      <c r="F543" s="3" t="s">
        <v>13</v>
      </c>
      <c r="G543" s="3" t="s">
        <v>13</v>
      </c>
      <c r="H543" s="3" t="s">
        <v>13</v>
      </c>
      <c r="I543" s="3">
        <v>296662000</v>
      </c>
    </row>
    <row r="544" spans="1:9" x14ac:dyDescent="0.35">
      <c r="A544" t="str">
        <f>"12271"</f>
        <v>12271</v>
      </c>
      <c r="B544" t="s">
        <v>36</v>
      </c>
      <c r="C544" t="s">
        <v>287</v>
      </c>
      <c r="D544" s="5" t="str">
        <f>"001E"</f>
        <v>001E</v>
      </c>
      <c r="E544" s="5">
        <v>2007</v>
      </c>
      <c r="F544" s="3">
        <v>0</v>
      </c>
      <c r="G544" s="3">
        <v>783000</v>
      </c>
      <c r="H544" s="3">
        <v>783000</v>
      </c>
    </row>
    <row r="545" spans="1:9" x14ac:dyDescent="0.35">
      <c r="A545" t="str">
        <f>"12271"</f>
        <v>12271</v>
      </c>
      <c r="B545" t="s">
        <v>36</v>
      </c>
      <c r="C545" t="s">
        <v>287</v>
      </c>
      <c r="D545" s="5" t="str">
        <f>"008"</f>
        <v>008</v>
      </c>
      <c r="E545" s="5">
        <v>2021</v>
      </c>
      <c r="F545" s="3">
        <v>1811300</v>
      </c>
      <c r="G545" s="3">
        <v>17408500</v>
      </c>
      <c r="H545" s="3">
        <v>15597200</v>
      </c>
    </row>
    <row r="546" spans="1:9" x14ac:dyDescent="0.35">
      <c r="A546" t="str">
        <f>"12271"</f>
        <v>12271</v>
      </c>
      <c r="B546" t="s">
        <v>36</v>
      </c>
      <c r="C546" t="s">
        <v>287</v>
      </c>
      <c r="D546" s="5" t="str">
        <f>"009"</f>
        <v>009</v>
      </c>
      <c r="E546" s="5">
        <v>2021</v>
      </c>
      <c r="F546" s="3">
        <v>5540200</v>
      </c>
      <c r="G546" s="3">
        <v>10284400</v>
      </c>
      <c r="H546" s="3">
        <v>4744200</v>
      </c>
    </row>
    <row r="547" spans="1:9" x14ac:dyDescent="0.35">
      <c r="A547" t="str">
        <f>"12271"</f>
        <v>12271</v>
      </c>
      <c r="B547" t="s">
        <v>36</v>
      </c>
      <c r="C547" t="s">
        <v>287</v>
      </c>
      <c r="D547" s="5" t="s">
        <v>11</v>
      </c>
      <c r="E547" s="5" t="s">
        <v>12</v>
      </c>
      <c r="F547" s="3" t="s">
        <v>13</v>
      </c>
      <c r="G547" s="3" t="s">
        <v>13</v>
      </c>
      <c r="H547" s="3" t="s">
        <v>13</v>
      </c>
      <c r="I547" s="3">
        <v>578983500</v>
      </c>
    </row>
    <row r="548" spans="1:9" x14ac:dyDescent="0.35">
      <c r="A548" t="s">
        <v>30</v>
      </c>
      <c r="B548" t="s">
        <v>38</v>
      </c>
      <c r="C548" t="s">
        <v>32</v>
      </c>
      <c r="D548" s="5" t="s">
        <v>11</v>
      </c>
      <c r="E548" s="5" t="s">
        <v>12</v>
      </c>
      <c r="F548" s="3" t="s">
        <v>13</v>
      </c>
      <c r="G548" s="3" t="s">
        <v>13</v>
      </c>
      <c r="H548" s="3" t="s">
        <v>13</v>
      </c>
      <c r="I548" s="3">
        <v>578983500</v>
      </c>
    </row>
    <row r="549" spans="1:9" x14ac:dyDescent="0.35">
      <c r="A549" t="s">
        <v>30</v>
      </c>
      <c r="B549" t="s">
        <v>39</v>
      </c>
      <c r="C549" t="s">
        <v>299</v>
      </c>
      <c r="D549" s="5" t="s">
        <v>11</v>
      </c>
      <c r="E549" s="5" t="s">
        <v>12</v>
      </c>
      <c r="F549" s="3" t="s">
        <v>13</v>
      </c>
      <c r="G549" s="3" t="s">
        <v>13</v>
      </c>
      <c r="H549" s="3" t="s">
        <v>13</v>
      </c>
      <c r="I549" s="3">
        <v>2360789800</v>
      </c>
    </row>
    <row r="550" spans="1:9" x14ac:dyDescent="0.35">
      <c r="A550" t="str">
        <f>"13002"</f>
        <v>13002</v>
      </c>
      <c r="B550" t="s">
        <v>9</v>
      </c>
      <c r="C550" t="s">
        <v>300</v>
      </c>
      <c r="D550" s="5" t="s">
        <v>11</v>
      </c>
      <c r="E550" s="5" t="s">
        <v>12</v>
      </c>
      <c r="F550" s="3" t="s">
        <v>13</v>
      </c>
      <c r="G550" s="3" t="s">
        <v>13</v>
      </c>
      <c r="H550" s="3" t="s">
        <v>13</v>
      </c>
      <c r="I550" s="3">
        <v>449000100</v>
      </c>
    </row>
    <row r="551" spans="1:9" x14ac:dyDescent="0.35">
      <c r="A551" t="str">
        <f>"13004"</f>
        <v>13004</v>
      </c>
      <c r="B551" t="s">
        <v>9</v>
      </c>
      <c r="C551" t="s">
        <v>301</v>
      </c>
      <c r="D551" s="5" t="s">
        <v>11</v>
      </c>
      <c r="E551" s="5" t="s">
        <v>12</v>
      </c>
      <c r="F551" s="3" t="s">
        <v>13</v>
      </c>
      <c r="G551" s="3" t="s">
        <v>13</v>
      </c>
      <c r="H551" s="3" t="s">
        <v>13</v>
      </c>
      <c r="I551" s="3">
        <v>372718900</v>
      </c>
    </row>
    <row r="552" spans="1:9" x14ac:dyDescent="0.35">
      <c r="A552" t="str">
        <f>"13006"</f>
        <v>13006</v>
      </c>
      <c r="B552" t="s">
        <v>9</v>
      </c>
      <c r="C552" t="s">
        <v>302</v>
      </c>
      <c r="D552" s="5" t="s">
        <v>11</v>
      </c>
      <c r="E552" s="5" t="s">
        <v>12</v>
      </c>
      <c r="F552" s="3" t="s">
        <v>13</v>
      </c>
      <c r="G552" s="3" t="s">
        <v>13</v>
      </c>
      <c r="H552" s="3" t="s">
        <v>13</v>
      </c>
      <c r="I552" s="3">
        <v>151917200</v>
      </c>
    </row>
    <row r="553" spans="1:9" x14ac:dyDescent="0.35">
      <c r="A553" t="str">
        <f>"13008"</f>
        <v>13008</v>
      </c>
      <c r="B553" t="s">
        <v>9</v>
      </c>
      <c r="C553" t="s">
        <v>303</v>
      </c>
      <c r="D553" s="5" t="s">
        <v>11</v>
      </c>
      <c r="E553" s="5" t="s">
        <v>12</v>
      </c>
      <c r="F553" s="3" t="s">
        <v>13</v>
      </c>
      <c r="G553" s="3" t="s">
        <v>13</v>
      </c>
      <c r="H553" s="3" t="s">
        <v>13</v>
      </c>
      <c r="I553" s="3">
        <v>298818500</v>
      </c>
    </row>
    <row r="554" spans="1:9" x14ac:dyDescent="0.35">
      <c r="A554" t="str">
        <f>"13010"</f>
        <v>13010</v>
      </c>
      <c r="B554" t="s">
        <v>9</v>
      </c>
      <c r="C554" t="s">
        <v>304</v>
      </c>
      <c r="D554" s="5" t="s">
        <v>11</v>
      </c>
      <c r="E554" s="5" t="s">
        <v>12</v>
      </c>
      <c r="F554" s="3" t="s">
        <v>13</v>
      </c>
      <c r="G554" s="3" t="s">
        <v>13</v>
      </c>
      <c r="H554" s="3" t="s">
        <v>13</v>
      </c>
      <c r="I554" s="3">
        <v>296337600</v>
      </c>
    </row>
    <row r="555" spans="1:9" x14ac:dyDescent="0.35">
      <c r="A555" t="str">
        <f>"13012"</f>
        <v>13012</v>
      </c>
      <c r="B555" t="s">
        <v>9</v>
      </c>
      <c r="C555" t="s">
        <v>305</v>
      </c>
      <c r="D555" s="5" t="s">
        <v>11</v>
      </c>
      <c r="E555" s="5" t="s">
        <v>12</v>
      </c>
      <c r="F555" s="3" t="s">
        <v>13</v>
      </c>
      <c r="G555" s="3" t="s">
        <v>13</v>
      </c>
      <c r="H555" s="3" t="s">
        <v>13</v>
      </c>
      <c r="I555" s="3">
        <v>1102013700</v>
      </c>
    </row>
    <row r="556" spans="1:9" x14ac:dyDescent="0.35">
      <c r="A556" t="str">
        <f>"13014"</f>
        <v>13014</v>
      </c>
      <c r="B556" t="s">
        <v>9</v>
      </c>
      <c r="C556" t="s">
        <v>306</v>
      </c>
      <c r="D556" s="5" t="s">
        <v>11</v>
      </c>
      <c r="E556" s="5" t="s">
        <v>12</v>
      </c>
      <c r="F556" s="3" t="s">
        <v>13</v>
      </c>
      <c r="G556" s="3" t="s">
        <v>13</v>
      </c>
      <c r="H556" s="3" t="s">
        <v>13</v>
      </c>
      <c r="I556" s="3">
        <v>862330200</v>
      </c>
    </row>
    <row r="557" spans="1:9" x14ac:dyDescent="0.35">
      <c r="A557" t="str">
        <f>"13016"</f>
        <v>13016</v>
      </c>
      <c r="B557" t="s">
        <v>9</v>
      </c>
      <c r="C557" t="s">
        <v>307</v>
      </c>
      <c r="D557" s="5" t="s">
        <v>11</v>
      </c>
      <c r="E557" s="5" t="s">
        <v>12</v>
      </c>
      <c r="F557" s="3" t="s">
        <v>13</v>
      </c>
      <c r="G557" s="3" t="s">
        <v>13</v>
      </c>
      <c r="H557" s="3" t="s">
        <v>13</v>
      </c>
      <c r="I557" s="3">
        <v>309453400</v>
      </c>
    </row>
    <row r="558" spans="1:9" x14ac:dyDescent="0.35">
      <c r="A558" t="str">
        <f>"13018"</f>
        <v>13018</v>
      </c>
      <c r="B558" t="s">
        <v>9</v>
      </c>
      <c r="C558" t="s">
        <v>308</v>
      </c>
      <c r="D558" s="5" t="s">
        <v>11</v>
      </c>
      <c r="E558" s="5" t="s">
        <v>12</v>
      </c>
      <c r="F558" s="3" t="s">
        <v>13</v>
      </c>
      <c r="G558" s="3" t="s">
        <v>13</v>
      </c>
      <c r="H558" s="3" t="s">
        <v>13</v>
      </c>
      <c r="I558" s="3">
        <v>815839400</v>
      </c>
    </row>
    <row r="559" spans="1:9" x14ac:dyDescent="0.35">
      <c r="A559" t="str">
        <f>"13020"</f>
        <v>13020</v>
      </c>
      <c r="B559" t="s">
        <v>9</v>
      </c>
      <c r="C559" t="s">
        <v>309</v>
      </c>
      <c r="D559" s="5" t="s">
        <v>11</v>
      </c>
      <c r="E559" s="5" t="s">
        <v>12</v>
      </c>
      <c r="F559" s="3" t="s">
        <v>13</v>
      </c>
      <c r="G559" s="3" t="s">
        <v>13</v>
      </c>
      <c r="H559" s="3" t="s">
        <v>13</v>
      </c>
      <c r="I559" s="3">
        <v>501400000</v>
      </c>
    </row>
    <row r="560" spans="1:9" x14ac:dyDescent="0.35">
      <c r="A560" t="str">
        <f>"13022"</f>
        <v>13022</v>
      </c>
      <c r="B560" t="s">
        <v>9</v>
      </c>
      <c r="C560" t="s">
        <v>310</v>
      </c>
      <c r="D560" s="5" t="s">
        <v>11</v>
      </c>
      <c r="E560" s="5" t="s">
        <v>12</v>
      </c>
      <c r="F560" s="3" t="s">
        <v>13</v>
      </c>
      <c r="G560" s="3" t="s">
        <v>13</v>
      </c>
      <c r="H560" s="3" t="s">
        <v>13</v>
      </c>
      <c r="I560" s="3">
        <v>244782300</v>
      </c>
    </row>
    <row r="561" spans="1:9" x14ac:dyDescent="0.35">
      <c r="A561" t="str">
        <f>"13024"</f>
        <v>13024</v>
      </c>
      <c r="B561" t="s">
        <v>9</v>
      </c>
      <c r="C561" t="s">
        <v>311</v>
      </c>
      <c r="D561" s="5" t="s">
        <v>11</v>
      </c>
      <c r="E561" s="5" t="s">
        <v>12</v>
      </c>
      <c r="F561" s="3" t="s">
        <v>13</v>
      </c>
      <c r="G561" s="3" t="s">
        <v>13</v>
      </c>
      <c r="H561" s="3" t="s">
        <v>13</v>
      </c>
      <c r="I561" s="3">
        <v>364541600</v>
      </c>
    </row>
    <row r="562" spans="1:9" x14ac:dyDescent="0.35">
      <c r="A562" t="str">
        <f>"13026"</f>
        <v>13026</v>
      </c>
      <c r="B562" t="s">
        <v>9</v>
      </c>
      <c r="C562" t="s">
        <v>312</v>
      </c>
      <c r="D562" s="5" t="s">
        <v>11</v>
      </c>
      <c r="E562" s="5" t="s">
        <v>12</v>
      </c>
      <c r="F562" s="3" t="s">
        <v>13</v>
      </c>
      <c r="G562" s="3" t="s">
        <v>13</v>
      </c>
      <c r="H562" s="3" t="s">
        <v>13</v>
      </c>
      <c r="I562" s="3">
        <v>423770400</v>
      </c>
    </row>
    <row r="563" spans="1:9" x14ac:dyDescent="0.35">
      <c r="A563" t="str">
        <f>"13028"</f>
        <v>13028</v>
      </c>
      <c r="B563" t="s">
        <v>9</v>
      </c>
      <c r="C563" t="s">
        <v>313</v>
      </c>
      <c r="D563" s="5" t="s">
        <v>11</v>
      </c>
      <c r="E563" s="5" t="s">
        <v>12</v>
      </c>
      <c r="F563" s="3" t="s">
        <v>13</v>
      </c>
      <c r="G563" s="3" t="s">
        <v>13</v>
      </c>
      <c r="H563" s="3" t="s">
        <v>13</v>
      </c>
      <c r="I563" s="3">
        <v>1467362400</v>
      </c>
    </row>
    <row r="564" spans="1:9" x14ac:dyDescent="0.35">
      <c r="A564" t="str">
        <f>"13034"</f>
        <v>13034</v>
      </c>
      <c r="B564" t="s">
        <v>9</v>
      </c>
      <c r="C564" t="s">
        <v>314</v>
      </c>
      <c r="D564" s="5" t="s">
        <v>11</v>
      </c>
      <c r="E564" s="5" t="s">
        <v>12</v>
      </c>
      <c r="F564" s="3" t="s">
        <v>13</v>
      </c>
      <c r="G564" s="3" t="s">
        <v>13</v>
      </c>
      <c r="H564" s="3" t="s">
        <v>13</v>
      </c>
      <c r="I564" s="3">
        <v>244852300</v>
      </c>
    </row>
    <row r="565" spans="1:9" x14ac:dyDescent="0.35">
      <c r="A565" t="str">
        <f>"13036"</f>
        <v>13036</v>
      </c>
      <c r="B565" t="s">
        <v>9</v>
      </c>
      <c r="C565" t="s">
        <v>315</v>
      </c>
      <c r="D565" s="5" t="s">
        <v>11</v>
      </c>
      <c r="E565" s="5" t="s">
        <v>12</v>
      </c>
      <c r="F565" s="3" t="s">
        <v>13</v>
      </c>
      <c r="G565" s="3" t="s">
        <v>13</v>
      </c>
      <c r="H565" s="3" t="s">
        <v>13</v>
      </c>
      <c r="I565" s="3">
        <v>268140100</v>
      </c>
    </row>
    <row r="566" spans="1:9" x14ac:dyDescent="0.35">
      <c r="A566" t="str">
        <f>"13038"</f>
        <v>13038</v>
      </c>
      <c r="B566" t="s">
        <v>9</v>
      </c>
      <c r="C566" t="s">
        <v>316</v>
      </c>
      <c r="D566" s="5" t="s">
        <v>11</v>
      </c>
      <c r="E566" s="5" t="s">
        <v>12</v>
      </c>
      <c r="F566" s="3" t="s">
        <v>13</v>
      </c>
      <c r="G566" s="3" t="s">
        <v>13</v>
      </c>
      <c r="H566" s="3" t="s">
        <v>13</v>
      </c>
      <c r="I566" s="3">
        <v>2547970500</v>
      </c>
    </row>
    <row r="567" spans="1:9" x14ac:dyDescent="0.35">
      <c r="A567" t="str">
        <f>"13040"</f>
        <v>13040</v>
      </c>
      <c r="B567" t="s">
        <v>9</v>
      </c>
      <c r="C567" t="s">
        <v>317</v>
      </c>
      <c r="D567" s="5" t="s">
        <v>11</v>
      </c>
      <c r="E567" s="5" t="s">
        <v>12</v>
      </c>
      <c r="F567" s="3" t="s">
        <v>13</v>
      </c>
      <c r="G567" s="3" t="s">
        <v>13</v>
      </c>
      <c r="H567" s="3" t="s">
        <v>13</v>
      </c>
      <c r="I567" s="3">
        <v>261574000</v>
      </c>
    </row>
    <row r="568" spans="1:9" x14ac:dyDescent="0.35">
      <c r="A568" t="str">
        <f>"13042"</f>
        <v>13042</v>
      </c>
      <c r="B568" t="s">
        <v>9</v>
      </c>
      <c r="C568" t="s">
        <v>318</v>
      </c>
      <c r="D568" s="5" t="s">
        <v>11</v>
      </c>
      <c r="E568" s="5" t="s">
        <v>12</v>
      </c>
      <c r="F568" s="3" t="s">
        <v>13</v>
      </c>
      <c r="G568" s="3" t="s">
        <v>13</v>
      </c>
      <c r="H568" s="3" t="s">
        <v>13</v>
      </c>
      <c r="I568" s="3">
        <v>769923800</v>
      </c>
    </row>
    <row r="569" spans="1:9" x14ac:dyDescent="0.35">
      <c r="A569" t="str">
        <f>"13044"</f>
        <v>13044</v>
      </c>
      <c r="B569" t="s">
        <v>9</v>
      </c>
      <c r="C569" t="s">
        <v>319</v>
      </c>
      <c r="D569" s="5" t="s">
        <v>11</v>
      </c>
      <c r="E569" s="5" t="s">
        <v>12</v>
      </c>
      <c r="F569" s="3" t="s">
        <v>13</v>
      </c>
      <c r="G569" s="3" t="s">
        <v>13</v>
      </c>
      <c r="H569" s="3" t="s">
        <v>13</v>
      </c>
      <c r="I569" s="3">
        <v>170126300</v>
      </c>
    </row>
    <row r="570" spans="1:9" x14ac:dyDescent="0.35">
      <c r="A570" t="str">
        <f>"13046"</f>
        <v>13046</v>
      </c>
      <c r="B570" t="s">
        <v>9</v>
      </c>
      <c r="C570" t="s">
        <v>320</v>
      </c>
      <c r="D570" s="5" t="s">
        <v>11</v>
      </c>
      <c r="E570" s="5" t="s">
        <v>12</v>
      </c>
      <c r="F570" s="3" t="s">
        <v>13</v>
      </c>
      <c r="G570" s="3" t="s">
        <v>13</v>
      </c>
      <c r="H570" s="3" t="s">
        <v>13</v>
      </c>
      <c r="I570" s="3">
        <v>897796700</v>
      </c>
    </row>
    <row r="571" spans="1:9" x14ac:dyDescent="0.35">
      <c r="A571" t="str">
        <f>"13048"</f>
        <v>13048</v>
      </c>
      <c r="B571" t="s">
        <v>9</v>
      </c>
      <c r="C571" t="s">
        <v>321</v>
      </c>
      <c r="D571" s="5" t="s">
        <v>11</v>
      </c>
      <c r="E571" s="5" t="s">
        <v>12</v>
      </c>
      <c r="F571" s="3" t="s">
        <v>13</v>
      </c>
      <c r="G571" s="3" t="s">
        <v>13</v>
      </c>
      <c r="H571" s="3" t="s">
        <v>13</v>
      </c>
      <c r="I571" s="3">
        <v>196366300</v>
      </c>
    </row>
    <row r="572" spans="1:9" x14ac:dyDescent="0.35">
      <c r="A572" t="str">
        <f>"13050"</f>
        <v>13050</v>
      </c>
      <c r="B572" t="s">
        <v>9</v>
      </c>
      <c r="C572" t="s">
        <v>322</v>
      </c>
      <c r="D572" s="5" t="s">
        <v>11</v>
      </c>
      <c r="E572" s="5" t="s">
        <v>12</v>
      </c>
      <c r="F572" s="3" t="s">
        <v>13</v>
      </c>
      <c r="G572" s="3" t="s">
        <v>13</v>
      </c>
      <c r="H572" s="3" t="s">
        <v>13</v>
      </c>
      <c r="I572" s="3">
        <v>454582900</v>
      </c>
    </row>
    <row r="573" spans="1:9" x14ac:dyDescent="0.35">
      <c r="A573" t="str">
        <f>"13052"</f>
        <v>13052</v>
      </c>
      <c r="B573" t="s">
        <v>9</v>
      </c>
      <c r="C573" t="s">
        <v>323</v>
      </c>
      <c r="D573" s="5" t="s">
        <v>11</v>
      </c>
      <c r="E573" s="5" t="s">
        <v>12</v>
      </c>
      <c r="F573" s="3" t="s">
        <v>13</v>
      </c>
      <c r="G573" s="3" t="s">
        <v>13</v>
      </c>
      <c r="H573" s="3" t="s">
        <v>13</v>
      </c>
      <c r="I573" s="3">
        <v>474178300</v>
      </c>
    </row>
    <row r="574" spans="1:9" x14ac:dyDescent="0.35">
      <c r="A574" t="str">
        <f>"13054"</f>
        <v>13054</v>
      </c>
      <c r="B574" t="s">
        <v>9</v>
      </c>
      <c r="C574" t="s">
        <v>324</v>
      </c>
      <c r="D574" s="5" t="s">
        <v>11</v>
      </c>
      <c r="E574" s="5" t="s">
        <v>12</v>
      </c>
      <c r="F574" s="3" t="s">
        <v>13</v>
      </c>
      <c r="G574" s="3" t="s">
        <v>13</v>
      </c>
      <c r="H574" s="3" t="s">
        <v>13</v>
      </c>
      <c r="I574" s="3">
        <v>669802300</v>
      </c>
    </row>
    <row r="575" spans="1:9" x14ac:dyDescent="0.35">
      <c r="A575" t="str">
        <f>"13056"</f>
        <v>13056</v>
      </c>
      <c r="B575" t="s">
        <v>9</v>
      </c>
      <c r="C575" t="s">
        <v>325</v>
      </c>
      <c r="D575" s="5" t="s">
        <v>11</v>
      </c>
      <c r="E575" s="5" t="s">
        <v>12</v>
      </c>
      <c r="F575" s="3" t="s">
        <v>13</v>
      </c>
      <c r="G575" s="3" t="s">
        <v>13</v>
      </c>
      <c r="H575" s="3" t="s">
        <v>13</v>
      </c>
      <c r="I575" s="3">
        <v>856283000</v>
      </c>
    </row>
    <row r="576" spans="1:9" x14ac:dyDescent="0.35">
      <c r="A576" t="str">
        <f>"13058"</f>
        <v>13058</v>
      </c>
      <c r="B576" t="s">
        <v>9</v>
      </c>
      <c r="C576" t="s">
        <v>326</v>
      </c>
      <c r="D576" s="5" t="s">
        <v>11</v>
      </c>
      <c r="E576" s="5" t="s">
        <v>12</v>
      </c>
      <c r="F576" s="3" t="s">
        <v>13</v>
      </c>
      <c r="G576" s="3" t="s">
        <v>13</v>
      </c>
      <c r="H576" s="3" t="s">
        <v>13</v>
      </c>
      <c r="I576" s="3">
        <v>557280200</v>
      </c>
    </row>
    <row r="577" spans="1:9" x14ac:dyDescent="0.35">
      <c r="A577" t="str">
        <f>"13060"</f>
        <v>13060</v>
      </c>
      <c r="B577" t="s">
        <v>9</v>
      </c>
      <c r="C577" t="s">
        <v>327</v>
      </c>
      <c r="D577" s="5" t="s">
        <v>11</v>
      </c>
      <c r="E577" s="5" t="s">
        <v>12</v>
      </c>
      <c r="F577" s="3" t="s">
        <v>13</v>
      </c>
      <c r="G577" s="3" t="s">
        <v>13</v>
      </c>
      <c r="H577" s="3" t="s">
        <v>13</v>
      </c>
      <c r="I577" s="3">
        <v>320966100</v>
      </c>
    </row>
    <row r="578" spans="1:9" x14ac:dyDescent="0.35">
      <c r="A578" t="str">
        <f>"13062"</f>
        <v>13062</v>
      </c>
      <c r="B578" t="s">
        <v>9</v>
      </c>
      <c r="C578" t="s">
        <v>328</v>
      </c>
      <c r="D578" s="5" t="s">
        <v>11</v>
      </c>
      <c r="E578" s="5" t="s">
        <v>12</v>
      </c>
      <c r="F578" s="3" t="s">
        <v>13</v>
      </c>
      <c r="G578" s="3" t="s">
        <v>13</v>
      </c>
      <c r="H578" s="3" t="s">
        <v>13</v>
      </c>
      <c r="I578" s="3">
        <v>764476100</v>
      </c>
    </row>
    <row r="579" spans="1:9" x14ac:dyDescent="0.35">
      <c r="A579" t="str">
        <f>"13064"</f>
        <v>13064</v>
      </c>
      <c r="B579" t="s">
        <v>9</v>
      </c>
      <c r="C579" t="s">
        <v>329</v>
      </c>
      <c r="D579" s="5" t="s">
        <v>11</v>
      </c>
      <c r="E579" s="5" t="s">
        <v>12</v>
      </c>
      <c r="F579" s="3" t="s">
        <v>13</v>
      </c>
      <c r="G579" s="3" t="s">
        <v>13</v>
      </c>
      <c r="H579" s="3" t="s">
        <v>13</v>
      </c>
      <c r="I579" s="3">
        <v>450372100</v>
      </c>
    </row>
    <row r="580" spans="1:9" x14ac:dyDescent="0.35">
      <c r="A580" t="str">
        <f>"13066"</f>
        <v>13066</v>
      </c>
      <c r="B580" t="s">
        <v>9</v>
      </c>
      <c r="C580" t="s">
        <v>330</v>
      </c>
      <c r="D580" s="5" t="s">
        <v>11</v>
      </c>
      <c r="E580" s="5" t="s">
        <v>12</v>
      </c>
      <c r="F580" s="3" t="s">
        <v>13</v>
      </c>
      <c r="G580" s="3" t="s">
        <v>13</v>
      </c>
      <c r="H580" s="3" t="s">
        <v>13</v>
      </c>
      <c r="I580" s="3">
        <v>1787433400</v>
      </c>
    </row>
    <row r="581" spans="1:9" x14ac:dyDescent="0.35">
      <c r="A581" t="str">
        <f>"13070"</f>
        <v>13070</v>
      </c>
      <c r="B581" t="s">
        <v>9</v>
      </c>
      <c r="C581" t="s">
        <v>243</v>
      </c>
      <c r="D581" s="5" t="s">
        <v>11</v>
      </c>
      <c r="E581" s="5" t="s">
        <v>12</v>
      </c>
      <c r="F581" s="3" t="s">
        <v>13</v>
      </c>
      <c r="G581" s="3" t="s">
        <v>13</v>
      </c>
      <c r="H581" s="3" t="s">
        <v>13</v>
      </c>
      <c r="I581" s="3">
        <v>154122600</v>
      </c>
    </row>
    <row r="582" spans="1:9" x14ac:dyDescent="0.35">
      <c r="A582" t="s">
        <v>30</v>
      </c>
      <c r="B582" t="s">
        <v>31</v>
      </c>
      <c r="C582" t="s">
        <v>32</v>
      </c>
      <c r="D582" s="5" t="s">
        <v>11</v>
      </c>
      <c r="E582" s="5" t="s">
        <v>12</v>
      </c>
      <c r="F582" s="3" t="s">
        <v>13</v>
      </c>
      <c r="G582" s="3" t="s">
        <v>13</v>
      </c>
      <c r="H582" s="3" t="s">
        <v>13</v>
      </c>
      <c r="I582" s="3">
        <v>19506532700</v>
      </c>
    </row>
    <row r="583" spans="1:9" x14ac:dyDescent="0.35">
      <c r="A583" t="str">
        <f>"13106"</f>
        <v>13106</v>
      </c>
      <c r="B583" t="s">
        <v>33</v>
      </c>
      <c r="C583" t="s">
        <v>331</v>
      </c>
      <c r="D583" s="5" t="str">
        <f>"003"</f>
        <v>003</v>
      </c>
      <c r="E583" s="5">
        <v>2009</v>
      </c>
      <c r="F583" s="3">
        <v>162400</v>
      </c>
      <c r="G583" s="3">
        <v>71028200</v>
      </c>
      <c r="H583" s="3">
        <v>70865800</v>
      </c>
    </row>
    <row r="584" spans="1:9" x14ac:dyDescent="0.35">
      <c r="A584" t="str">
        <f>"13106"</f>
        <v>13106</v>
      </c>
      <c r="B584" t="s">
        <v>33</v>
      </c>
      <c r="C584" t="s">
        <v>331</v>
      </c>
      <c r="D584" s="5" t="str">
        <f>"005"</f>
        <v>005</v>
      </c>
      <c r="E584" s="5">
        <v>2009</v>
      </c>
      <c r="F584" s="3">
        <v>6990200</v>
      </c>
      <c r="G584" s="3">
        <v>10949400</v>
      </c>
      <c r="H584" s="3">
        <v>3959200</v>
      </c>
    </row>
    <row r="585" spans="1:9" x14ac:dyDescent="0.35">
      <c r="A585" t="str">
        <f>"13106"</f>
        <v>13106</v>
      </c>
      <c r="B585" t="s">
        <v>33</v>
      </c>
      <c r="C585" t="s">
        <v>331</v>
      </c>
      <c r="D585" s="5" t="s">
        <v>11</v>
      </c>
      <c r="E585" s="5" t="s">
        <v>12</v>
      </c>
      <c r="F585" s="3" t="s">
        <v>13</v>
      </c>
      <c r="G585" s="3" t="s">
        <v>13</v>
      </c>
      <c r="H585" s="3" t="s">
        <v>13</v>
      </c>
      <c r="I585" s="3">
        <v>361674400</v>
      </c>
    </row>
    <row r="586" spans="1:9" x14ac:dyDescent="0.35">
      <c r="A586" t="str">
        <f>"13107"</f>
        <v>13107</v>
      </c>
      <c r="B586" t="s">
        <v>33</v>
      </c>
      <c r="C586" t="s">
        <v>302</v>
      </c>
      <c r="D586" s="5" t="str">
        <f>"003"</f>
        <v>003</v>
      </c>
      <c r="E586" s="5">
        <v>2009</v>
      </c>
      <c r="F586" s="3">
        <v>3089300</v>
      </c>
      <c r="G586" s="3">
        <v>10277300</v>
      </c>
      <c r="H586" s="3">
        <v>7188000</v>
      </c>
    </row>
    <row r="587" spans="1:9" x14ac:dyDescent="0.35">
      <c r="A587" t="str">
        <f>"13107"</f>
        <v>13107</v>
      </c>
      <c r="B587" t="s">
        <v>33</v>
      </c>
      <c r="C587" t="s">
        <v>302</v>
      </c>
      <c r="D587" s="5" t="str">
        <f>"005"</f>
        <v>005</v>
      </c>
      <c r="E587" s="5">
        <v>2018</v>
      </c>
      <c r="F587" s="3">
        <v>5748600</v>
      </c>
      <c r="G587" s="3">
        <v>9493600</v>
      </c>
      <c r="H587" s="3">
        <v>3745000</v>
      </c>
    </row>
    <row r="588" spans="1:9" x14ac:dyDescent="0.35">
      <c r="A588" t="str">
        <f>"13107"</f>
        <v>13107</v>
      </c>
      <c r="B588" t="s">
        <v>33</v>
      </c>
      <c r="C588" t="s">
        <v>302</v>
      </c>
      <c r="D588" s="5" t="s">
        <v>11</v>
      </c>
      <c r="E588" s="5" t="s">
        <v>12</v>
      </c>
      <c r="F588" s="3" t="s">
        <v>13</v>
      </c>
      <c r="G588" s="3" t="s">
        <v>13</v>
      </c>
      <c r="H588" s="3" t="s">
        <v>13</v>
      </c>
      <c r="I588" s="3">
        <v>228308100</v>
      </c>
    </row>
    <row r="589" spans="1:9" x14ac:dyDescent="0.35">
      <c r="A589" t="str">
        <f>"13108"</f>
        <v>13108</v>
      </c>
      <c r="B589" t="s">
        <v>33</v>
      </c>
      <c r="C589" t="s">
        <v>304</v>
      </c>
      <c r="D589" s="5" t="s">
        <v>11</v>
      </c>
      <c r="E589" s="5" t="s">
        <v>12</v>
      </c>
      <c r="F589" s="3" t="s">
        <v>13</v>
      </c>
      <c r="G589" s="3" t="s">
        <v>13</v>
      </c>
      <c r="H589" s="3" t="s">
        <v>13</v>
      </c>
      <c r="I589" s="3">
        <v>142515900</v>
      </c>
    </row>
    <row r="590" spans="1:9" x14ac:dyDescent="0.35">
      <c r="A590" t="str">
        <f>"13109"</f>
        <v>13109</v>
      </c>
      <c r="B590" t="s">
        <v>33</v>
      </c>
      <c r="C590" t="s">
        <v>332</v>
      </c>
      <c r="D590" s="5" t="str">
        <f>"002"</f>
        <v>002</v>
      </c>
      <c r="E590" s="5">
        <v>2013</v>
      </c>
      <c r="F590" s="3">
        <v>28000</v>
      </c>
      <c r="G590" s="3">
        <v>13224700</v>
      </c>
      <c r="H590" s="3">
        <v>13196700</v>
      </c>
    </row>
    <row r="591" spans="1:9" x14ac:dyDescent="0.35">
      <c r="A591" t="str">
        <f>"13109"</f>
        <v>13109</v>
      </c>
      <c r="B591" t="s">
        <v>33</v>
      </c>
      <c r="C591" t="s">
        <v>332</v>
      </c>
      <c r="D591" s="5" t="s">
        <v>11</v>
      </c>
      <c r="E591" s="5" t="s">
        <v>12</v>
      </c>
      <c r="F591" s="3" t="s">
        <v>13</v>
      </c>
      <c r="G591" s="3" t="s">
        <v>13</v>
      </c>
      <c r="H591" s="3" t="s">
        <v>13</v>
      </c>
      <c r="I591" s="3">
        <v>142242800</v>
      </c>
    </row>
    <row r="592" spans="1:9" x14ac:dyDescent="0.35">
      <c r="A592" t="str">
        <f>"13111"</f>
        <v>13111</v>
      </c>
      <c r="B592" t="s">
        <v>33</v>
      </c>
      <c r="C592" t="s">
        <v>333</v>
      </c>
      <c r="D592" s="5" t="str">
        <f>"004"</f>
        <v>004</v>
      </c>
      <c r="E592" s="5">
        <v>2013</v>
      </c>
      <c r="F592" s="3">
        <v>10041000</v>
      </c>
      <c r="G592" s="3">
        <v>18329900</v>
      </c>
      <c r="H592" s="3">
        <v>8288900</v>
      </c>
    </row>
    <row r="593" spans="1:9" x14ac:dyDescent="0.35">
      <c r="A593" t="str">
        <f>"13111"</f>
        <v>13111</v>
      </c>
      <c r="B593" t="s">
        <v>33</v>
      </c>
      <c r="C593" t="s">
        <v>333</v>
      </c>
      <c r="D593" s="5" t="str">
        <f>"005"</f>
        <v>005</v>
      </c>
      <c r="E593" s="5">
        <v>2020</v>
      </c>
      <c r="F593" s="3">
        <v>3007200</v>
      </c>
      <c r="G593" s="3">
        <v>20080000</v>
      </c>
      <c r="H593" s="3">
        <v>17072800</v>
      </c>
    </row>
    <row r="594" spans="1:9" x14ac:dyDescent="0.35">
      <c r="A594" t="str">
        <f>"13111"</f>
        <v>13111</v>
      </c>
      <c r="B594" t="s">
        <v>33</v>
      </c>
      <c r="C594" t="s">
        <v>333</v>
      </c>
      <c r="D594" s="5" t="str">
        <f>"006"</f>
        <v>006</v>
      </c>
      <c r="E594" s="5">
        <v>2022</v>
      </c>
      <c r="F594" s="3">
        <v>60700</v>
      </c>
      <c r="G594" s="3">
        <v>2797700</v>
      </c>
      <c r="H594" s="3">
        <v>2737000</v>
      </c>
    </row>
    <row r="595" spans="1:9" x14ac:dyDescent="0.35">
      <c r="A595" t="str">
        <f>"13111"</f>
        <v>13111</v>
      </c>
      <c r="B595" t="s">
        <v>33</v>
      </c>
      <c r="C595" t="s">
        <v>333</v>
      </c>
      <c r="D595" s="5" t="s">
        <v>11</v>
      </c>
      <c r="E595" s="5" t="s">
        <v>12</v>
      </c>
      <c r="F595" s="3" t="s">
        <v>13</v>
      </c>
      <c r="G595" s="3" t="s">
        <v>13</v>
      </c>
      <c r="H595" s="3" t="s">
        <v>13</v>
      </c>
      <c r="I595" s="3">
        <v>297810600</v>
      </c>
    </row>
    <row r="596" spans="1:9" x14ac:dyDescent="0.35">
      <c r="A596" t="str">
        <f>"13112"</f>
        <v>13112</v>
      </c>
      <c r="B596" t="s">
        <v>33</v>
      </c>
      <c r="C596" t="s">
        <v>308</v>
      </c>
      <c r="D596" s="5" t="str">
        <f>"006"</f>
        <v>006</v>
      </c>
      <c r="E596" s="5">
        <v>2005</v>
      </c>
      <c r="F596" s="3">
        <v>6068800</v>
      </c>
      <c r="G596" s="3">
        <v>9062000</v>
      </c>
      <c r="H596" s="3">
        <v>2993200</v>
      </c>
    </row>
    <row r="597" spans="1:9" x14ac:dyDescent="0.35">
      <c r="A597" t="str">
        <f>"13112"</f>
        <v>13112</v>
      </c>
      <c r="B597" t="s">
        <v>33</v>
      </c>
      <c r="C597" t="s">
        <v>308</v>
      </c>
      <c r="D597" s="5" t="str">
        <f>"008"</f>
        <v>008</v>
      </c>
      <c r="E597" s="5">
        <v>2018</v>
      </c>
      <c r="F597" s="3">
        <v>2611600</v>
      </c>
      <c r="G597" s="3">
        <v>6964900</v>
      </c>
      <c r="H597" s="3">
        <v>4353300</v>
      </c>
    </row>
    <row r="598" spans="1:9" x14ac:dyDescent="0.35">
      <c r="A598" t="str">
        <f>"13112"</f>
        <v>13112</v>
      </c>
      <c r="B598" t="s">
        <v>33</v>
      </c>
      <c r="C598" t="s">
        <v>308</v>
      </c>
      <c r="D598" s="5" t="str">
        <f>"009"</f>
        <v>009</v>
      </c>
      <c r="E598" s="5">
        <v>2018</v>
      </c>
      <c r="F598" s="3">
        <v>9893500</v>
      </c>
      <c r="G598" s="3">
        <v>59010400</v>
      </c>
      <c r="H598" s="3">
        <v>49116900</v>
      </c>
    </row>
    <row r="599" spans="1:9" x14ac:dyDescent="0.35">
      <c r="A599" t="str">
        <f>"13112"</f>
        <v>13112</v>
      </c>
      <c r="B599" t="s">
        <v>33</v>
      </c>
      <c r="C599" t="s">
        <v>308</v>
      </c>
      <c r="D599" s="5" t="str">
        <f>"010"</f>
        <v>010</v>
      </c>
      <c r="E599" s="5">
        <v>2018</v>
      </c>
      <c r="F599" s="3">
        <v>1241600</v>
      </c>
      <c r="G599" s="3">
        <v>401919600</v>
      </c>
      <c r="H599" s="3">
        <v>400678000</v>
      </c>
    </row>
    <row r="600" spans="1:9" x14ac:dyDescent="0.35">
      <c r="A600" t="str">
        <f>"13112"</f>
        <v>13112</v>
      </c>
      <c r="B600" t="s">
        <v>33</v>
      </c>
      <c r="C600" t="s">
        <v>308</v>
      </c>
      <c r="D600" s="5" t="s">
        <v>11</v>
      </c>
      <c r="E600" s="5" t="s">
        <v>12</v>
      </c>
      <c r="F600" s="3" t="s">
        <v>13</v>
      </c>
      <c r="G600" s="3" t="s">
        <v>13</v>
      </c>
      <c r="H600" s="3" t="s">
        <v>13</v>
      </c>
      <c r="I600" s="3">
        <v>1429144500</v>
      </c>
    </row>
    <row r="601" spans="1:9" x14ac:dyDescent="0.35">
      <c r="A601" t="str">
        <f>"13113"</f>
        <v>13113</v>
      </c>
      <c r="B601" t="s">
        <v>33</v>
      </c>
      <c r="C601" t="s">
        <v>309</v>
      </c>
      <c r="D601" s="5" t="str">
        <f>"003"</f>
        <v>003</v>
      </c>
      <c r="E601" s="5">
        <v>2008</v>
      </c>
      <c r="F601" s="3">
        <v>26335800</v>
      </c>
      <c r="G601" s="3">
        <v>79040500</v>
      </c>
      <c r="H601" s="3">
        <v>52704700</v>
      </c>
    </row>
    <row r="602" spans="1:9" x14ac:dyDescent="0.35">
      <c r="A602" t="str">
        <f>"13113"</f>
        <v>13113</v>
      </c>
      <c r="B602" t="s">
        <v>33</v>
      </c>
      <c r="C602" t="s">
        <v>309</v>
      </c>
      <c r="D602" s="5" t="s">
        <v>11</v>
      </c>
      <c r="E602" s="5" t="s">
        <v>12</v>
      </c>
      <c r="F602" s="3" t="s">
        <v>13</v>
      </c>
      <c r="G602" s="3" t="s">
        <v>13</v>
      </c>
      <c r="H602" s="3" t="s">
        <v>13</v>
      </c>
      <c r="I602" s="3">
        <v>685706600</v>
      </c>
    </row>
    <row r="603" spans="1:9" x14ac:dyDescent="0.35">
      <c r="A603" t="str">
        <f>"13116"</f>
        <v>13116</v>
      </c>
      <c r="B603" t="s">
        <v>33</v>
      </c>
      <c r="C603" t="s">
        <v>310</v>
      </c>
      <c r="D603" s="5" t="str">
        <f>"002"</f>
        <v>002</v>
      </c>
      <c r="E603" s="5">
        <v>2007</v>
      </c>
      <c r="F603" s="3">
        <v>4426100</v>
      </c>
      <c r="G603" s="3">
        <v>6803600</v>
      </c>
      <c r="H603" s="3">
        <v>2377500</v>
      </c>
    </row>
    <row r="604" spans="1:9" x14ac:dyDescent="0.35">
      <c r="A604" t="str">
        <f>"13116"</f>
        <v>13116</v>
      </c>
      <c r="B604" t="s">
        <v>33</v>
      </c>
      <c r="C604" t="s">
        <v>310</v>
      </c>
      <c r="D604" s="5" t="str">
        <f>"003"</f>
        <v>003</v>
      </c>
      <c r="E604" s="5">
        <v>2022</v>
      </c>
      <c r="F604" s="3">
        <v>8381100</v>
      </c>
      <c r="G604" s="3">
        <v>27831700</v>
      </c>
      <c r="H604" s="3">
        <v>19450600</v>
      </c>
    </row>
    <row r="605" spans="1:9" x14ac:dyDescent="0.35">
      <c r="A605" t="str">
        <f>"13116"</f>
        <v>13116</v>
      </c>
      <c r="B605" t="s">
        <v>33</v>
      </c>
      <c r="C605" t="s">
        <v>310</v>
      </c>
      <c r="D605" s="5" t="s">
        <v>11</v>
      </c>
      <c r="E605" s="5" t="s">
        <v>12</v>
      </c>
      <c r="F605" s="3" t="s">
        <v>13</v>
      </c>
      <c r="G605" s="3" t="s">
        <v>13</v>
      </c>
      <c r="H605" s="3" t="s">
        <v>13</v>
      </c>
      <c r="I605" s="3">
        <v>169564900</v>
      </c>
    </row>
    <row r="606" spans="1:9" x14ac:dyDescent="0.35">
      <c r="A606" t="str">
        <f>"13117"</f>
        <v>13117</v>
      </c>
      <c r="B606" t="s">
        <v>33</v>
      </c>
      <c r="C606" t="s">
        <v>311</v>
      </c>
      <c r="D606" s="5" t="str">
        <f>"005"</f>
        <v>005</v>
      </c>
      <c r="E606" s="5">
        <v>2008</v>
      </c>
      <c r="F606" s="3">
        <v>11700</v>
      </c>
      <c r="G606" s="3">
        <v>1226600</v>
      </c>
      <c r="H606" s="3">
        <v>1214900</v>
      </c>
    </row>
    <row r="607" spans="1:9" x14ac:dyDescent="0.35">
      <c r="A607" t="str">
        <f>"13117"</f>
        <v>13117</v>
      </c>
      <c r="B607" t="s">
        <v>33</v>
      </c>
      <c r="C607" t="s">
        <v>311</v>
      </c>
      <c r="D607" s="5" t="str">
        <f>"006"</f>
        <v>006</v>
      </c>
      <c r="E607" s="5">
        <v>2019</v>
      </c>
      <c r="F607" s="3">
        <v>1065700</v>
      </c>
      <c r="G607" s="3">
        <v>2666700</v>
      </c>
      <c r="H607" s="3">
        <v>1601000</v>
      </c>
    </row>
    <row r="608" spans="1:9" x14ac:dyDescent="0.35">
      <c r="A608" t="str">
        <f>"13117"</f>
        <v>13117</v>
      </c>
      <c r="B608" t="s">
        <v>33</v>
      </c>
      <c r="C608" t="s">
        <v>311</v>
      </c>
      <c r="D608" s="5" t="str">
        <f>"007"</f>
        <v>007</v>
      </c>
      <c r="E608" s="5">
        <v>2021</v>
      </c>
      <c r="F608" s="3">
        <v>2271900</v>
      </c>
      <c r="G608" s="3">
        <v>6330300</v>
      </c>
      <c r="H608" s="3">
        <v>4058400</v>
      </c>
    </row>
    <row r="609" spans="1:9" x14ac:dyDescent="0.35">
      <c r="A609" t="str">
        <f>"13117"</f>
        <v>13117</v>
      </c>
      <c r="B609" t="s">
        <v>33</v>
      </c>
      <c r="C609" t="s">
        <v>311</v>
      </c>
      <c r="D609" s="5" t="s">
        <v>11</v>
      </c>
      <c r="E609" s="5" t="s">
        <v>12</v>
      </c>
      <c r="F609" s="3" t="s">
        <v>13</v>
      </c>
      <c r="G609" s="3" t="s">
        <v>13</v>
      </c>
      <c r="H609" s="3" t="s">
        <v>13</v>
      </c>
      <c r="I609" s="3">
        <v>419144000</v>
      </c>
    </row>
    <row r="610" spans="1:9" x14ac:dyDescent="0.35">
      <c r="A610" t="str">
        <f t="shared" ref="A610:A617" si="8">"13118"</f>
        <v>13118</v>
      </c>
      <c r="B610" t="s">
        <v>33</v>
      </c>
      <c r="C610" t="s">
        <v>334</v>
      </c>
      <c r="D610" s="5" t="str">
        <f>"002"</f>
        <v>002</v>
      </c>
      <c r="E610" s="5">
        <v>2009</v>
      </c>
      <c r="F610" s="3">
        <v>27900</v>
      </c>
      <c r="G610" s="3">
        <v>172167600</v>
      </c>
      <c r="H610" s="3">
        <v>172139700</v>
      </c>
    </row>
    <row r="611" spans="1:9" x14ac:dyDescent="0.35">
      <c r="A611" t="str">
        <f t="shared" si="8"/>
        <v>13118</v>
      </c>
      <c r="B611" t="s">
        <v>33</v>
      </c>
      <c r="C611" t="s">
        <v>334</v>
      </c>
      <c r="D611" s="5" t="str">
        <f>"004"</f>
        <v>004</v>
      </c>
      <c r="E611" s="5">
        <v>2009</v>
      </c>
      <c r="F611" s="3">
        <v>345700</v>
      </c>
      <c r="G611" s="3">
        <v>64520200</v>
      </c>
      <c r="H611" s="3">
        <v>64174500</v>
      </c>
    </row>
    <row r="612" spans="1:9" x14ac:dyDescent="0.35">
      <c r="A612" t="str">
        <f t="shared" si="8"/>
        <v>13118</v>
      </c>
      <c r="B612" t="s">
        <v>33</v>
      </c>
      <c r="C612" t="s">
        <v>334</v>
      </c>
      <c r="D612" s="5" t="str">
        <f>"005"</f>
        <v>005</v>
      </c>
      <c r="E612" s="5">
        <v>2010</v>
      </c>
      <c r="F612" s="3">
        <v>350500</v>
      </c>
      <c r="G612" s="3">
        <v>95056600</v>
      </c>
      <c r="H612" s="3">
        <v>94706100</v>
      </c>
    </row>
    <row r="613" spans="1:9" x14ac:dyDescent="0.35">
      <c r="A613" t="str">
        <f t="shared" si="8"/>
        <v>13118</v>
      </c>
      <c r="B613" t="s">
        <v>33</v>
      </c>
      <c r="C613" t="s">
        <v>334</v>
      </c>
      <c r="D613" s="5" t="str">
        <f>"006"</f>
        <v>006</v>
      </c>
      <c r="E613" s="5">
        <v>2011</v>
      </c>
      <c r="F613" s="3">
        <v>2764600</v>
      </c>
      <c r="G613" s="3">
        <v>82649700</v>
      </c>
      <c r="H613" s="3">
        <v>79885100</v>
      </c>
    </row>
    <row r="614" spans="1:9" x14ac:dyDescent="0.35">
      <c r="A614" t="str">
        <f t="shared" si="8"/>
        <v>13118</v>
      </c>
      <c r="B614" t="s">
        <v>33</v>
      </c>
      <c r="C614" t="s">
        <v>334</v>
      </c>
      <c r="D614" s="5" t="str">
        <f>"007"</f>
        <v>007</v>
      </c>
      <c r="E614" s="5">
        <v>2011</v>
      </c>
      <c r="F614" s="3">
        <v>4486200</v>
      </c>
      <c r="G614" s="3">
        <v>153391800</v>
      </c>
      <c r="H614" s="3">
        <v>148905600</v>
      </c>
    </row>
    <row r="615" spans="1:9" x14ac:dyDescent="0.35">
      <c r="A615" t="str">
        <f t="shared" si="8"/>
        <v>13118</v>
      </c>
      <c r="B615" t="s">
        <v>33</v>
      </c>
      <c r="C615" t="s">
        <v>334</v>
      </c>
      <c r="D615" s="5" t="str">
        <f>"008"</f>
        <v>008</v>
      </c>
      <c r="E615" s="5">
        <v>2017</v>
      </c>
      <c r="F615" s="3">
        <v>6728400</v>
      </c>
      <c r="G615" s="3">
        <v>67280800</v>
      </c>
      <c r="H615" s="3">
        <v>60552400</v>
      </c>
    </row>
    <row r="616" spans="1:9" x14ac:dyDescent="0.35">
      <c r="A616" t="str">
        <f t="shared" si="8"/>
        <v>13118</v>
      </c>
      <c r="B616" t="s">
        <v>33</v>
      </c>
      <c r="C616" t="s">
        <v>334</v>
      </c>
      <c r="D616" s="5" t="str">
        <f>"009"</f>
        <v>009</v>
      </c>
      <c r="E616" s="5">
        <v>2017</v>
      </c>
      <c r="F616" s="3">
        <v>6409400</v>
      </c>
      <c r="G616" s="3">
        <v>73646800</v>
      </c>
      <c r="H616" s="3">
        <v>67237400</v>
      </c>
    </row>
    <row r="617" spans="1:9" x14ac:dyDescent="0.35">
      <c r="A617" t="str">
        <f t="shared" si="8"/>
        <v>13118</v>
      </c>
      <c r="B617" t="s">
        <v>33</v>
      </c>
      <c r="C617" t="s">
        <v>334</v>
      </c>
      <c r="D617" s="5" t="s">
        <v>11</v>
      </c>
      <c r="E617" s="5" t="s">
        <v>12</v>
      </c>
      <c r="F617" s="3" t="s">
        <v>13</v>
      </c>
      <c r="G617" s="3" t="s">
        <v>13</v>
      </c>
      <c r="H617" s="3" t="s">
        <v>13</v>
      </c>
      <c r="I617" s="3">
        <v>2213555600</v>
      </c>
    </row>
    <row r="618" spans="1:9" x14ac:dyDescent="0.35">
      <c r="A618" t="str">
        <f>"13151"</f>
        <v>13151</v>
      </c>
      <c r="B618" t="s">
        <v>33</v>
      </c>
      <c r="C618" t="s">
        <v>335</v>
      </c>
      <c r="D618" s="5" t="str">
        <f>"001"</f>
        <v>001</v>
      </c>
      <c r="E618" s="5">
        <v>2014</v>
      </c>
      <c r="F618" s="3">
        <v>5689400</v>
      </c>
      <c r="G618" s="3">
        <v>22804700</v>
      </c>
      <c r="H618" s="3">
        <v>17115300</v>
      </c>
    </row>
    <row r="619" spans="1:9" x14ac:dyDescent="0.35">
      <c r="A619" t="str">
        <f>"13151"</f>
        <v>13151</v>
      </c>
      <c r="B619" t="s">
        <v>33</v>
      </c>
      <c r="C619" t="s">
        <v>335</v>
      </c>
      <c r="D619" s="5" t="s">
        <v>11</v>
      </c>
      <c r="E619" s="5" t="s">
        <v>12</v>
      </c>
      <c r="F619" s="3" t="s">
        <v>13</v>
      </c>
      <c r="G619" s="3" t="s">
        <v>13</v>
      </c>
      <c r="H619" s="3" t="s">
        <v>13</v>
      </c>
      <c r="I619" s="3">
        <v>843468200</v>
      </c>
    </row>
    <row r="620" spans="1:9" x14ac:dyDescent="0.35">
      <c r="A620" t="str">
        <f>"13152"</f>
        <v>13152</v>
      </c>
      <c r="B620" t="s">
        <v>33</v>
      </c>
      <c r="C620" t="s">
        <v>336</v>
      </c>
      <c r="D620" s="5" t="str">
        <f>"002"</f>
        <v>002</v>
      </c>
      <c r="E620" s="5">
        <v>2018</v>
      </c>
      <c r="F620" s="3">
        <v>14377100</v>
      </c>
      <c r="G620" s="3">
        <v>35791900</v>
      </c>
      <c r="H620" s="3">
        <v>21414800</v>
      </c>
    </row>
    <row r="621" spans="1:9" x14ac:dyDescent="0.35">
      <c r="A621" t="str">
        <f>"13152"</f>
        <v>13152</v>
      </c>
      <c r="B621" t="s">
        <v>33</v>
      </c>
      <c r="C621" t="s">
        <v>336</v>
      </c>
      <c r="D621" s="5" t="s">
        <v>11</v>
      </c>
      <c r="E621" s="5" t="s">
        <v>12</v>
      </c>
      <c r="F621" s="3" t="s">
        <v>13</v>
      </c>
      <c r="G621" s="3" t="s">
        <v>13</v>
      </c>
      <c r="H621" s="3" t="s">
        <v>13</v>
      </c>
      <c r="I621" s="3">
        <v>419644900</v>
      </c>
    </row>
    <row r="622" spans="1:9" x14ac:dyDescent="0.35">
      <c r="A622" t="str">
        <f>"13153"</f>
        <v>13153</v>
      </c>
      <c r="B622" t="s">
        <v>33</v>
      </c>
      <c r="C622" t="s">
        <v>314</v>
      </c>
      <c r="D622" s="5" t="str">
        <f>"005"</f>
        <v>005</v>
      </c>
      <c r="E622" s="5">
        <v>2005</v>
      </c>
      <c r="F622" s="3">
        <v>4455200</v>
      </c>
      <c r="G622" s="3">
        <v>7066900</v>
      </c>
      <c r="H622" s="3">
        <v>2611700</v>
      </c>
    </row>
    <row r="623" spans="1:9" x14ac:dyDescent="0.35">
      <c r="A623" t="str">
        <f>"13153"</f>
        <v>13153</v>
      </c>
      <c r="B623" t="s">
        <v>33</v>
      </c>
      <c r="C623" t="s">
        <v>314</v>
      </c>
      <c r="D623" s="5" t="s">
        <v>11</v>
      </c>
      <c r="E623" s="5" t="s">
        <v>12</v>
      </c>
      <c r="F623" s="3" t="s">
        <v>13</v>
      </c>
      <c r="G623" s="3" t="s">
        <v>13</v>
      </c>
      <c r="H623" s="3" t="s">
        <v>13</v>
      </c>
      <c r="I623" s="3">
        <v>308457900</v>
      </c>
    </row>
    <row r="624" spans="1:9" x14ac:dyDescent="0.35">
      <c r="A624" t="str">
        <f>"13154"</f>
        <v>13154</v>
      </c>
      <c r="B624" t="s">
        <v>33</v>
      </c>
      <c r="C624" t="s">
        <v>337</v>
      </c>
      <c r="D624" s="5" t="str">
        <f>"003"</f>
        <v>003</v>
      </c>
      <c r="E624" s="5">
        <v>2004</v>
      </c>
      <c r="F624" s="3">
        <v>24643300</v>
      </c>
      <c r="G624" s="3">
        <v>125255400</v>
      </c>
      <c r="H624" s="3">
        <v>100612100</v>
      </c>
    </row>
    <row r="625" spans="1:9" x14ac:dyDescent="0.35">
      <c r="A625" t="str">
        <f>"13154"</f>
        <v>13154</v>
      </c>
      <c r="B625" t="s">
        <v>33</v>
      </c>
      <c r="C625" t="s">
        <v>337</v>
      </c>
      <c r="D625" s="5" t="str">
        <f>"004"</f>
        <v>004</v>
      </c>
      <c r="E625" s="5">
        <v>2008</v>
      </c>
      <c r="F625" s="3">
        <v>7422200</v>
      </c>
      <c r="G625" s="3">
        <v>17141200</v>
      </c>
      <c r="H625" s="3">
        <v>9719000</v>
      </c>
    </row>
    <row r="626" spans="1:9" x14ac:dyDescent="0.35">
      <c r="A626" t="str">
        <f>"13154"</f>
        <v>13154</v>
      </c>
      <c r="B626" t="s">
        <v>33</v>
      </c>
      <c r="C626" t="s">
        <v>337</v>
      </c>
      <c r="D626" s="5" t="str">
        <f>"005"</f>
        <v>005</v>
      </c>
      <c r="E626" s="5">
        <v>2018</v>
      </c>
      <c r="F626" s="3">
        <v>16550200</v>
      </c>
      <c r="G626" s="3">
        <v>41210300</v>
      </c>
      <c r="H626" s="3">
        <v>24660100</v>
      </c>
    </row>
    <row r="627" spans="1:9" x14ac:dyDescent="0.35">
      <c r="A627" t="str">
        <f>"13154"</f>
        <v>13154</v>
      </c>
      <c r="B627" t="s">
        <v>33</v>
      </c>
      <c r="C627" t="s">
        <v>337</v>
      </c>
      <c r="D627" s="5" t="str">
        <f>"006"</f>
        <v>006</v>
      </c>
      <c r="E627" s="5">
        <v>2024</v>
      </c>
      <c r="F627" s="3">
        <v>74258800</v>
      </c>
      <c r="G627" s="3">
        <v>85376900</v>
      </c>
      <c r="H627" s="3">
        <v>11118100</v>
      </c>
    </row>
    <row r="628" spans="1:9" x14ac:dyDescent="0.35">
      <c r="A628" t="str">
        <f>"13154"</f>
        <v>13154</v>
      </c>
      <c r="B628" t="s">
        <v>33</v>
      </c>
      <c r="C628" t="s">
        <v>337</v>
      </c>
      <c r="D628" s="5" t="s">
        <v>11</v>
      </c>
      <c r="E628" s="5" t="s">
        <v>12</v>
      </c>
      <c r="F628" s="3" t="s">
        <v>13</v>
      </c>
      <c r="G628" s="3" t="s">
        <v>13</v>
      </c>
      <c r="H628" s="3" t="s">
        <v>13</v>
      </c>
      <c r="I628" s="3">
        <v>1751791100</v>
      </c>
    </row>
    <row r="629" spans="1:9" x14ac:dyDescent="0.35">
      <c r="A629" t="str">
        <f>"13157"</f>
        <v>13157</v>
      </c>
      <c r="B629" t="s">
        <v>33</v>
      </c>
      <c r="C629" t="s">
        <v>338</v>
      </c>
      <c r="D629" s="5" t="str">
        <f>"003"</f>
        <v>003</v>
      </c>
      <c r="E629" s="5">
        <v>2004</v>
      </c>
      <c r="F629" s="3">
        <v>2381600</v>
      </c>
      <c r="G629" s="3">
        <v>76360000</v>
      </c>
      <c r="H629" s="3">
        <v>73978400</v>
      </c>
    </row>
    <row r="630" spans="1:9" x14ac:dyDescent="0.35">
      <c r="A630" t="str">
        <f>"13157"</f>
        <v>13157</v>
      </c>
      <c r="B630" t="s">
        <v>33</v>
      </c>
      <c r="C630" t="s">
        <v>338</v>
      </c>
      <c r="D630" s="5" t="str">
        <f>"005"</f>
        <v>005</v>
      </c>
      <c r="E630" s="5">
        <v>2016</v>
      </c>
      <c r="F630" s="3">
        <v>23613900</v>
      </c>
      <c r="G630" s="3">
        <v>78920600</v>
      </c>
      <c r="H630" s="3">
        <v>55306700</v>
      </c>
    </row>
    <row r="631" spans="1:9" x14ac:dyDescent="0.35">
      <c r="A631" t="str">
        <f>"13157"</f>
        <v>13157</v>
      </c>
      <c r="B631" t="s">
        <v>33</v>
      </c>
      <c r="C631" t="s">
        <v>338</v>
      </c>
      <c r="D631" s="5" t="s">
        <v>11</v>
      </c>
      <c r="E631" s="5" t="s">
        <v>12</v>
      </c>
      <c r="F631" s="3" t="s">
        <v>13</v>
      </c>
      <c r="G631" s="3" t="s">
        <v>13</v>
      </c>
      <c r="H631" s="3" t="s">
        <v>13</v>
      </c>
      <c r="I631" s="3">
        <v>1287668400</v>
      </c>
    </row>
    <row r="632" spans="1:9" x14ac:dyDescent="0.35">
      <c r="A632" t="str">
        <f>"13165"</f>
        <v>13165</v>
      </c>
      <c r="B632" t="s">
        <v>33</v>
      </c>
      <c r="C632" t="s">
        <v>318</v>
      </c>
      <c r="D632" s="5" t="str">
        <f>"003"</f>
        <v>003</v>
      </c>
      <c r="E632" s="5">
        <v>2005</v>
      </c>
      <c r="F632" s="3">
        <v>15267400</v>
      </c>
      <c r="G632" s="3">
        <v>26732800</v>
      </c>
      <c r="H632" s="3">
        <v>11465400</v>
      </c>
    </row>
    <row r="633" spans="1:9" x14ac:dyDescent="0.35">
      <c r="A633" t="str">
        <f>"13165"</f>
        <v>13165</v>
      </c>
      <c r="B633" t="s">
        <v>33</v>
      </c>
      <c r="C633" t="s">
        <v>318</v>
      </c>
      <c r="D633" s="5" t="str">
        <f>"004"</f>
        <v>004</v>
      </c>
      <c r="E633" s="5">
        <v>2008</v>
      </c>
      <c r="F633" s="3">
        <v>12099400</v>
      </c>
      <c r="G633" s="3">
        <v>46222500</v>
      </c>
      <c r="H633" s="3">
        <v>34123100</v>
      </c>
    </row>
    <row r="634" spans="1:9" x14ac:dyDescent="0.35">
      <c r="A634" t="str">
        <f>"13165"</f>
        <v>13165</v>
      </c>
      <c r="B634" t="s">
        <v>33</v>
      </c>
      <c r="C634" t="s">
        <v>318</v>
      </c>
      <c r="D634" s="5" t="str">
        <f>"005"</f>
        <v>005</v>
      </c>
      <c r="E634" s="5">
        <v>2017</v>
      </c>
      <c r="F634" s="3">
        <v>51132200</v>
      </c>
      <c r="G634" s="3">
        <v>94416200</v>
      </c>
      <c r="H634" s="3">
        <v>43284000</v>
      </c>
    </row>
    <row r="635" spans="1:9" x14ac:dyDescent="0.35">
      <c r="A635" t="str">
        <f>"13165"</f>
        <v>13165</v>
      </c>
      <c r="B635" t="s">
        <v>33</v>
      </c>
      <c r="C635" t="s">
        <v>318</v>
      </c>
      <c r="D635" s="5" t="str">
        <f>"006"</f>
        <v>006</v>
      </c>
      <c r="E635" s="5">
        <v>2023</v>
      </c>
      <c r="F635" s="3">
        <v>155900</v>
      </c>
      <c r="G635" s="3">
        <v>7664300</v>
      </c>
      <c r="H635" s="3">
        <v>7508400</v>
      </c>
    </row>
    <row r="636" spans="1:9" x14ac:dyDescent="0.35">
      <c r="A636" t="str">
        <f>"13165"</f>
        <v>13165</v>
      </c>
      <c r="B636" t="s">
        <v>33</v>
      </c>
      <c r="C636" t="s">
        <v>318</v>
      </c>
      <c r="D636" s="5" t="s">
        <v>11</v>
      </c>
      <c r="E636" s="5" t="s">
        <v>12</v>
      </c>
      <c r="F636" s="3" t="s">
        <v>13</v>
      </c>
      <c r="G636" s="3" t="s">
        <v>13</v>
      </c>
      <c r="H636" s="3" t="s">
        <v>13</v>
      </c>
      <c r="I636" s="3">
        <v>2220665000</v>
      </c>
    </row>
    <row r="637" spans="1:9" x14ac:dyDescent="0.35">
      <c r="A637" t="str">
        <f>"13176"</f>
        <v>13176</v>
      </c>
      <c r="B637" t="s">
        <v>33</v>
      </c>
      <c r="C637" t="s">
        <v>339</v>
      </c>
      <c r="D637" s="5" t="s">
        <v>11</v>
      </c>
      <c r="E637" s="5" t="s">
        <v>12</v>
      </c>
      <c r="F637" s="3" t="s">
        <v>13</v>
      </c>
      <c r="G637" s="3" t="s">
        <v>13</v>
      </c>
      <c r="H637" s="3" t="s">
        <v>13</v>
      </c>
      <c r="I637" s="3">
        <v>26274100</v>
      </c>
    </row>
    <row r="638" spans="1:9" x14ac:dyDescent="0.35">
      <c r="A638" t="str">
        <f>"13181"</f>
        <v>13181</v>
      </c>
      <c r="B638" t="s">
        <v>33</v>
      </c>
      <c r="C638" t="s">
        <v>340</v>
      </c>
      <c r="D638" s="5" t="str">
        <f>"003"</f>
        <v>003</v>
      </c>
      <c r="E638" s="5">
        <v>2008</v>
      </c>
      <c r="F638" s="3">
        <v>20022000</v>
      </c>
      <c r="G638" s="3">
        <v>115666300</v>
      </c>
      <c r="H638" s="3">
        <v>95644300</v>
      </c>
    </row>
    <row r="639" spans="1:9" x14ac:dyDescent="0.35">
      <c r="A639" t="str">
        <f>"13181"</f>
        <v>13181</v>
      </c>
      <c r="B639" t="s">
        <v>33</v>
      </c>
      <c r="C639" t="s">
        <v>340</v>
      </c>
      <c r="D639" s="5" t="str">
        <f>"004"</f>
        <v>004</v>
      </c>
      <c r="E639" s="5">
        <v>2010</v>
      </c>
      <c r="F639" s="3">
        <v>8110100</v>
      </c>
      <c r="G639" s="3">
        <v>33994300</v>
      </c>
      <c r="H639" s="3">
        <v>25884200</v>
      </c>
    </row>
    <row r="640" spans="1:9" x14ac:dyDescent="0.35">
      <c r="A640" t="str">
        <f>"13181"</f>
        <v>13181</v>
      </c>
      <c r="B640" t="s">
        <v>33</v>
      </c>
      <c r="C640" t="s">
        <v>340</v>
      </c>
      <c r="D640" s="5" t="str">
        <f>"005"</f>
        <v>005</v>
      </c>
      <c r="E640" s="5">
        <v>2016</v>
      </c>
      <c r="F640" s="3">
        <v>4252600</v>
      </c>
      <c r="G640" s="3">
        <v>20691700</v>
      </c>
      <c r="H640" s="3">
        <v>16439100</v>
      </c>
    </row>
    <row r="641" spans="1:9" x14ac:dyDescent="0.35">
      <c r="A641" t="str">
        <f>"13181"</f>
        <v>13181</v>
      </c>
      <c r="B641" t="s">
        <v>33</v>
      </c>
      <c r="C641" t="s">
        <v>340</v>
      </c>
      <c r="D641" s="5" t="s">
        <v>11</v>
      </c>
      <c r="E641" s="5" t="s">
        <v>12</v>
      </c>
      <c r="F641" s="3" t="s">
        <v>13</v>
      </c>
      <c r="G641" s="3" t="s">
        <v>13</v>
      </c>
      <c r="H641" s="3" t="s">
        <v>13</v>
      </c>
      <c r="I641" s="3">
        <v>971072400</v>
      </c>
    </row>
    <row r="642" spans="1:9" x14ac:dyDescent="0.35">
      <c r="A642" t="str">
        <f t="shared" ref="A642:A647" si="9">"13191"</f>
        <v>13191</v>
      </c>
      <c r="B642" t="s">
        <v>33</v>
      </c>
      <c r="C642" t="s">
        <v>341</v>
      </c>
      <c r="D642" s="5" t="str">
        <f>"006"</f>
        <v>006</v>
      </c>
      <c r="E642" s="5">
        <v>2015</v>
      </c>
      <c r="F642" s="3">
        <v>10299900</v>
      </c>
      <c r="G642" s="3">
        <v>119472000</v>
      </c>
      <c r="H642" s="3">
        <v>109172100</v>
      </c>
    </row>
    <row r="643" spans="1:9" x14ac:dyDescent="0.35">
      <c r="A643" t="str">
        <f t="shared" si="9"/>
        <v>13191</v>
      </c>
      <c r="B643" t="s">
        <v>33</v>
      </c>
      <c r="C643" t="s">
        <v>341</v>
      </c>
      <c r="D643" s="5" t="str">
        <f>"007"</f>
        <v>007</v>
      </c>
      <c r="E643" s="5">
        <v>2016</v>
      </c>
      <c r="F643" s="3">
        <v>4445700</v>
      </c>
      <c r="G643" s="3">
        <v>9917200</v>
      </c>
      <c r="H643" s="3">
        <v>5471500</v>
      </c>
    </row>
    <row r="644" spans="1:9" x14ac:dyDescent="0.35">
      <c r="A644" t="str">
        <f t="shared" si="9"/>
        <v>13191</v>
      </c>
      <c r="B644" t="s">
        <v>33</v>
      </c>
      <c r="C644" t="s">
        <v>341</v>
      </c>
      <c r="D644" s="5" t="str">
        <f>"008"</f>
        <v>008</v>
      </c>
      <c r="E644" s="5">
        <v>2018</v>
      </c>
      <c r="F644" s="3">
        <v>15658000</v>
      </c>
      <c r="G644" s="3">
        <v>62143300</v>
      </c>
      <c r="H644" s="3">
        <v>46485300</v>
      </c>
    </row>
    <row r="645" spans="1:9" x14ac:dyDescent="0.35">
      <c r="A645" t="str">
        <f t="shared" si="9"/>
        <v>13191</v>
      </c>
      <c r="B645" t="s">
        <v>33</v>
      </c>
      <c r="C645" t="s">
        <v>341</v>
      </c>
      <c r="D645" s="5" t="str">
        <f>"009"</f>
        <v>009</v>
      </c>
      <c r="E645" s="5">
        <v>2018</v>
      </c>
      <c r="F645" s="3">
        <v>9569800</v>
      </c>
      <c r="G645" s="3">
        <v>44185400</v>
      </c>
      <c r="H645" s="3">
        <v>34615600</v>
      </c>
    </row>
    <row r="646" spans="1:9" x14ac:dyDescent="0.35">
      <c r="A646" t="str">
        <f t="shared" si="9"/>
        <v>13191</v>
      </c>
      <c r="B646" t="s">
        <v>33</v>
      </c>
      <c r="C646" t="s">
        <v>341</v>
      </c>
      <c r="D646" s="5" t="str">
        <f>"010"</f>
        <v>010</v>
      </c>
      <c r="E646" s="5">
        <v>2024</v>
      </c>
      <c r="F646" s="3">
        <v>9656100</v>
      </c>
      <c r="G646" s="3">
        <v>10452300</v>
      </c>
      <c r="H646" s="3">
        <v>796200</v>
      </c>
    </row>
    <row r="647" spans="1:9" x14ac:dyDescent="0.35">
      <c r="A647" t="str">
        <f t="shared" si="9"/>
        <v>13191</v>
      </c>
      <c r="B647" t="s">
        <v>33</v>
      </c>
      <c r="C647" t="s">
        <v>341</v>
      </c>
      <c r="D647" s="5" t="s">
        <v>11</v>
      </c>
      <c r="E647" s="5" t="s">
        <v>12</v>
      </c>
      <c r="F647" s="3" t="s">
        <v>13</v>
      </c>
      <c r="G647" s="3" t="s">
        <v>13</v>
      </c>
      <c r="H647" s="3" t="s">
        <v>13</v>
      </c>
      <c r="I647" s="3">
        <v>3782162800</v>
      </c>
    </row>
    <row r="648" spans="1:9" x14ac:dyDescent="0.35">
      <c r="A648" t="str">
        <f>"13196"</f>
        <v>13196</v>
      </c>
      <c r="B648" t="s">
        <v>33</v>
      </c>
      <c r="C648" t="s">
        <v>342</v>
      </c>
      <c r="D648" s="5" t="str">
        <f>"001"</f>
        <v>001</v>
      </c>
      <c r="E648" s="5">
        <v>2014</v>
      </c>
      <c r="F648" s="3">
        <v>382600</v>
      </c>
      <c r="G648" s="3">
        <v>42323400</v>
      </c>
      <c r="H648" s="3">
        <v>41940800</v>
      </c>
    </row>
    <row r="649" spans="1:9" x14ac:dyDescent="0.35">
      <c r="A649" t="str">
        <f>"13196"</f>
        <v>13196</v>
      </c>
      <c r="B649" t="s">
        <v>33</v>
      </c>
      <c r="C649" t="s">
        <v>342</v>
      </c>
      <c r="D649" s="5" t="str">
        <f>"002"</f>
        <v>002</v>
      </c>
      <c r="E649" s="5">
        <v>2024</v>
      </c>
      <c r="F649" s="3">
        <v>264200</v>
      </c>
      <c r="G649" s="3">
        <v>13225700</v>
      </c>
      <c r="H649" s="3">
        <v>12961500</v>
      </c>
    </row>
    <row r="650" spans="1:9" x14ac:dyDescent="0.35">
      <c r="A650" t="str">
        <f>"13196"</f>
        <v>13196</v>
      </c>
      <c r="B650" t="s">
        <v>33</v>
      </c>
      <c r="C650" t="s">
        <v>342</v>
      </c>
      <c r="D650" s="5" t="s">
        <v>11</v>
      </c>
      <c r="E650" s="5" t="s">
        <v>12</v>
      </c>
      <c r="F650" s="3" t="s">
        <v>13</v>
      </c>
      <c r="G650" s="3" t="s">
        <v>13</v>
      </c>
      <c r="H650" s="3" t="s">
        <v>13</v>
      </c>
      <c r="I650" s="3">
        <v>2124761500</v>
      </c>
    </row>
    <row r="651" spans="1:9" x14ac:dyDescent="0.35">
      <c r="A651" t="s">
        <v>30</v>
      </c>
      <c r="B651" t="s">
        <v>35</v>
      </c>
      <c r="C651" t="s">
        <v>32</v>
      </c>
      <c r="D651" s="5" t="s">
        <v>11</v>
      </c>
      <c r="E651" s="5" t="s">
        <v>12</v>
      </c>
      <c r="F651" s="3" t="s">
        <v>13</v>
      </c>
      <c r="G651" s="3" t="s">
        <v>13</v>
      </c>
      <c r="H651" s="3" t="s">
        <v>13</v>
      </c>
      <c r="I651" s="3">
        <v>19825633700</v>
      </c>
    </row>
    <row r="652" spans="1:9" x14ac:dyDescent="0.35">
      <c r="A652" t="str">
        <f>"13221"</f>
        <v>13221</v>
      </c>
      <c r="B652" t="s">
        <v>36</v>
      </c>
      <c r="C652" t="s">
        <v>343</v>
      </c>
      <c r="D652" s="5" t="s">
        <v>11</v>
      </c>
      <c r="E652" s="5" t="s">
        <v>12</v>
      </c>
      <c r="F652" s="3" t="s">
        <v>13</v>
      </c>
      <c r="G652" s="3" t="s">
        <v>13</v>
      </c>
      <c r="H652" s="3" t="s">
        <v>13</v>
      </c>
      <c r="I652" s="3">
        <v>42034100</v>
      </c>
    </row>
    <row r="653" spans="1:9" x14ac:dyDescent="0.35">
      <c r="A653" t="str">
        <f t="shared" ref="A653:A662" si="10">"13225"</f>
        <v>13225</v>
      </c>
      <c r="B653" t="s">
        <v>36</v>
      </c>
      <c r="C653" t="s">
        <v>344</v>
      </c>
      <c r="D653" s="5" t="str">
        <f>"009"</f>
        <v>009</v>
      </c>
      <c r="E653" s="5">
        <v>2015</v>
      </c>
      <c r="F653" s="3">
        <v>40198900</v>
      </c>
      <c r="G653" s="3">
        <v>165830400</v>
      </c>
      <c r="H653" s="3">
        <v>125631500</v>
      </c>
    </row>
    <row r="654" spans="1:9" x14ac:dyDescent="0.35">
      <c r="A654" t="str">
        <f t="shared" si="10"/>
        <v>13225</v>
      </c>
      <c r="B654" t="s">
        <v>36</v>
      </c>
      <c r="C654" t="s">
        <v>344</v>
      </c>
      <c r="D654" s="5" t="str">
        <f>"010"</f>
        <v>010</v>
      </c>
      <c r="E654" s="5">
        <v>2016</v>
      </c>
      <c r="F654" s="3">
        <v>83938200</v>
      </c>
      <c r="G654" s="3">
        <v>216632600</v>
      </c>
      <c r="H654" s="3">
        <v>132694400</v>
      </c>
    </row>
    <row r="655" spans="1:9" x14ac:dyDescent="0.35">
      <c r="A655" t="str">
        <f t="shared" si="10"/>
        <v>13225</v>
      </c>
      <c r="B655" t="s">
        <v>36</v>
      </c>
      <c r="C655" t="s">
        <v>344</v>
      </c>
      <c r="D655" s="5" t="str">
        <f>"011"</f>
        <v>011</v>
      </c>
      <c r="E655" s="5">
        <v>2018</v>
      </c>
      <c r="F655" s="3">
        <v>436200</v>
      </c>
      <c r="G655" s="3">
        <v>419700</v>
      </c>
      <c r="H655" s="3">
        <v>0</v>
      </c>
    </row>
    <row r="656" spans="1:9" x14ac:dyDescent="0.35">
      <c r="A656" t="str">
        <f t="shared" si="10"/>
        <v>13225</v>
      </c>
      <c r="B656" t="s">
        <v>36</v>
      </c>
      <c r="C656" t="s">
        <v>344</v>
      </c>
      <c r="D656" s="5" t="str">
        <f>"012"</f>
        <v>012</v>
      </c>
      <c r="E656" s="5">
        <v>2018</v>
      </c>
      <c r="F656" s="3">
        <v>114382400</v>
      </c>
      <c r="G656" s="3">
        <v>193011100</v>
      </c>
      <c r="H656" s="3">
        <v>78628700</v>
      </c>
    </row>
    <row r="657" spans="1:9" x14ac:dyDescent="0.35">
      <c r="A657" t="str">
        <f t="shared" si="10"/>
        <v>13225</v>
      </c>
      <c r="B657" t="s">
        <v>36</v>
      </c>
      <c r="C657" t="s">
        <v>344</v>
      </c>
      <c r="D657" s="5" t="str">
        <f>"013"</f>
        <v>013</v>
      </c>
      <c r="E657" s="5">
        <v>2018</v>
      </c>
      <c r="F657" s="3">
        <v>16022400</v>
      </c>
      <c r="G657" s="3">
        <v>80053900</v>
      </c>
      <c r="H657" s="3">
        <v>64031500</v>
      </c>
    </row>
    <row r="658" spans="1:9" x14ac:dyDescent="0.35">
      <c r="A658" t="str">
        <f t="shared" si="10"/>
        <v>13225</v>
      </c>
      <c r="B658" t="s">
        <v>36</v>
      </c>
      <c r="C658" t="s">
        <v>344</v>
      </c>
      <c r="D658" s="5" t="str">
        <f>"014"</f>
        <v>014</v>
      </c>
      <c r="E658" s="5">
        <v>2022</v>
      </c>
      <c r="F658" s="3">
        <v>4121800</v>
      </c>
      <c r="G658" s="3">
        <v>67758300</v>
      </c>
      <c r="H658" s="3">
        <v>63636500</v>
      </c>
    </row>
    <row r="659" spans="1:9" x14ac:dyDescent="0.35">
      <c r="A659" t="str">
        <f t="shared" si="10"/>
        <v>13225</v>
      </c>
      <c r="B659" t="s">
        <v>36</v>
      </c>
      <c r="C659" t="s">
        <v>344</v>
      </c>
      <c r="D659" s="5" t="str">
        <f>"016"</f>
        <v>016</v>
      </c>
      <c r="E659" s="5">
        <v>2023</v>
      </c>
      <c r="F659" s="3">
        <v>39996700</v>
      </c>
      <c r="G659" s="3">
        <v>47441900</v>
      </c>
      <c r="H659" s="3">
        <v>7445200</v>
      </c>
    </row>
    <row r="660" spans="1:9" x14ac:dyDescent="0.35">
      <c r="A660" t="str">
        <f t="shared" si="10"/>
        <v>13225</v>
      </c>
      <c r="B660" t="s">
        <v>36</v>
      </c>
      <c r="C660" t="s">
        <v>344</v>
      </c>
      <c r="D660" s="5" t="str">
        <f>"017"</f>
        <v>017</v>
      </c>
      <c r="E660" s="5">
        <v>2023</v>
      </c>
      <c r="F660" s="3">
        <v>76266100</v>
      </c>
      <c r="G660" s="3">
        <v>88344400</v>
      </c>
      <c r="H660" s="3">
        <v>12078300</v>
      </c>
    </row>
    <row r="661" spans="1:9" x14ac:dyDescent="0.35">
      <c r="A661" t="str">
        <f t="shared" si="10"/>
        <v>13225</v>
      </c>
      <c r="B661" t="s">
        <v>36</v>
      </c>
      <c r="C661" t="s">
        <v>344</v>
      </c>
      <c r="D661" s="5" t="str">
        <f>"018"</f>
        <v>018</v>
      </c>
      <c r="E661" s="5">
        <v>2024</v>
      </c>
      <c r="F661" s="3">
        <v>14778400</v>
      </c>
      <c r="G661" s="3">
        <v>21674100</v>
      </c>
      <c r="H661" s="3">
        <v>6895700</v>
      </c>
    </row>
    <row r="662" spans="1:9" x14ac:dyDescent="0.35">
      <c r="A662" t="str">
        <f t="shared" si="10"/>
        <v>13225</v>
      </c>
      <c r="B662" t="s">
        <v>36</v>
      </c>
      <c r="C662" t="s">
        <v>344</v>
      </c>
      <c r="D662" s="5" t="s">
        <v>11</v>
      </c>
      <c r="E662" s="5" t="s">
        <v>12</v>
      </c>
      <c r="F662" s="3" t="s">
        <v>13</v>
      </c>
      <c r="G662" s="3" t="s">
        <v>13</v>
      </c>
      <c r="H662" s="3" t="s">
        <v>13</v>
      </c>
      <c r="I662" s="3">
        <v>6509170600</v>
      </c>
    </row>
    <row r="663" spans="1:9" x14ac:dyDescent="0.35">
      <c r="A663" t="str">
        <f t="shared" ref="A663:A678" si="11">"13251"</f>
        <v>13251</v>
      </c>
      <c r="B663" t="s">
        <v>36</v>
      </c>
      <c r="C663" t="s">
        <v>345</v>
      </c>
      <c r="D663" s="5" t="str">
        <f>"036"</f>
        <v>036</v>
      </c>
      <c r="E663" s="5">
        <v>2005</v>
      </c>
      <c r="F663" s="3">
        <v>92660300</v>
      </c>
      <c r="G663" s="3">
        <v>877700500</v>
      </c>
      <c r="H663" s="3">
        <v>785040200</v>
      </c>
    </row>
    <row r="664" spans="1:9" x14ac:dyDescent="0.35">
      <c r="A664" t="str">
        <f t="shared" si="11"/>
        <v>13251</v>
      </c>
      <c r="B664" t="s">
        <v>36</v>
      </c>
      <c r="C664" t="s">
        <v>345</v>
      </c>
      <c r="D664" s="5" t="str">
        <f>"037"</f>
        <v>037</v>
      </c>
      <c r="E664" s="5">
        <v>2006</v>
      </c>
      <c r="F664" s="3">
        <v>41593800</v>
      </c>
      <c r="G664" s="3">
        <v>262916600</v>
      </c>
      <c r="H664" s="3">
        <v>221322800</v>
      </c>
    </row>
    <row r="665" spans="1:9" x14ac:dyDescent="0.35">
      <c r="A665" t="str">
        <f t="shared" si="11"/>
        <v>13251</v>
      </c>
      <c r="B665" t="s">
        <v>36</v>
      </c>
      <c r="C665" t="s">
        <v>345</v>
      </c>
      <c r="D665" s="5" t="str">
        <f>"041"</f>
        <v>041</v>
      </c>
      <c r="E665" s="5">
        <v>2011</v>
      </c>
      <c r="F665" s="3">
        <v>18321600</v>
      </c>
      <c r="G665" s="3">
        <v>99196400</v>
      </c>
      <c r="H665" s="3">
        <v>80874800</v>
      </c>
    </row>
    <row r="666" spans="1:9" x14ac:dyDescent="0.35">
      <c r="A666" t="str">
        <f t="shared" si="11"/>
        <v>13251</v>
      </c>
      <c r="B666" t="s">
        <v>36</v>
      </c>
      <c r="C666" t="s">
        <v>345</v>
      </c>
      <c r="D666" s="5" t="str">
        <f>"042"</f>
        <v>042</v>
      </c>
      <c r="E666" s="5">
        <v>2012</v>
      </c>
      <c r="F666" s="3">
        <v>46681100</v>
      </c>
      <c r="G666" s="3">
        <v>235515100</v>
      </c>
      <c r="H666" s="3">
        <v>188834000</v>
      </c>
    </row>
    <row r="667" spans="1:9" x14ac:dyDescent="0.35">
      <c r="A667" t="str">
        <f t="shared" si="11"/>
        <v>13251</v>
      </c>
      <c r="B667" t="s">
        <v>36</v>
      </c>
      <c r="C667" t="s">
        <v>345</v>
      </c>
      <c r="D667" s="5" t="str">
        <f>"044"</f>
        <v>044</v>
      </c>
      <c r="E667" s="5">
        <v>2013</v>
      </c>
      <c r="F667" s="3">
        <v>28664300</v>
      </c>
      <c r="G667" s="3">
        <v>147006000</v>
      </c>
      <c r="H667" s="3">
        <v>118341700</v>
      </c>
    </row>
    <row r="668" spans="1:9" x14ac:dyDescent="0.35">
      <c r="A668" t="str">
        <f t="shared" si="11"/>
        <v>13251</v>
      </c>
      <c r="B668" t="s">
        <v>36</v>
      </c>
      <c r="C668" t="s">
        <v>345</v>
      </c>
      <c r="D668" s="5" t="str">
        <f>"045"</f>
        <v>045</v>
      </c>
      <c r="E668" s="5">
        <v>2015</v>
      </c>
      <c r="F668" s="3">
        <v>110044900</v>
      </c>
      <c r="G668" s="3">
        <v>285244100</v>
      </c>
      <c r="H668" s="3">
        <v>175199200</v>
      </c>
    </row>
    <row r="669" spans="1:9" x14ac:dyDescent="0.35">
      <c r="A669" t="str">
        <f t="shared" si="11"/>
        <v>13251</v>
      </c>
      <c r="B669" t="s">
        <v>36</v>
      </c>
      <c r="C669" t="s">
        <v>345</v>
      </c>
      <c r="D669" s="5" t="str">
        <f>"046"</f>
        <v>046</v>
      </c>
      <c r="E669" s="5">
        <v>2015</v>
      </c>
      <c r="F669" s="3">
        <v>286649600</v>
      </c>
      <c r="G669" s="3">
        <v>855702800</v>
      </c>
      <c r="H669" s="3">
        <v>569053200</v>
      </c>
    </row>
    <row r="670" spans="1:9" x14ac:dyDescent="0.35">
      <c r="A670" t="str">
        <f t="shared" si="11"/>
        <v>13251</v>
      </c>
      <c r="B670" t="s">
        <v>36</v>
      </c>
      <c r="C670" t="s">
        <v>345</v>
      </c>
      <c r="D670" s="5" t="str">
        <f>"048"</f>
        <v>048</v>
      </c>
      <c r="E670" s="5">
        <v>2021</v>
      </c>
      <c r="F670" s="3">
        <v>232127900</v>
      </c>
      <c r="G670" s="3">
        <v>635824300</v>
      </c>
      <c r="H670" s="3">
        <v>403696400</v>
      </c>
    </row>
    <row r="671" spans="1:9" x14ac:dyDescent="0.35">
      <c r="A671" t="str">
        <f t="shared" si="11"/>
        <v>13251</v>
      </c>
      <c r="B671" t="s">
        <v>36</v>
      </c>
      <c r="C671" t="s">
        <v>345</v>
      </c>
      <c r="D671" s="5" t="str">
        <f>"049"</f>
        <v>049</v>
      </c>
      <c r="E671" s="5">
        <v>2022</v>
      </c>
      <c r="F671" s="3">
        <v>31776400</v>
      </c>
      <c r="G671" s="3">
        <v>76816600</v>
      </c>
      <c r="H671" s="3">
        <v>45040200</v>
      </c>
    </row>
    <row r="672" spans="1:9" x14ac:dyDescent="0.35">
      <c r="A672" t="str">
        <f t="shared" si="11"/>
        <v>13251</v>
      </c>
      <c r="B672" t="s">
        <v>36</v>
      </c>
      <c r="C672" t="s">
        <v>345</v>
      </c>
      <c r="D672" s="5" t="str">
        <f>"050"</f>
        <v>050</v>
      </c>
      <c r="E672" s="5">
        <v>2022</v>
      </c>
      <c r="F672" s="3">
        <v>681086000</v>
      </c>
      <c r="G672" s="3">
        <v>1099377500</v>
      </c>
      <c r="H672" s="3">
        <v>418291500</v>
      </c>
    </row>
    <row r="673" spans="1:9" x14ac:dyDescent="0.35">
      <c r="A673" t="str">
        <f t="shared" si="11"/>
        <v>13251</v>
      </c>
      <c r="B673" t="s">
        <v>36</v>
      </c>
      <c r="C673" t="s">
        <v>345</v>
      </c>
      <c r="D673" s="5" t="str">
        <f>"051"</f>
        <v>051</v>
      </c>
      <c r="E673" s="5">
        <v>2023</v>
      </c>
      <c r="F673" s="3">
        <v>185365300</v>
      </c>
      <c r="G673" s="3">
        <v>226501200</v>
      </c>
      <c r="H673" s="3">
        <v>41135900</v>
      </c>
    </row>
    <row r="674" spans="1:9" x14ac:dyDescent="0.35">
      <c r="A674" t="str">
        <f t="shared" si="11"/>
        <v>13251</v>
      </c>
      <c r="B674" t="s">
        <v>36</v>
      </c>
      <c r="C674" t="s">
        <v>345</v>
      </c>
      <c r="D674" s="5" t="str">
        <f>"052"</f>
        <v>052</v>
      </c>
      <c r="E674" s="5">
        <v>2023</v>
      </c>
      <c r="F674" s="3">
        <v>39774600</v>
      </c>
      <c r="G674" s="3">
        <v>100152400</v>
      </c>
      <c r="H674" s="3">
        <v>60377800</v>
      </c>
    </row>
    <row r="675" spans="1:9" x14ac:dyDescent="0.35">
      <c r="A675" t="str">
        <f t="shared" si="11"/>
        <v>13251</v>
      </c>
      <c r="B675" t="s">
        <v>36</v>
      </c>
      <c r="C675" t="s">
        <v>345</v>
      </c>
      <c r="D675" s="5" t="str">
        <f>"053"</f>
        <v>053</v>
      </c>
      <c r="E675" s="5">
        <v>2023</v>
      </c>
      <c r="F675" s="3">
        <v>252508500</v>
      </c>
      <c r="G675" s="3">
        <v>455120200</v>
      </c>
      <c r="H675" s="3">
        <v>202611700</v>
      </c>
    </row>
    <row r="676" spans="1:9" x14ac:dyDescent="0.35">
      <c r="A676" t="str">
        <f t="shared" si="11"/>
        <v>13251</v>
      </c>
      <c r="B676" t="s">
        <v>36</v>
      </c>
      <c r="C676" t="s">
        <v>345</v>
      </c>
      <c r="D676" s="5" t="str">
        <f>"054"</f>
        <v>054</v>
      </c>
      <c r="E676" s="5">
        <v>2023</v>
      </c>
      <c r="F676" s="3">
        <v>80701500</v>
      </c>
      <c r="G676" s="3">
        <v>121563200</v>
      </c>
      <c r="H676" s="3">
        <v>40861700</v>
      </c>
    </row>
    <row r="677" spans="1:9" x14ac:dyDescent="0.35">
      <c r="A677" t="str">
        <f t="shared" si="11"/>
        <v>13251</v>
      </c>
      <c r="B677" t="s">
        <v>36</v>
      </c>
      <c r="C677" t="s">
        <v>345</v>
      </c>
      <c r="D677" s="5" t="str">
        <f>"055"</f>
        <v>055</v>
      </c>
      <c r="E677" s="5">
        <v>2025</v>
      </c>
      <c r="F677" s="3">
        <v>64893600</v>
      </c>
      <c r="G677" s="3">
        <v>67623100</v>
      </c>
      <c r="H677" s="3">
        <v>2729500</v>
      </c>
    </row>
    <row r="678" spans="1:9" x14ac:dyDescent="0.35">
      <c r="A678" t="str">
        <f t="shared" si="11"/>
        <v>13251</v>
      </c>
      <c r="B678" t="s">
        <v>36</v>
      </c>
      <c r="C678" t="s">
        <v>345</v>
      </c>
      <c r="D678" s="5" t="s">
        <v>11</v>
      </c>
      <c r="E678" s="5" t="s">
        <v>12</v>
      </c>
      <c r="F678" s="3" t="s">
        <v>13</v>
      </c>
      <c r="G678" s="3" t="s">
        <v>13</v>
      </c>
      <c r="H678" s="3" t="s">
        <v>13</v>
      </c>
      <c r="I678" s="3">
        <v>49866568400</v>
      </c>
    </row>
    <row r="679" spans="1:9" x14ac:dyDescent="0.35">
      <c r="A679" t="str">
        <f>"13255"</f>
        <v>13255</v>
      </c>
      <c r="B679" t="s">
        <v>36</v>
      </c>
      <c r="C679" t="s">
        <v>316</v>
      </c>
      <c r="D679" s="5" t="str">
        <f>"005"</f>
        <v>005</v>
      </c>
      <c r="E679" s="5">
        <v>2009</v>
      </c>
      <c r="F679" s="3">
        <v>82175800</v>
      </c>
      <c r="G679" s="3">
        <v>386258200</v>
      </c>
      <c r="H679" s="3">
        <v>304082400</v>
      </c>
    </row>
    <row r="680" spans="1:9" x14ac:dyDescent="0.35">
      <c r="A680" t="str">
        <f>"13255"</f>
        <v>13255</v>
      </c>
      <c r="B680" t="s">
        <v>36</v>
      </c>
      <c r="C680" t="s">
        <v>316</v>
      </c>
      <c r="D680" s="5" t="s">
        <v>11</v>
      </c>
      <c r="E680" s="5" t="s">
        <v>12</v>
      </c>
      <c r="F680" s="3" t="s">
        <v>13</v>
      </c>
      <c r="G680" s="3" t="s">
        <v>13</v>
      </c>
      <c r="H680" s="3" t="s">
        <v>13</v>
      </c>
      <c r="I680" s="3">
        <v>5810447900</v>
      </c>
    </row>
    <row r="681" spans="1:9" x14ac:dyDescent="0.35">
      <c r="A681" t="str">
        <f t="shared" ref="A681:A695" si="12">"13258"</f>
        <v>13258</v>
      </c>
      <c r="B681" t="s">
        <v>36</v>
      </c>
      <c r="C681" t="s">
        <v>346</v>
      </c>
      <c r="D681" s="5" t="str">
        <f>"004"</f>
        <v>004</v>
      </c>
      <c r="E681" s="5">
        <v>2000</v>
      </c>
      <c r="F681" s="3">
        <v>28893000</v>
      </c>
      <c r="G681" s="3">
        <v>88253600</v>
      </c>
      <c r="H681" s="3">
        <v>59360600</v>
      </c>
    </row>
    <row r="682" spans="1:9" x14ac:dyDescent="0.35">
      <c r="A682" t="str">
        <f t="shared" si="12"/>
        <v>13258</v>
      </c>
      <c r="B682" t="s">
        <v>36</v>
      </c>
      <c r="C682" t="s">
        <v>346</v>
      </c>
      <c r="D682" s="5" t="str">
        <f>"005"</f>
        <v>005</v>
      </c>
      <c r="E682" s="5">
        <v>2008</v>
      </c>
      <c r="F682" s="3">
        <v>4135900</v>
      </c>
      <c r="G682" s="3">
        <v>27932900</v>
      </c>
      <c r="H682" s="3">
        <v>23797000</v>
      </c>
    </row>
    <row r="683" spans="1:9" x14ac:dyDescent="0.35">
      <c r="A683" t="str">
        <f t="shared" si="12"/>
        <v>13258</v>
      </c>
      <c r="B683" t="s">
        <v>36</v>
      </c>
      <c r="C683" t="s">
        <v>346</v>
      </c>
      <c r="D683" s="5" t="str">
        <f>"006"</f>
        <v>006</v>
      </c>
      <c r="E683" s="5">
        <v>2010</v>
      </c>
      <c r="F683" s="3">
        <v>17399200</v>
      </c>
      <c r="G683" s="3">
        <v>69402200</v>
      </c>
      <c r="H683" s="3">
        <v>52003000</v>
      </c>
    </row>
    <row r="684" spans="1:9" x14ac:dyDescent="0.35">
      <c r="A684" t="str">
        <f t="shared" si="12"/>
        <v>13258</v>
      </c>
      <c r="B684" t="s">
        <v>36</v>
      </c>
      <c r="C684" t="s">
        <v>346</v>
      </c>
      <c r="D684" s="5" t="str">
        <f>"007"</f>
        <v>007</v>
      </c>
      <c r="E684" s="5">
        <v>2012</v>
      </c>
      <c r="F684" s="3">
        <v>8083900</v>
      </c>
      <c r="G684" s="3">
        <v>22975000</v>
      </c>
      <c r="H684" s="3">
        <v>14891100</v>
      </c>
    </row>
    <row r="685" spans="1:9" x14ac:dyDescent="0.35">
      <c r="A685" t="str">
        <f t="shared" si="12"/>
        <v>13258</v>
      </c>
      <c r="B685" t="s">
        <v>36</v>
      </c>
      <c r="C685" t="s">
        <v>346</v>
      </c>
      <c r="D685" s="5" t="str">
        <f>"008"</f>
        <v>008</v>
      </c>
      <c r="E685" s="5">
        <v>2012</v>
      </c>
      <c r="F685" s="3">
        <v>416000</v>
      </c>
      <c r="G685" s="3">
        <v>30323100</v>
      </c>
      <c r="H685" s="3">
        <v>29907100</v>
      </c>
    </row>
    <row r="686" spans="1:9" x14ac:dyDescent="0.35">
      <c r="A686" t="str">
        <f t="shared" si="12"/>
        <v>13258</v>
      </c>
      <c r="B686" t="s">
        <v>36</v>
      </c>
      <c r="C686" t="s">
        <v>346</v>
      </c>
      <c r="D686" s="5" t="str">
        <f>"009"</f>
        <v>009</v>
      </c>
      <c r="E686" s="5">
        <v>2015</v>
      </c>
      <c r="F686" s="3">
        <v>7246100</v>
      </c>
      <c r="G686" s="3">
        <v>82270300</v>
      </c>
      <c r="H686" s="3">
        <v>75024200</v>
      </c>
    </row>
    <row r="687" spans="1:9" x14ac:dyDescent="0.35">
      <c r="A687" t="str">
        <f t="shared" si="12"/>
        <v>13258</v>
      </c>
      <c r="B687" t="s">
        <v>36</v>
      </c>
      <c r="C687" t="s">
        <v>346</v>
      </c>
      <c r="D687" s="5" t="str">
        <f>"010"</f>
        <v>010</v>
      </c>
      <c r="E687" s="5">
        <v>2024</v>
      </c>
      <c r="F687" s="3">
        <v>6391400</v>
      </c>
      <c r="G687" s="3">
        <v>23537900</v>
      </c>
      <c r="H687" s="3">
        <v>17146500</v>
      </c>
    </row>
    <row r="688" spans="1:9" x14ac:dyDescent="0.35">
      <c r="A688" t="str">
        <f t="shared" si="12"/>
        <v>13258</v>
      </c>
      <c r="B688" t="s">
        <v>36</v>
      </c>
      <c r="C688" t="s">
        <v>346</v>
      </c>
      <c r="D688" s="5" t="str">
        <f>"011"</f>
        <v>011</v>
      </c>
      <c r="E688" s="5">
        <v>2024</v>
      </c>
      <c r="F688" s="3">
        <v>13915300</v>
      </c>
      <c r="G688" s="3">
        <v>16508700</v>
      </c>
      <c r="H688" s="3">
        <v>2593400</v>
      </c>
    </row>
    <row r="689" spans="1:9" x14ac:dyDescent="0.35">
      <c r="A689" t="str">
        <f t="shared" si="12"/>
        <v>13258</v>
      </c>
      <c r="B689" t="s">
        <v>36</v>
      </c>
      <c r="C689" t="s">
        <v>346</v>
      </c>
      <c r="D689" s="5" t="str">
        <f>"012"</f>
        <v>012</v>
      </c>
      <c r="E689" s="5">
        <v>2024</v>
      </c>
      <c r="F689" s="3">
        <v>14820000</v>
      </c>
      <c r="G689" s="3">
        <v>19649000</v>
      </c>
      <c r="H689" s="3">
        <v>4829000</v>
      </c>
    </row>
    <row r="690" spans="1:9" x14ac:dyDescent="0.35">
      <c r="A690" t="str">
        <f t="shared" si="12"/>
        <v>13258</v>
      </c>
      <c r="B690" t="s">
        <v>36</v>
      </c>
      <c r="C690" t="s">
        <v>346</v>
      </c>
      <c r="D690" s="5" t="str">
        <f>"013"</f>
        <v>013</v>
      </c>
      <c r="E690" s="5">
        <v>2024</v>
      </c>
      <c r="F690" s="3">
        <v>17052300</v>
      </c>
      <c r="G690" s="3">
        <v>19354700</v>
      </c>
      <c r="H690" s="3">
        <v>2302400</v>
      </c>
    </row>
    <row r="691" spans="1:9" x14ac:dyDescent="0.35">
      <c r="A691" t="str">
        <f t="shared" si="12"/>
        <v>13258</v>
      </c>
      <c r="B691" t="s">
        <v>36</v>
      </c>
      <c r="C691" t="s">
        <v>346</v>
      </c>
      <c r="D691" s="5" t="str">
        <f>"014"</f>
        <v>014</v>
      </c>
      <c r="E691" s="5">
        <v>2024</v>
      </c>
      <c r="F691" s="3">
        <v>11035000</v>
      </c>
      <c r="G691" s="3">
        <v>13217300</v>
      </c>
      <c r="H691" s="3">
        <v>2182300</v>
      </c>
    </row>
    <row r="692" spans="1:9" x14ac:dyDescent="0.35">
      <c r="A692" t="str">
        <f t="shared" si="12"/>
        <v>13258</v>
      </c>
      <c r="B692" t="s">
        <v>36</v>
      </c>
      <c r="C692" t="s">
        <v>346</v>
      </c>
      <c r="D692" s="5" t="str">
        <f>"015"</f>
        <v>015</v>
      </c>
      <c r="E692" s="5">
        <v>2024</v>
      </c>
      <c r="F692" s="3">
        <v>32429800</v>
      </c>
      <c r="G692" s="3">
        <v>29388100</v>
      </c>
      <c r="H692" s="3">
        <v>0</v>
      </c>
    </row>
    <row r="693" spans="1:9" x14ac:dyDescent="0.35">
      <c r="A693" t="str">
        <f t="shared" si="12"/>
        <v>13258</v>
      </c>
      <c r="B693" t="s">
        <v>36</v>
      </c>
      <c r="C693" t="s">
        <v>346</v>
      </c>
      <c r="D693" s="5" t="str">
        <f>"016"</f>
        <v>016</v>
      </c>
      <c r="E693" s="5">
        <v>2024</v>
      </c>
      <c r="F693" s="3">
        <v>2222300</v>
      </c>
      <c r="G693" s="3">
        <v>2698600</v>
      </c>
      <c r="H693" s="3">
        <v>476300</v>
      </c>
    </row>
    <row r="694" spans="1:9" x14ac:dyDescent="0.35">
      <c r="A694" t="str">
        <f t="shared" si="12"/>
        <v>13258</v>
      </c>
      <c r="B694" t="s">
        <v>36</v>
      </c>
      <c r="C694" t="s">
        <v>346</v>
      </c>
      <c r="D694" s="5" t="str">
        <f>"017"</f>
        <v>017</v>
      </c>
      <c r="E694" s="5">
        <v>2024</v>
      </c>
      <c r="F694" s="3">
        <v>1598500</v>
      </c>
      <c r="G694" s="3">
        <v>1822500</v>
      </c>
      <c r="H694" s="3">
        <v>224000</v>
      </c>
    </row>
    <row r="695" spans="1:9" x14ac:dyDescent="0.35">
      <c r="A695" t="str">
        <f t="shared" si="12"/>
        <v>13258</v>
      </c>
      <c r="B695" t="s">
        <v>36</v>
      </c>
      <c r="C695" t="s">
        <v>346</v>
      </c>
      <c r="D695" s="5" t="s">
        <v>11</v>
      </c>
      <c r="E695" s="5" t="s">
        <v>12</v>
      </c>
      <c r="F695" s="3" t="s">
        <v>13</v>
      </c>
      <c r="G695" s="3" t="s">
        <v>13</v>
      </c>
      <c r="H695" s="3" t="s">
        <v>13</v>
      </c>
      <c r="I695" s="3">
        <v>2021501300</v>
      </c>
    </row>
    <row r="696" spans="1:9" x14ac:dyDescent="0.35">
      <c r="A696" t="str">
        <f t="shared" ref="A696:A703" si="13">"13281"</f>
        <v>13281</v>
      </c>
      <c r="B696" t="s">
        <v>36</v>
      </c>
      <c r="C696" t="s">
        <v>347</v>
      </c>
      <c r="D696" s="5" t="str">
        <f>"005"</f>
        <v>005</v>
      </c>
      <c r="E696" s="5">
        <v>2010</v>
      </c>
      <c r="F696" s="3">
        <v>10110400</v>
      </c>
      <c r="G696" s="3">
        <v>20928400</v>
      </c>
      <c r="H696" s="3">
        <v>10818000</v>
      </c>
    </row>
    <row r="697" spans="1:9" x14ac:dyDescent="0.35">
      <c r="A697" t="str">
        <f t="shared" si="13"/>
        <v>13281</v>
      </c>
      <c r="B697" t="s">
        <v>36</v>
      </c>
      <c r="C697" t="s">
        <v>347</v>
      </c>
      <c r="D697" s="5" t="str">
        <f>"006"</f>
        <v>006</v>
      </c>
      <c r="E697" s="5">
        <v>2015</v>
      </c>
      <c r="F697" s="3">
        <v>2485400</v>
      </c>
      <c r="G697" s="3">
        <v>26315700</v>
      </c>
      <c r="H697" s="3">
        <v>23830300</v>
      </c>
    </row>
    <row r="698" spans="1:9" x14ac:dyDescent="0.35">
      <c r="A698" t="str">
        <f t="shared" si="13"/>
        <v>13281</v>
      </c>
      <c r="B698" t="s">
        <v>36</v>
      </c>
      <c r="C698" t="s">
        <v>347</v>
      </c>
      <c r="D698" s="5" t="str">
        <f>"007"</f>
        <v>007</v>
      </c>
      <c r="E698" s="5">
        <v>2015</v>
      </c>
      <c r="F698" s="3">
        <v>1111800</v>
      </c>
      <c r="G698" s="3">
        <v>107464300</v>
      </c>
      <c r="H698" s="3">
        <v>106352500</v>
      </c>
    </row>
    <row r="699" spans="1:9" x14ac:dyDescent="0.35">
      <c r="A699" t="str">
        <f t="shared" si="13"/>
        <v>13281</v>
      </c>
      <c r="B699" t="s">
        <v>36</v>
      </c>
      <c r="C699" t="s">
        <v>347</v>
      </c>
      <c r="D699" s="5" t="str">
        <f>"008"</f>
        <v>008</v>
      </c>
      <c r="E699" s="5">
        <v>2018</v>
      </c>
      <c r="F699" s="3">
        <v>7376600</v>
      </c>
      <c r="G699" s="3">
        <v>11935900</v>
      </c>
      <c r="H699" s="3">
        <v>4559300</v>
      </c>
    </row>
    <row r="700" spans="1:9" x14ac:dyDescent="0.35">
      <c r="A700" t="str">
        <f t="shared" si="13"/>
        <v>13281</v>
      </c>
      <c r="B700" t="s">
        <v>36</v>
      </c>
      <c r="C700" t="s">
        <v>347</v>
      </c>
      <c r="D700" s="5" t="str">
        <f>"009"</f>
        <v>009</v>
      </c>
      <c r="E700" s="5">
        <v>2022</v>
      </c>
      <c r="F700" s="3">
        <v>36800</v>
      </c>
      <c r="G700" s="3">
        <v>49104800</v>
      </c>
      <c r="H700" s="3">
        <v>49068000</v>
      </c>
    </row>
    <row r="701" spans="1:9" x14ac:dyDescent="0.35">
      <c r="A701" t="str">
        <f t="shared" si="13"/>
        <v>13281</v>
      </c>
      <c r="B701" t="s">
        <v>36</v>
      </c>
      <c r="C701" t="s">
        <v>347</v>
      </c>
      <c r="D701" s="5" t="str">
        <f>"010"</f>
        <v>010</v>
      </c>
      <c r="E701" s="5">
        <v>2024</v>
      </c>
      <c r="F701" s="3">
        <v>9081100</v>
      </c>
      <c r="G701" s="3">
        <v>11907800</v>
      </c>
      <c r="H701" s="3">
        <v>2826700</v>
      </c>
    </row>
    <row r="702" spans="1:9" x14ac:dyDescent="0.35">
      <c r="A702" t="str">
        <f t="shared" si="13"/>
        <v>13281</v>
      </c>
      <c r="B702" t="s">
        <v>36</v>
      </c>
      <c r="C702" t="s">
        <v>347</v>
      </c>
      <c r="D702" s="5" t="str">
        <f>"011"</f>
        <v>011</v>
      </c>
      <c r="E702" s="5">
        <v>2024</v>
      </c>
      <c r="F702" s="3">
        <v>82600</v>
      </c>
      <c r="G702" s="3">
        <v>5477700</v>
      </c>
      <c r="H702" s="3">
        <v>5395100</v>
      </c>
    </row>
    <row r="703" spans="1:9" x14ac:dyDescent="0.35">
      <c r="A703" t="str">
        <f t="shared" si="13"/>
        <v>13281</v>
      </c>
      <c r="B703" t="s">
        <v>36</v>
      </c>
      <c r="C703" t="s">
        <v>347</v>
      </c>
      <c r="D703" s="5" t="s">
        <v>11</v>
      </c>
      <c r="E703" s="5" t="s">
        <v>12</v>
      </c>
      <c r="F703" s="3" t="s">
        <v>13</v>
      </c>
      <c r="G703" s="3" t="s">
        <v>13</v>
      </c>
      <c r="H703" s="3" t="s">
        <v>13</v>
      </c>
      <c r="I703" s="3">
        <v>2040229800</v>
      </c>
    </row>
    <row r="704" spans="1:9" x14ac:dyDescent="0.35">
      <c r="A704" t="str">
        <f t="shared" ref="A704:A710" si="14">"13282"</f>
        <v>13282</v>
      </c>
      <c r="B704" t="s">
        <v>36</v>
      </c>
      <c r="C704" t="s">
        <v>326</v>
      </c>
      <c r="D704" s="5" t="str">
        <f>"011"</f>
        <v>011</v>
      </c>
      <c r="E704" s="5">
        <v>2015</v>
      </c>
      <c r="F704" s="3">
        <v>31208700</v>
      </c>
      <c r="G704" s="3">
        <v>123715900</v>
      </c>
      <c r="H704" s="3">
        <v>92507200</v>
      </c>
    </row>
    <row r="705" spans="1:9" x14ac:dyDescent="0.35">
      <c r="A705" t="str">
        <f t="shared" si="14"/>
        <v>13282</v>
      </c>
      <c r="B705" t="s">
        <v>36</v>
      </c>
      <c r="C705" t="s">
        <v>326</v>
      </c>
      <c r="D705" s="5" t="str">
        <f>"012"</f>
        <v>012</v>
      </c>
      <c r="E705" s="5">
        <v>2016</v>
      </c>
      <c r="F705" s="3">
        <v>3659900</v>
      </c>
      <c r="G705" s="3">
        <v>33875800</v>
      </c>
      <c r="H705" s="3">
        <v>30215900</v>
      </c>
    </row>
    <row r="706" spans="1:9" x14ac:dyDescent="0.35">
      <c r="A706" t="str">
        <f t="shared" si="14"/>
        <v>13282</v>
      </c>
      <c r="B706" t="s">
        <v>36</v>
      </c>
      <c r="C706" t="s">
        <v>326</v>
      </c>
      <c r="D706" s="5" t="str">
        <f>"013"</f>
        <v>013</v>
      </c>
      <c r="E706" s="5">
        <v>2017</v>
      </c>
      <c r="F706" s="3">
        <v>618200</v>
      </c>
      <c r="G706" s="3">
        <v>69516200</v>
      </c>
      <c r="H706" s="3">
        <v>68898000</v>
      </c>
    </row>
    <row r="707" spans="1:9" x14ac:dyDescent="0.35">
      <c r="A707" t="str">
        <f t="shared" si="14"/>
        <v>13282</v>
      </c>
      <c r="B707" t="s">
        <v>36</v>
      </c>
      <c r="C707" t="s">
        <v>326</v>
      </c>
      <c r="D707" s="5" t="str">
        <f>"014"</f>
        <v>014</v>
      </c>
      <c r="E707" s="5">
        <v>2020</v>
      </c>
      <c r="F707" s="3">
        <v>5288300</v>
      </c>
      <c r="G707" s="3">
        <v>30047800</v>
      </c>
      <c r="H707" s="3">
        <v>24759500</v>
      </c>
    </row>
    <row r="708" spans="1:9" x14ac:dyDescent="0.35">
      <c r="A708" t="str">
        <f t="shared" si="14"/>
        <v>13282</v>
      </c>
      <c r="B708" t="s">
        <v>36</v>
      </c>
      <c r="C708" t="s">
        <v>326</v>
      </c>
      <c r="D708" s="5" t="str">
        <f>"015"</f>
        <v>015</v>
      </c>
      <c r="E708" s="5">
        <v>2022</v>
      </c>
      <c r="F708" s="3">
        <v>47666400</v>
      </c>
      <c r="G708" s="3">
        <v>71082900</v>
      </c>
      <c r="H708" s="3">
        <v>23416500</v>
      </c>
    </row>
    <row r="709" spans="1:9" x14ac:dyDescent="0.35">
      <c r="A709" t="str">
        <f t="shared" si="14"/>
        <v>13282</v>
      </c>
      <c r="B709" t="s">
        <v>36</v>
      </c>
      <c r="C709" t="s">
        <v>326</v>
      </c>
      <c r="D709" s="5" t="str">
        <f>"016"</f>
        <v>016</v>
      </c>
      <c r="E709" s="5">
        <v>2023</v>
      </c>
      <c r="F709" s="3">
        <v>0</v>
      </c>
      <c r="G709" s="3">
        <v>10212100</v>
      </c>
      <c r="H709" s="3">
        <v>10212100</v>
      </c>
    </row>
    <row r="710" spans="1:9" x14ac:dyDescent="0.35">
      <c r="A710" t="str">
        <f t="shared" si="14"/>
        <v>13282</v>
      </c>
      <c r="B710" t="s">
        <v>36</v>
      </c>
      <c r="C710" t="s">
        <v>326</v>
      </c>
      <c r="D710" s="5" t="s">
        <v>11</v>
      </c>
      <c r="E710" s="5" t="s">
        <v>12</v>
      </c>
      <c r="F710" s="3" t="s">
        <v>13</v>
      </c>
      <c r="G710" s="3" t="s">
        <v>13</v>
      </c>
      <c r="H710" s="3" t="s">
        <v>13</v>
      </c>
      <c r="I710" s="3">
        <v>6579043200</v>
      </c>
    </row>
    <row r="711" spans="1:9" x14ac:dyDescent="0.35">
      <c r="A711" t="str">
        <f>"13286"</f>
        <v>13286</v>
      </c>
      <c r="B711" t="s">
        <v>36</v>
      </c>
      <c r="C711" t="s">
        <v>328</v>
      </c>
      <c r="D711" s="5" t="str">
        <f>"008"</f>
        <v>008</v>
      </c>
      <c r="E711" s="5">
        <v>2017</v>
      </c>
      <c r="F711" s="3">
        <v>27710300</v>
      </c>
      <c r="G711" s="3">
        <v>196784700</v>
      </c>
      <c r="H711" s="3">
        <v>169074400</v>
      </c>
    </row>
    <row r="712" spans="1:9" x14ac:dyDescent="0.35">
      <c r="A712" t="str">
        <f>"13286"</f>
        <v>13286</v>
      </c>
      <c r="B712" t="s">
        <v>36</v>
      </c>
      <c r="C712" t="s">
        <v>328</v>
      </c>
      <c r="D712" s="5" t="str">
        <f>"009"</f>
        <v>009</v>
      </c>
      <c r="E712" s="5">
        <v>2017</v>
      </c>
      <c r="F712" s="3">
        <v>7576200</v>
      </c>
      <c r="G712" s="3">
        <v>100880700</v>
      </c>
      <c r="H712" s="3">
        <v>93304500</v>
      </c>
    </row>
    <row r="713" spans="1:9" x14ac:dyDescent="0.35">
      <c r="A713" t="str">
        <f>"13286"</f>
        <v>13286</v>
      </c>
      <c r="B713" t="s">
        <v>36</v>
      </c>
      <c r="C713" t="s">
        <v>328</v>
      </c>
      <c r="D713" s="5" t="str">
        <f>"010"</f>
        <v>010</v>
      </c>
      <c r="E713" s="5">
        <v>2020</v>
      </c>
      <c r="F713" s="3">
        <v>1795300</v>
      </c>
      <c r="G713" s="3">
        <v>10172400</v>
      </c>
      <c r="H713" s="3">
        <v>8377100</v>
      </c>
    </row>
    <row r="714" spans="1:9" x14ac:dyDescent="0.35">
      <c r="A714" t="str">
        <f>"13286"</f>
        <v>13286</v>
      </c>
      <c r="B714" t="s">
        <v>36</v>
      </c>
      <c r="C714" t="s">
        <v>328</v>
      </c>
      <c r="D714" s="5" t="str">
        <f>"011"</f>
        <v>011</v>
      </c>
      <c r="E714" s="5">
        <v>2024</v>
      </c>
      <c r="F714" s="3">
        <v>12656600</v>
      </c>
      <c r="G714" s="3">
        <v>165303700</v>
      </c>
      <c r="H714" s="3">
        <v>152647100</v>
      </c>
    </row>
    <row r="715" spans="1:9" x14ac:dyDescent="0.35">
      <c r="A715" t="str">
        <f>"13286"</f>
        <v>13286</v>
      </c>
      <c r="B715" t="s">
        <v>36</v>
      </c>
      <c r="C715" t="s">
        <v>328</v>
      </c>
      <c r="D715" s="5" t="s">
        <v>11</v>
      </c>
      <c r="E715" s="5" t="s">
        <v>12</v>
      </c>
      <c r="F715" s="3" t="s">
        <v>13</v>
      </c>
      <c r="G715" s="3" t="s">
        <v>13</v>
      </c>
      <c r="H715" s="3" t="s">
        <v>13</v>
      </c>
      <c r="I715" s="3">
        <v>4571340300</v>
      </c>
    </row>
    <row r="716" spans="1:9" x14ac:dyDescent="0.35">
      <c r="A716" t="s">
        <v>30</v>
      </c>
      <c r="B716" t="s">
        <v>38</v>
      </c>
      <c r="C716" t="s">
        <v>32</v>
      </c>
      <c r="D716" s="5" t="s">
        <v>11</v>
      </c>
      <c r="E716" s="5" t="s">
        <v>12</v>
      </c>
      <c r="F716" s="3" t="s">
        <v>13</v>
      </c>
      <c r="G716" s="3" t="s">
        <v>13</v>
      </c>
      <c r="H716" s="3" t="s">
        <v>13</v>
      </c>
      <c r="I716" s="3">
        <v>77440335600</v>
      </c>
    </row>
    <row r="717" spans="1:9" x14ac:dyDescent="0.35">
      <c r="A717" t="s">
        <v>30</v>
      </c>
      <c r="B717" t="s">
        <v>39</v>
      </c>
      <c r="C717" t="s">
        <v>310</v>
      </c>
      <c r="D717" s="5" t="s">
        <v>11</v>
      </c>
      <c r="E717" s="5" t="s">
        <v>12</v>
      </c>
      <c r="F717" s="3" t="s">
        <v>13</v>
      </c>
      <c r="G717" s="3" t="s">
        <v>13</v>
      </c>
      <c r="H717" s="3" t="s">
        <v>13</v>
      </c>
      <c r="I717" s="3">
        <v>116772502000</v>
      </c>
    </row>
    <row r="718" spans="1:9" x14ac:dyDescent="0.35">
      <c r="A718" t="str">
        <f>"14002"</f>
        <v>14002</v>
      </c>
      <c r="B718" t="s">
        <v>9</v>
      </c>
      <c r="C718" t="s">
        <v>348</v>
      </c>
      <c r="D718" s="5" t="s">
        <v>11</v>
      </c>
      <c r="E718" s="5" t="s">
        <v>12</v>
      </c>
      <c r="F718" s="3" t="s">
        <v>13</v>
      </c>
      <c r="G718" s="3" t="s">
        <v>13</v>
      </c>
      <c r="H718" s="3" t="s">
        <v>13</v>
      </c>
      <c r="I718" s="3">
        <v>504967900</v>
      </c>
    </row>
    <row r="719" spans="1:9" x14ac:dyDescent="0.35">
      <c r="A719" t="str">
        <f>"14004"</f>
        <v>14004</v>
      </c>
      <c r="B719" t="s">
        <v>9</v>
      </c>
      <c r="C719" t="s">
        <v>349</v>
      </c>
      <c r="D719" s="5" t="s">
        <v>11</v>
      </c>
      <c r="E719" s="5" t="s">
        <v>12</v>
      </c>
      <c r="F719" s="3" t="s">
        <v>13</v>
      </c>
      <c r="G719" s="3" t="s">
        <v>13</v>
      </c>
      <c r="H719" s="3" t="s">
        <v>13</v>
      </c>
      <c r="I719" s="3">
        <v>630349800</v>
      </c>
    </row>
    <row r="720" spans="1:9" x14ac:dyDescent="0.35">
      <c r="A720" t="str">
        <f>"14006"</f>
        <v>14006</v>
      </c>
      <c r="B720" t="s">
        <v>9</v>
      </c>
      <c r="C720" t="s">
        <v>169</v>
      </c>
      <c r="D720" s="5" t="s">
        <v>11</v>
      </c>
      <c r="E720" s="5" t="s">
        <v>12</v>
      </c>
      <c r="F720" s="3" t="s">
        <v>13</v>
      </c>
      <c r="G720" s="3" t="s">
        <v>13</v>
      </c>
      <c r="H720" s="3" t="s">
        <v>13</v>
      </c>
      <c r="I720" s="3">
        <v>127271700</v>
      </c>
    </row>
    <row r="721" spans="1:9" x14ac:dyDescent="0.35">
      <c r="A721" t="str">
        <f>"14008"</f>
        <v>14008</v>
      </c>
      <c r="B721" t="s">
        <v>9</v>
      </c>
      <c r="C721" t="s">
        <v>350</v>
      </c>
      <c r="D721" s="5" t="s">
        <v>11</v>
      </c>
      <c r="E721" s="5" t="s">
        <v>12</v>
      </c>
      <c r="F721" s="3" t="s">
        <v>13</v>
      </c>
      <c r="G721" s="3" t="s">
        <v>13</v>
      </c>
      <c r="H721" s="3" t="s">
        <v>13</v>
      </c>
      <c r="I721" s="3">
        <v>169927300</v>
      </c>
    </row>
    <row r="722" spans="1:9" x14ac:dyDescent="0.35">
      <c r="A722" t="str">
        <f>"14010"</f>
        <v>14010</v>
      </c>
      <c r="B722" t="s">
        <v>9</v>
      </c>
      <c r="C722" t="s">
        <v>351</v>
      </c>
      <c r="D722" s="5" t="s">
        <v>11</v>
      </c>
      <c r="E722" s="5" t="s">
        <v>12</v>
      </c>
      <c r="F722" s="3" t="s">
        <v>13</v>
      </c>
      <c r="G722" s="3" t="s">
        <v>13</v>
      </c>
      <c r="H722" s="3" t="s">
        <v>13</v>
      </c>
      <c r="I722" s="3">
        <v>112669000</v>
      </c>
    </row>
    <row r="723" spans="1:9" x14ac:dyDescent="0.35">
      <c r="A723" t="str">
        <f>"14012"</f>
        <v>14012</v>
      </c>
      <c r="B723" t="s">
        <v>9</v>
      </c>
      <c r="C723" t="s">
        <v>352</v>
      </c>
      <c r="D723" s="5" t="s">
        <v>11</v>
      </c>
      <c r="E723" s="5" t="s">
        <v>12</v>
      </c>
      <c r="F723" s="3" t="s">
        <v>13</v>
      </c>
      <c r="G723" s="3" t="s">
        <v>13</v>
      </c>
      <c r="H723" s="3" t="s">
        <v>13</v>
      </c>
      <c r="I723" s="3">
        <v>150735200</v>
      </c>
    </row>
    <row r="724" spans="1:9" x14ac:dyDescent="0.35">
      <c r="A724" t="str">
        <f>"14014"</f>
        <v>14014</v>
      </c>
      <c r="B724" t="s">
        <v>9</v>
      </c>
      <c r="C724" t="s">
        <v>353</v>
      </c>
      <c r="D724" s="5" t="s">
        <v>11</v>
      </c>
      <c r="E724" s="5" t="s">
        <v>12</v>
      </c>
      <c r="F724" s="3" t="s">
        <v>13</v>
      </c>
      <c r="G724" s="3" t="s">
        <v>13</v>
      </c>
      <c r="H724" s="3" t="s">
        <v>13</v>
      </c>
      <c r="I724" s="3">
        <v>198847300</v>
      </c>
    </row>
    <row r="725" spans="1:9" x14ac:dyDescent="0.35">
      <c r="A725" t="str">
        <f>"14016"</f>
        <v>14016</v>
      </c>
      <c r="B725" t="s">
        <v>9</v>
      </c>
      <c r="C725" t="s">
        <v>354</v>
      </c>
      <c r="D725" s="5" t="s">
        <v>11</v>
      </c>
      <c r="E725" s="5" t="s">
        <v>12</v>
      </c>
      <c r="F725" s="3" t="s">
        <v>13</v>
      </c>
      <c r="G725" s="3" t="s">
        <v>13</v>
      </c>
      <c r="H725" s="3" t="s">
        <v>13</v>
      </c>
      <c r="I725" s="3">
        <v>267153300</v>
      </c>
    </row>
    <row r="726" spans="1:9" x14ac:dyDescent="0.35">
      <c r="A726" t="str">
        <f>"14018"</f>
        <v>14018</v>
      </c>
      <c r="B726" t="s">
        <v>9</v>
      </c>
      <c r="C726" t="s">
        <v>355</v>
      </c>
      <c r="D726" s="5" t="s">
        <v>11</v>
      </c>
      <c r="E726" s="5" t="s">
        <v>12</v>
      </c>
      <c r="F726" s="3" t="s">
        <v>13</v>
      </c>
      <c r="G726" s="3" t="s">
        <v>13</v>
      </c>
      <c r="H726" s="3" t="s">
        <v>13</v>
      </c>
      <c r="I726" s="3">
        <v>423158200</v>
      </c>
    </row>
    <row r="727" spans="1:9" x14ac:dyDescent="0.35">
      <c r="A727" t="str">
        <f>"14020"</f>
        <v>14020</v>
      </c>
      <c r="B727" t="s">
        <v>9</v>
      </c>
      <c r="C727" t="s">
        <v>356</v>
      </c>
      <c r="D727" s="5" t="s">
        <v>11</v>
      </c>
      <c r="E727" s="5" t="s">
        <v>12</v>
      </c>
      <c r="F727" s="3" t="s">
        <v>13</v>
      </c>
      <c r="G727" s="3" t="s">
        <v>13</v>
      </c>
      <c r="H727" s="3" t="s">
        <v>13</v>
      </c>
      <c r="I727" s="3">
        <v>219028100</v>
      </c>
    </row>
    <row r="728" spans="1:9" x14ac:dyDescent="0.35">
      <c r="A728" t="str">
        <f>"14022"</f>
        <v>14022</v>
      </c>
      <c r="B728" t="s">
        <v>9</v>
      </c>
      <c r="C728" t="s">
        <v>357</v>
      </c>
      <c r="D728" s="5" t="s">
        <v>11</v>
      </c>
      <c r="E728" s="5" t="s">
        <v>12</v>
      </c>
      <c r="F728" s="3" t="s">
        <v>13</v>
      </c>
      <c r="G728" s="3" t="s">
        <v>13</v>
      </c>
      <c r="H728" s="3" t="s">
        <v>13</v>
      </c>
      <c r="I728" s="3">
        <v>432857600</v>
      </c>
    </row>
    <row r="729" spans="1:9" x14ac:dyDescent="0.35">
      <c r="A729" t="str">
        <f>"14024"</f>
        <v>14024</v>
      </c>
      <c r="B729" t="s">
        <v>9</v>
      </c>
      <c r="C729" t="s">
        <v>358</v>
      </c>
      <c r="D729" s="5" t="s">
        <v>11</v>
      </c>
      <c r="E729" s="5" t="s">
        <v>12</v>
      </c>
      <c r="F729" s="3" t="s">
        <v>13</v>
      </c>
      <c r="G729" s="3" t="s">
        <v>13</v>
      </c>
      <c r="H729" s="3" t="s">
        <v>13</v>
      </c>
      <c r="I729" s="3">
        <v>299663400</v>
      </c>
    </row>
    <row r="730" spans="1:9" x14ac:dyDescent="0.35">
      <c r="A730" t="str">
        <f>"14026"</f>
        <v>14026</v>
      </c>
      <c r="B730" t="s">
        <v>9</v>
      </c>
      <c r="C730" t="s">
        <v>359</v>
      </c>
      <c r="D730" s="5" t="s">
        <v>11</v>
      </c>
      <c r="E730" s="5" t="s">
        <v>12</v>
      </c>
      <c r="F730" s="3" t="s">
        <v>13</v>
      </c>
      <c r="G730" s="3" t="s">
        <v>13</v>
      </c>
      <c r="H730" s="3" t="s">
        <v>13</v>
      </c>
      <c r="I730" s="3">
        <v>255801100</v>
      </c>
    </row>
    <row r="731" spans="1:9" x14ac:dyDescent="0.35">
      <c r="A731" t="str">
        <f>"14028"</f>
        <v>14028</v>
      </c>
      <c r="B731" t="s">
        <v>9</v>
      </c>
      <c r="C731" t="s">
        <v>360</v>
      </c>
      <c r="D731" s="5" t="s">
        <v>11</v>
      </c>
      <c r="E731" s="5" t="s">
        <v>12</v>
      </c>
      <c r="F731" s="3" t="s">
        <v>13</v>
      </c>
      <c r="G731" s="3" t="s">
        <v>13</v>
      </c>
      <c r="H731" s="3" t="s">
        <v>13</v>
      </c>
      <c r="I731" s="3">
        <v>169328500</v>
      </c>
    </row>
    <row r="732" spans="1:9" x14ac:dyDescent="0.35">
      <c r="A732" t="str">
        <f>"14030"</f>
        <v>14030</v>
      </c>
      <c r="B732" t="s">
        <v>9</v>
      </c>
      <c r="C732" t="s">
        <v>361</v>
      </c>
      <c r="D732" s="5" t="s">
        <v>11</v>
      </c>
      <c r="E732" s="5" t="s">
        <v>12</v>
      </c>
      <c r="F732" s="3" t="s">
        <v>13</v>
      </c>
      <c r="G732" s="3" t="s">
        <v>13</v>
      </c>
      <c r="H732" s="3" t="s">
        <v>13</v>
      </c>
      <c r="I732" s="3">
        <v>247088900</v>
      </c>
    </row>
    <row r="733" spans="1:9" x14ac:dyDescent="0.35">
      <c r="A733" t="str">
        <f>"14032"</f>
        <v>14032</v>
      </c>
      <c r="B733" t="s">
        <v>9</v>
      </c>
      <c r="C733" t="s">
        <v>362</v>
      </c>
      <c r="D733" s="5" t="s">
        <v>11</v>
      </c>
      <c r="E733" s="5" t="s">
        <v>12</v>
      </c>
      <c r="F733" s="3" t="s">
        <v>13</v>
      </c>
      <c r="G733" s="3" t="s">
        <v>13</v>
      </c>
      <c r="H733" s="3" t="s">
        <v>13</v>
      </c>
      <c r="I733" s="3">
        <v>215770100</v>
      </c>
    </row>
    <row r="734" spans="1:9" x14ac:dyDescent="0.35">
      <c r="A734" t="str">
        <f>"14034"</f>
        <v>14034</v>
      </c>
      <c r="B734" t="s">
        <v>9</v>
      </c>
      <c r="C734" t="s">
        <v>70</v>
      </c>
      <c r="D734" s="5" t="s">
        <v>11</v>
      </c>
      <c r="E734" s="5" t="s">
        <v>12</v>
      </c>
      <c r="F734" s="3" t="s">
        <v>13</v>
      </c>
      <c r="G734" s="3" t="s">
        <v>13</v>
      </c>
      <c r="H734" s="3" t="s">
        <v>13</v>
      </c>
      <c r="I734" s="3">
        <v>205147000</v>
      </c>
    </row>
    <row r="735" spans="1:9" x14ac:dyDescent="0.35">
      <c r="A735" t="str">
        <f>"14036"</f>
        <v>14036</v>
      </c>
      <c r="B735" t="s">
        <v>9</v>
      </c>
      <c r="C735" t="s">
        <v>363</v>
      </c>
      <c r="D735" s="5" t="s">
        <v>11</v>
      </c>
      <c r="E735" s="5" t="s">
        <v>12</v>
      </c>
      <c r="F735" s="3" t="s">
        <v>13</v>
      </c>
      <c r="G735" s="3" t="s">
        <v>13</v>
      </c>
      <c r="H735" s="3" t="s">
        <v>13</v>
      </c>
      <c r="I735" s="3">
        <v>195287300</v>
      </c>
    </row>
    <row r="736" spans="1:9" x14ac:dyDescent="0.35">
      <c r="A736" t="str">
        <f>"14038"</f>
        <v>14038</v>
      </c>
      <c r="B736" t="s">
        <v>9</v>
      </c>
      <c r="C736" t="s">
        <v>364</v>
      </c>
      <c r="D736" s="5" t="s">
        <v>11</v>
      </c>
      <c r="E736" s="5" t="s">
        <v>12</v>
      </c>
      <c r="F736" s="3" t="s">
        <v>13</v>
      </c>
      <c r="G736" s="3" t="s">
        <v>13</v>
      </c>
      <c r="H736" s="3" t="s">
        <v>13</v>
      </c>
      <c r="I736" s="3">
        <v>417926500</v>
      </c>
    </row>
    <row r="737" spans="1:9" x14ac:dyDescent="0.35">
      <c r="A737" t="str">
        <f>"14040"</f>
        <v>14040</v>
      </c>
      <c r="B737" t="s">
        <v>9</v>
      </c>
      <c r="C737" t="s">
        <v>365</v>
      </c>
      <c r="D737" s="5" t="s">
        <v>11</v>
      </c>
      <c r="E737" s="5" t="s">
        <v>12</v>
      </c>
      <c r="F737" s="3" t="s">
        <v>13</v>
      </c>
      <c r="G737" s="3" t="s">
        <v>13</v>
      </c>
      <c r="H737" s="3" t="s">
        <v>13</v>
      </c>
      <c r="I737" s="3">
        <v>111076800</v>
      </c>
    </row>
    <row r="738" spans="1:9" x14ac:dyDescent="0.35">
      <c r="A738" t="str">
        <f>"14042"</f>
        <v>14042</v>
      </c>
      <c r="B738" t="s">
        <v>9</v>
      </c>
      <c r="C738" t="s">
        <v>366</v>
      </c>
      <c r="D738" s="5" t="s">
        <v>11</v>
      </c>
      <c r="E738" s="5" t="s">
        <v>12</v>
      </c>
      <c r="F738" s="3" t="s">
        <v>13</v>
      </c>
      <c r="G738" s="3" t="s">
        <v>13</v>
      </c>
      <c r="H738" s="3" t="s">
        <v>13</v>
      </c>
      <c r="I738" s="3">
        <v>183843300</v>
      </c>
    </row>
    <row r="739" spans="1:9" x14ac:dyDescent="0.35">
      <c r="A739" t="str">
        <f>"14044"</f>
        <v>14044</v>
      </c>
      <c r="B739" t="s">
        <v>9</v>
      </c>
      <c r="C739" t="s">
        <v>367</v>
      </c>
      <c r="D739" s="5" t="s">
        <v>11</v>
      </c>
      <c r="E739" s="5" t="s">
        <v>12</v>
      </c>
      <c r="F739" s="3" t="s">
        <v>13</v>
      </c>
      <c r="G739" s="3" t="s">
        <v>13</v>
      </c>
      <c r="H739" s="3" t="s">
        <v>13</v>
      </c>
      <c r="I739" s="3">
        <v>239433600</v>
      </c>
    </row>
    <row r="740" spans="1:9" x14ac:dyDescent="0.35">
      <c r="A740" t="str">
        <f>"14046"</f>
        <v>14046</v>
      </c>
      <c r="B740" t="s">
        <v>9</v>
      </c>
      <c r="C740" t="s">
        <v>368</v>
      </c>
      <c r="D740" s="5" t="s">
        <v>11</v>
      </c>
      <c r="E740" s="5" t="s">
        <v>12</v>
      </c>
      <c r="F740" s="3" t="s">
        <v>13</v>
      </c>
      <c r="G740" s="3" t="s">
        <v>13</v>
      </c>
      <c r="H740" s="3" t="s">
        <v>13</v>
      </c>
      <c r="I740" s="3">
        <v>306863200</v>
      </c>
    </row>
    <row r="741" spans="1:9" x14ac:dyDescent="0.35">
      <c r="A741" t="s">
        <v>30</v>
      </c>
      <c r="B741" t="s">
        <v>31</v>
      </c>
      <c r="C741" t="s">
        <v>32</v>
      </c>
      <c r="D741" s="5" t="s">
        <v>11</v>
      </c>
      <c r="E741" s="5" t="s">
        <v>12</v>
      </c>
      <c r="F741" s="3" t="s">
        <v>13</v>
      </c>
      <c r="G741" s="3" t="s">
        <v>13</v>
      </c>
      <c r="H741" s="3" t="s">
        <v>13</v>
      </c>
      <c r="I741" s="3">
        <v>6084195100</v>
      </c>
    </row>
    <row r="742" spans="1:9" x14ac:dyDescent="0.35">
      <c r="A742" t="str">
        <f>"14106"</f>
        <v>14106</v>
      </c>
      <c r="B742" t="s">
        <v>33</v>
      </c>
      <c r="C742" t="s">
        <v>369</v>
      </c>
      <c r="D742" s="5" t="s">
        <v>11</v>
      </c>
      <c r="E742" s="5" t="s">
        <v>12</v>
      </c>
      <c r="F742" s="3" t="s">
        <v>13</v>
      </c>
      <c r="G742" s="3" t="s">
        <v>13</v>
      </c>
      <c r="H742" s="3" t="s">
        <v>13</v>
      </c>
      <c r="I742" s="3">
        <v>121720000</v>
      </c>
    </row>
    <row r="743" spans="1:9" x14ac:dyDescent="0.35">
      <c r="A743" t="str">
        <f>"14111"</f>
        <v>14111</v>
      </c>
      <c r="B743" t="s">
        <v>33</v>
      </c>
      <c r="C743" t="s">
        <v>352</v>
      </c>
      <c r="D743" s="5" t="s">
        <v>11</v>
      </c>
      <c r="E743" s="5" t="s">
        <v>12</v>
      </c>
      <c r="F743" s="3" t="s">
        <v>13</v>
      </c>
      <c r="G743" s="3" t="s">
        <v>13</v>
      </c>
      <c r="H743" s="3" t="s">
        <v>13</v>
      </c>
      <c r="I743" s="3">
        <v>37484100</v>
      </c>
    </row>
    <row r="744" spans="1:9" x14ac:dyDescent="0.35">
      <c r="A744" t="str">
        <f>"14136"</f>
        <v>14136</v>
      </c>
      <c r="B744" t="s">
        <v>33</v>
      </c>
      <c r="C744" t="s">
        <v>358</v>
      </c>
      <c r="D744" s="5" t="str">
        <f>"001"</f>
        <v>001</v>
      </c>
      <c r="E744" s="5">
        <v>2017</v>
      </c>
      <c r="F744" s="3">
        <v>5081200</v>
      </c>
      <c r="G744" s="3">
        <v>12068300</v>
      </c>
      <c r="H744" s="3">
        <v>6987100</v>
      </c>
    </row>
    <row r="745" spans="1:9" x14ac:dyDescent="0.35">
      <c r="A745" t="str">
        <f>"14136"</f>
        <v>14136</v>
      </c>
      <c r="B745" t="s">
        <v>33</v>
      </c>
      <c r="C745" t="s">
        <v>358</v>
      </c>
      <c r="D745" s="5" t="s">
        <v>11</v>
      </c>
      <c r="E745" s="5" t="s">
        <v>12</v>
      </c>
      <c r="F745" s="3" t="s">
        <v>13</v>
      </c>
      <c r="G745" s="3" t="s">
        <v>13</v>
      </c>
      <c r="H745" s="3" t="s">
        <v>13</v>
      </c>
      <c r="I745" s="3">
        <v>123518800</v>
      </c>
    </row>
    <row r="746" spans="1:9" x14ac:dyDescent="0.35">
      <c r="A746" t="str">
        <f>"14141"</f>
        <v>14141</v>
      </c>
      <c r="B746" t="s">
        <v>33</v>
      </c>
      <c r="C746" t="s">
        <v>370</v>
      </c>
      <c r="D746" s="5" t="s">
        <v>11</v>
      </c>
      <c r="E746" s="5" t="s">
        <v>12</v>
      </c>
      <c r="F746" s="3" t="s">
        <v>13</v>
      </c>
      <c r="G746" s="3" t="s">
        <v>13</v>
      </c>
      <c r="H746" s="3" t="s">
        <v>13</v>
      </c>
      <c r="I746" s="3">
        <v>94441900</v>
      </c>
    </row>
    <row r="747" spans="1:9" x14ac:dyDescent="0.35">
      <c r="A747" t="str">
        <f>"14143"</f>
        <v>14143</v>
      </c>
      <c r="B747" t="s">
        <v>33</v>
      </c>
      <c r="C747" t="s">
        <v>371</v>
      </c>
      <c r="D747" s="5" t="s">
        <v>11</v>
      </c>
      <c r="E747" s="5" t="s">
        <v>12</v>
      </c>
      <c r="F747" s="3" t="s">
        <v>13</v>
      </c>
      <c r="G747" s="3" t="s">
        <v>13</v>
      </c>
      <c r="H747" s="3" t="s">
        <v>13</v>
      </c>
      <c r="I747" s="3">
        <v>196633800</v>
      </c>
    </row>
    <row r="748" spans="1:9" x14ac:dyDescent="0.35">
      <c r="A748" t="str">
        <f>"14146"</f>
        <v>14146</v>
      </c>
      <c r="B748" t="s">
        <v>33</v>
      </c>
      <c r="C748" t="s">
        <v>361</v>
      </c>
      <c r="D748" s="5" t="str">
        <f>"004"</f>
        <v>004</v>
      </c>
      <c r="E748" s="5">
        <v>2006</v>
      </c>
      <c r="F748" s="3">
        <v>894000</v>
      </c>
      <c r="G748" s="3">
        <v>20543300</v>
      </c>
      <c r="H748" s="3">
        <v>19649300</v>
      </c>
    </row>
    <row r="749" spans="1:9" x14ac:dyDescent="0.35">
      <c r="A749" t="str">
        <f>"14146"</f>
        <v>14146</v>
      </c>
      <c r="B749" t="s">
        <v>33</v>
      </c>
      <c r="C749" t="s">
        <v>361</v>
      </c>
      <c r="D749" s="5" t="str">
        <f>"005"</f>
        <v>005</v>
      </c>
      <c r="E749" s="5">
        <v>2015</v>
      </c>
      <c r="F749" s="3">
        <v>297600</v>
      </c>
      <c r="G749" s="3">
        <v>17196400</v>
      </c>
      <c r="H749" s="3">
        <v>16898800</v>
      </c>
    </row>
    <row r="750" spans="1:9" x14ac:dyDescent="0.35">
      <c r="A750" t="str">
        <f>"14146"</f>
        <v>14146</v>
      </c>
      <c r="B750" t="s">
        <v>33</v>
      </c>
      <c r="C750" t="s">
        <v>361</v>
      </c>
      <c r="D750" s="5" t="s">
        <v>11</v>
      </c>
      <c r="E750" s="5" t="s">
        <v>12</v>
      </c>
      <c r="F750" s="3" t="s">
        <v>13</v>
      </c>
      <c r="G750" s="3" t="s">
        <v>13</v>
      </c>
      <c r="H750" s="3" t="s">
        <v>13</v>
      </c>
      <c r="I750" s="3">
        <v>260106700</v>
      </c>
    </row>
    <row r="751" spans="1:9" x14ac:dyDescent="0.35">
      <c r="A751" t="str">
        <f>"14147"</f>
        <v>14147</v>
      </c>
      <c r="B751" t="s">
        <v>33</v>
      </c>
      <c r="C751" t="s">
        <v>362</v>
      </c>
      <c r="D751" s="5" t="s">
        <v>11</v>
      </c>
      <c r="E751" s="5" t="s">
        <v>12</v>
      </c>
      <c r="F751" s="3" t="s">
        <v>13</v>
      </c>
      <c r="G751" s="3" t="s">
        <v>13</v>
      </c>
      <c r="H751" s="3" t="s">
        <v>13</v>
      </c>
      <c r="I751" s="3">
        <v>31175900</v>
      </c>
    </row>
    <row r="752" spans="1:9" x14ac:dyDescent="0.35">
      <c r="A752" t="str">
        <f>"14161"</f>
        <v>14161</v>
      </c>
      <c r="B752" t="s">
        <v>33</v>
      </c>
      <c r="C752" t="s">
        <v>372</v>
      </c>
      <c r="D752" s="5" t="s">
        <v>11</v>
      </c>
      <c r="E752" s="5" t="s">
        <v>12</v>
      </c>
      <c r="F752" s="3" t="s">
        <v>13</v>
      </c>
      <c r="G752" s="3" t="s">
        <v>13</v>
      </c>
      <c r="H752" s="3" t="s">
        <v>13</v>
      </c>
      <c r="I752" s="3">
        <v>67496400</v>
      </c>
    </row>
    <row r="753" spans="1:9" x14ac:dyDescent="0.35">
      <c r="A753" t="str">
        <f>"14176"</f>
        <v>14176</v>
      </c>
      <c r="B753" t="s">
        <v>33</v>
      </c>
      <c r="C753" t="s">
        <v>268</v>
      </c>
      <c r="D753" s="5" t="str">
        <f>"003"</f>
        <v>003</v>
      </c>
      <c r="E753" s="5">
        <v>2024</v>
      </c>
      <c r="F753" s="3">
        <v>7747900</v>
      </c>
      <c r="G753" s="3">
        <v>9836500</v>
      </c>
      <c r="H753" s="3">
        <v>2088600</v>
      </c>
    </row>
    <row r="754" spans="1:9" x14ac:dyDescent="0.35">
      <c r="A754" t="str">
        <f>"14176"</f>
        <v>14176</v>
      </c>
      <c r="B754" t="s">
        <v>33</v>
      </c>
      <c r="C754" t="s">
        <v>268</v>
      </c>
      <c r="D754" s="5" t="s">
        <v>11</v>
      </c>
      <c r="E754" s="5" t="s">
        <v>12</v>
      </c>
      <c r="F754" s="3" t="s">
        <v>13</v>
      </c>
      <c r="G754" s="3" t="s">
        <v>13</v>
      </c>
      <c r="H754" s="3" t="s">
        <v>13</v>
      </c>
      <c r="I754" s="3">
        <v>139007300</v>
      </c>
    </row>
    <row r="755" spans="1:9" x14ac:dyDescent="0.35">
      <c r="A755" t="str">
        <f>"14177"</f>
        <v>14177</v>
      </c>
      <c r="B755" t="s">
        <v>33</v>
      </c>
      <c r="C755" t="s">
        <v>373</v>
      </c>
      <c r="D755" s="5" t="str">
        <f>"003"</f>
        <v>003</v>
      </c>
      <c r="E755" s="5">
        <v>2011</v>
      </c>
      <c r="F755" s="3">
        <v>912700</v>
      </c>
      <c r="G755" s="3">
        <v>9279700</v>
      </c>
      <c r="H755" s="3">
        <v>8367000</v>
      </c>
    </row>
    <row r="756" spans="1:9" x14ac:dyDescent="0.35">
      <c r="A756" t="str">
        <f>"14177"</f>
        <v>14177</v>
      </c>
      <c r="B756" t="s">
        <v>33</v>
      </c>
      <c r="C756" t="s">
        <v>373</v>
      </c>
      <c r="D756" s="5" t="s">
        <v>11</v>
      </c>
      <c r="E756" s="5" t="s">
        <v>12</v>
      </c>
      <c r="F756" s="3" t="s">
        <v>13</v>
      </c>
      <c r="G756" s="3" t="s">
        <v>13</v>
      </c>
      <c r="H756" s="3" t="s">
        <v>13</v>
      </c>
      <c r="I756" s="3">
        <v>53688100</v>
      </c>
    </row>
    <row r="757" spans="1:9" x14ac:dyDescent="0.35">
      <c r="A757" t="str">
        <f>"14186"</f>
        <v>14186</v>
      </c>
      <c r="B757" t="s">
        <v>33</v>
      </c>
      <c r="C757" t="s">
        <v>366</v>
      </c>
      <c r="D757" s="5" t="s">
        <v>11</v>
      </c>
      <c r="E757" s="5" t="s">
        <v>12</v>
      </c>
      <c r="F757" s="3" t="s">
        <v>13</v>
      </c>
      <c r="G757" s="3" t="s">
        <v>13</v>
      </c>
      <c r="H757" s="3" t="s">
        <v>13</v>
      </c>
      <c r="I757" s="3">
        <v>121286400</v>
      </c>
    </row>
    <row r="758" spans="1:9" x14ac:dyDescent="0.35">
      <c r="A758" t="s">
        <v>30</v>
      </c>
      <c r="B758" t="s">
        <v>35</v>
      </c>
      <c r="C758" t="s">
        <v>32</v>
      </c>
      <c r="D758" s="5" t="s">
        <v>11</v>
      </c>
      <c r="E758" s="5" t="s">
        <v>12</v>
      </c>
      <c r="F758" s="3" t="s">
        <v>13</v>
      </c>
      <c r="G758" s="3" t="s">
        <v>13</v>
      </c>
      <c r="H758" s="3" t="s">
        <v>13</v>
      </c>
      <c r="I758" s="3">
        <v>1246559400</v>
      </c>
    </row>
    <row r="759" spans="1:9" x14ac:dyDescent="0.35">
      <c r="A759" t="str">
        <f t="shared" ref="A759:A764" si="15">"14206"</f>
        <v>14206</v>
      </c>
      <c r="B759" t="s">
        <v>36</v>
      </c>
      <c r="C759" t="s">
        <v>349</v>
      </c>
      <c r="D759" s="5" t="str">
        <f>"006"</f>
        <v>006</v>
      </c>
      <c r="E759" s="5">
        <v>2009</v>
      </c>
      <c r="F759" s="3">
        <v>806300</v>
      </c>
      <c r="G759" s="3">
        <v>7716700</v>
      </c>
      <c r="H759" s="3">
        <v>6910400</v>
      </c>
    </row>
    <row r="760" spans="1:9" x14ac:dyDescent="0.35">
      <c r="A760" t="str">
        <f t="shared" si="15"/>
        <v>14206</v>
      </c>
      <c r="B760" t="s">
        <v>36</v>
      </c>
      <c r="C760" t="s">
        <v>349</v>
      </c>
      <c r="D760" s="5" t="str">
        <f>"007"</f>
        <v>007</v>
      </c>
      <c r="E760" s="5">
        <v>2016</v>
      </c>
      <c r="F760" s="3">
        <v>0</v>
      </c>
      <c r="G760" s="3">
        <v>66320900</v>
      </c>
      <c r="H760" s="3">
        <v>66320900</v>
      </c>
    </row>
    <row r="761" spans="1:9" x14ac:dyDescent="0.35">
      <c r="A761" t="str">
        <f t="shared" si="15"/>
        <v>14206</v>
      </c>
      <c r="B761" t="s">
        <v>36</v>
      </c>
      <c r="C761" t="s">
        <v>349</v>
      </c>
      <c r="D761" s="5" t="str">
        <f>"008"</f>
        <v>008</v>
      </c>
      <c r="E761" s="5">
        <v>2018</v>
      </c>
      <c r="F761" s="3">
        <v>7304500</v>
      </c>
      <c r="G761" s="3">
        <v>72054900</v>
      </c>
      <c r="H761" s="3">
        <v>64750400</v>
      </c>
    </row>
    <row r="762" spans="1:9" x14ac:dyDescent="0.35">
      <c r="A762" t="str">
        <f t="shared" si="15"/>
        <v>14206</v>
      </c>
      <c r="B762" t="s">
        <v>36</v>
      </c>
      <c r="C762" t="s">
        <v>349</v>
      </c>
      <c r="D762" s="5" t="str">
        <f>"009"</f>
        <v>009</v>
      </c>
      <c r="E762" s="5">
        <v>2019</v>
      </c>
      <c r="F762" s="3">
        <v>1394800</v>
      </c>
      <c r="G762" s="3">
        <v>9974200</v>
      </c>
      <c r="H762" s="3">
        <v>8579400</v>
      </c>
    </row>
    <row r="763" spans="1:9" x14ac:dyDescent="0.35">
      <c r="A763" t="str">
        <f t="shared" si="15"/>
        <v>14206</v>
      </c>
      <c r="B763" t="s">
        <v>36</v>
      </c>
      <c r="C763" t="s">
        <v>349</v>
      </c>
      <c r="D763" s="5" t="str">
        <f>"010"</f>
        <v>010</v>
      </c>
      <c r="E763" s="5">
        <v>2025</v>
      </c>
      <c r="F763" s="3">
        <v>2250300</v>
      </c>
      <c r="G763" s="3">
        <v>206468600</v>
      </c>
      <c r="H763" s="3">
        <v>204218300</v>
      </c>
    </row>
    <row r="764" spans="1:9" x14ac:dyDescent="0.35">
      <c r="A764" t="str">
        <f t="shared" si="15"/>
        <v>14206</v>
      </c>
      <c r="B764" t="s">
        <v>36</v>
      </c>
      <c r="C764" t="s">
        <v>349</v>
      </c>
      <c r="D764" s="5" t="s">
        <v>11</v>
      </c>
      <c r="E764" s="5" t="s">
        <v>12</v>
      </c>
      <c r="F764" s="3" t="s">
        <v>13</v>
      </c>
      <c r="G764" s="3" t="s">
        <v>13</v>
      </c>
      <c r="H764" s="3" t="s">
        <v>13</v>
      </c>
      <c r="I764" s="3">
        <v>1827338600</v>
      </c>
    </row>
    <row r="765" spans="1:9" x14ac:dyDescent="0.35">
      <c r="A765" t="str">
        <f>"14211"</f>
        <v>14211</v>
      </c>
      <c r="B765" t="s">
        <v>36</v>
      </c>
      <c r="C765" t="s">
        <v>254</v>
      </c>
      <c r="D765" s="5" t="s">
        <v>11</v>
      </c>
      <c r="E765" s="5" t="s">
        <v>12</v>
      </c>
      <c r="F765" s="3" t="s">
        <v>13</v>
      </c>
      <c r="G765" s="3" t="s">
        <v>13</v>
      </c>
      <c r="H765" s="3" t="s">
        <v>13</v>
      </c>
      <c r="I765" s="3">
        <v>0</v>
      </c>
    </row>
    <row r="766" spans="1:9" x14ac:dyDescent="0.35">
      <c r="A766" t="str">
        <f>"14226"</f>
        <v>14226</v>
      </c>
      <c r="B766" t="s">
        <v>36</v>
      </c>
      <c r="C766" t="s">
        <v>355</v>
      </c>
      <c r="D766" s="5" t="str">
        <f>"002"</f>
        <v>002</v>
      </c>
      <c r="E766" s="5">
        <v>2015</v>
      </c>
      <c r="F766" s="3">
        <v>7361500</v>
      </c>
      <c r="G766" s="3">
        <v>41503400</v>
      </c>
      <c r="H766" s="3">
        <v>34141900</v>
      </c>
    </row>
    <row r="767" spans="1:9" x14ac:dyDescent="0.35">
      <c r="A767" t="str">
        <f>"14226"</f>
        <v>14226</v>
      </c>
      <c r="B767" t="s">
        <v>36</v>
      </c>
      <c r="C767" t="s">
        <v>355</v>
      </c>
      <c r="D767" s="5" t="str">
        <f>"003"</f>
        <v>003</v>
      </c>
      <c r="E767" s="5">
        <v>2016</v>
      </c>
      <c r="F767" s="3">
        <v>4614800</v>
      </c>
      <c r="G767" s="3">
        <v>23295600</v>
      </c>
      <c r="H767" s="3">
        <v>18680800</v>
      </c>
    </row>
    <row r="768" spans="1:9" x14ac:dyDescent="0.35">
      <c r="A768" t="str">
        <f>"14226"</f>
        <v>14226</v>
      </c>
      <c r="B768" t="s">
        <v>36</v>
      </c>
      <c r="C768" t="s">
        <v>355</v>
      </c>
      <c r="D768" s="5" t="s">
        <v>11</v>
      </c>
      <c r="E768" s="5" t="s">
        <v>12</v>
      </c>
      <c r="F768" s="3" t="s">
        <v>13</v>
      </c>
      <c r="G768" s="3" t="s">
        <v>13</v>
      </c>
      <c r="H768" s="3" t="s">
        <v>13</v>
      </c>
      <c r="I768" s="3">
        <v>144076100</v>
      </c>
    </row>
    <row r="769" spans="1:9" x14ac:dyDescent="0.35">
      <c r="A769" t="str">
        <f>"14230"</f>
        <v>14230</v>
      </c>
      <c r="B769" t="s">
        <v>36</v>
      </c>
      <c r="C769" t="s">
        <v>374</v>
      </c>
      <c r="D769" s="5" t="str">
        <f>"007"</f>
        <v>007</v>
      </c>
      <c r="E769" s="5">
        <v>2011</v>
      </c>
      <c r="F769" s="3">
        <v>13800</v>
      </c>
      <c r="G769" s="3">
        <v>9126600</v>
      </c>
      <c r="H769" s="3">
        <v>9112800</v>
      </c>
    </row>
    <row r="770" spans="1:9" x14ac:dyDescent="0.35">
      <c r="A770" t="str">
        <f>"14230"</f>
        <v>14230</v>
      </c>
      <c r="B770" t="s">
        <v>36</v>
      </c>
      <c r="C770" t="s">
        <v>374</v>
      </c>
      <c r="D770" s="5" t="str">
        <f>"009"</f>
        <v>009</v>
      </c>
      <c r="E770" s="5">
        <v>2015</v>
      </c>
      <c r="F770" s="3">
        <v>4051600</v>
      </c>
      <c r="G770" s="3">
        <v>17344500</v>
      </c>
      <c r="H770" s="3">
        <v>13292900</v>
      </c>
    </row>
    <row r="771" spans="1:9" x14ac:dyDescent="0.35">
      <c r="A771" t="str">
        <f>"14230"</f>
        <v>14230</v>
      </c>
      <c r="B771" t="s">
        <v>36</v>
      </c>
      <c r="C771" t="s">
        <v>374</v>
      </c>
      <c r="D771" s="5" t="s">
        <v>11</v>
      </c>
      <c r="E771" s="5" t="s">
        <v>12</v>
      </c>
      <c r="F771" s="3" t="s">
        <v>13</v>
      </c>
      <c r="G771" s="3" t="s">
        <v>13</v>
      </c>
      <c r="H771" s="3" t="s">
        <v>13</v>
      </c>
      <c r="I771" s="3">
        <v>67442700</v>
      </c>
    </row>
    <row r="772" spans="1:9" x14ac:dyDescent="0.35">
      <c r="A772" t="str">
        <f>"14236"</f>
        <v>14236</v>
      </c>
      <c r="B772" t="s">
        <v>36</v>
      </c>
      <c r="C772" t="s">
        <v>375</v>
      </c>
      <c r="D772" s="5" t="str">
        <f>"004"</f>
        <v>004</v>
      </c>
      <c r="E772" s="5">
        <v>2007</v>
      </c>
      <c r="F772" s="3">
        <v>4439400</v>
      </c>
      <c r="G772" s="3">
        <v>39002000</v>
      </c>
      <c r="H772" s="3">
        <v>34562600</v>
      </c>
    </row>
    <row r="773" spans="1:9" x14ac:dyDescent="0.35">
      <c r="A773" t="str">
        <f>"14236"</f>
        <v>14236</v>
      </c>
      <c r="B773" t="s">
        <v>36</v>
      </c>
      <c r="C773" t="s">
        <v>375</v>
      </c>
      <c r="D773" s="5" t="str">
        <f>"005"</f>
        <v>005</v>
      </c>
      <c r="E773" s="5">
        <v>2015</v>
      </c>
      <c r="F773" s="3">
        <v>3783300</v>
      </c>
      <c r="G773" s="3">
        <v>25198100</v>
      </c>
      <c r="H773" s="3">
        <v>21414800</v>
      </c>
    </row>
    <row r="774" spans="1:9" x14ac:dyDescent="0.35">
      <c r="A774" t="str">
        <f>"14236"</f>
        <v>14236</v>
      </c>
      <c r="B774" t="s">
        <v>36</v>
      </c>
      <c r="C774" t="s">
        <v>375</v>
      </c>
      <c r="D774" s="5" t="str">
        <f>"006"</f>
        <v>006</v>
      </c>
      <c r="E774" s="5">
        <v>2017</v>
      </c>
      <c r="F774" s="3">
        <v>12238800</v>
      </c>
      <c r="G774" s="3">
        <v>19749800</v>
      </c>
      <c r="H774" s="3">
        <v>7511000</v>
      </c>
    </row>
    <row r="775" spans="1:9" x14ac:dyDescent="0.35">
      <c r="A775" t="str">
        <f>"14236"</f>
        <v>14236</v>
      </c>
      <c r="B775" t="s">
        <v>36</v>
      </c>
      <c r="C775" t="s">
        <v>375</v>
      </c>
      <c r="D775" s="5" t="s">
        <v>11</v>
      </c>
      <c r="E775" s="5" t="s">
        <v>12</v>
      </c>
      <c r="F775" s="3" t="s">
        <v>13</v>
      </c>
      <c r="G775" s="3" t="s">
        <v>13</v>
      </c>
      <c r="H775" s="3" t="s">
        <v>13</v>
      </c>
      <c r="I775" s="3">
        <v>361698700</v>
      </c>
    </row>
    <row r="776" spans="1:9" x14ac:dyDescent="0.35">
      <c r="A776" t="str">
        <f>"14241"</f>
        <v>14241</v>
      </c>
      <c r="B776" t="s">
        <v>36</v>
      </c>
      <c r="C776" t="s">
        <v>376</v>
      </c>
      <c r="D776" s="5" t="str">
        <f>"004"</f>
        <v>004</v>
      </c>
      <c r="E776" s="5">
        <v>2018</v>
      </c>
      <c r="F776" s="3">
        <v>7477100</v>
      </c>
      <c r="G776" s="3">
        <v>28393400</v>
      </c>
      <c r="H776" s="3">
        <v>20916300</v>
      </c>
    </row>
    <row r="777" spans="1:9" x14ac:dyDescent="0.35">
      <c r="A777" t="str">
        <f>"14241"</f>
        <v>14241</v>
      </c>
      <c r="B777" t="s">
        <v>36</v>
      </c>
      <c r="C777" t="s">
        <v>376</v>
      </c>
      <c r="D777" s="5" t="s">
        <v>11</v>
      </c>
      <c r="E777" s="5" t="s">
        <v>12</v>
      </c>
      <c r="F777" s="3" t="s">
        <v>13</v>
      </c>
      <c r="G777" s="3" t="s">
        <v>13</v>
      </c>
      <c r="H777" s="3" t="s">
        <v>13</v>
      </c>
      <c r="I777" s="3">
        <v>218062900</v>
      </c>
    </row>
    <row r="778" spans="1:9" x14ac:dyDescent="0.35">
      <c r="A778" t="str">
        <f>"14251"</f>
        <v>14251</v>
      </c>
      <c r="B778" t="s">
        <v>36</v>
      </c>
      <c r="C778" t="s">
        <v>230</v>
      </c>
      <c r="D778" s="5" t="str">
        <f>"004"</f>
        <v>004</v>
      </c>
      <c r="E778" s="5">
        <v>2009</v>
      </c>
      <c r="F778" s="3">
        <v>1548600</v>
      </c>
      <c r="G778" s="3">
        <v>3025900</v>
      </c>
      <c r="H778" s="3">
        <v>1477300</v>
      </c>
    </row>
    <row r="779" spans="1:9" x14ac:dyDescent="0.35">
      <c r="A779" t="str">
        <f>"14251"</f>
        <v>14251</v>
      </c>
      <c r="B779" t="s">
        <v>36</v>
      </c>
      <c r="C779" t="s">
        <v>230</v>
      </c>
      <c r="D779" s="5" t="str">
        <f>"005"</f>
        <v>005</v>
      </c>
      <c r="E779" s="5">
        <v>2013</v>
      </c>
      <c r="F779" s="3">
        <v>2313700</v>
      </c>
      <c r="G779" s="3">
        <v>6359800</v>
      </c>
      <c r="H779" s="3">
        <v>4046100</v>
      </c>
    </row>
    <row r="780" spans="1:9" x14ac:dyDescent="0.35">
      <c r="A780" t="str">
        <f>"14251"</f>
        <v>14251</v>
      </c>
      <c r="B780" t="s">
        <v>36</v>
      </c>
      <c r="C780" t="s">
        <v>230</v>
      </c>
      <c r="D780" s="5" t="str">
        <f>"006"</f>
        <v>006</v>
      </c>
      <c r="E780" s="5">
        <v>2021</v>
      </c>
      <c r="F780" s="3">
        <v>20759900</v>
      </c>
      <c r="G780" s="3">
        <v>38301200</v>
      </c>
      <c r="H780" s="3">
        <v>17541300</v>
      </c>
    </row>
    <row r="781" spans="1:9" x14ac:dyDescent="0.35">
      <c r="A781" t="str">
        <f>"14251"</f>
        <v>14251</v>
      </c>
      <c r="B781" t="s">
        <v>36</v>
      </c>
      <c r="C781" t="s">
        <v>230</v>
      </c>
      <c r="D781" s="5" t="str">
        <f>"007"</f>
        <v>007</v>
      </c>
      <c r="E781" s="5">
        <v>2024</v>
      </c>
      <c r="F781" s="3">
        <v>12606400</v>
      </c>
      <c r="G781" s="3">
        <v>14333700</v>
      </c>
      <c r="H781" s="3">
        <v>1727300</v>
      </c>
    </row>
    <row r="782" spans="1:9" x14ac:dyDescent="0.35">
      <c r="A782" t="str">
        <f>"14251"</f>
        <v>14251</v>
      </c>
      <c r="B782" t="s">
        <v>36</v>
      </c>
      <c r="C782" t="s">
        <v>230</v>
      </c>
      <c r="D782" s="5" t="s">
        <v>11</v>
      </c>
      <c r="E782" s="5" t="s">
        <v>12</v>
      </c>
      <c r="F782" s="3" t="s">
        <v>13</v>
      </c>
      <c r="G782" s="3" t="s">
        <v>13</v>
      </c>
      <c r="H782" s="3" t="s">
        <v>13</v>
      </c>
      <c r="I782" s="3">
        <v>631015600</v>
      </c>
    </row>
    <row r="783" spans="1:9" x14ac:dyDescent="0.35">
      <c r="A783" t="str">
        <f>"14291"</f>
        <v>14291</v>
      </c>
      <c r="B783" t="s">
        <v>36</v>
      </c>
      <c r="C783" t="s">
        <v>377</v>
      </c>
      <c r="D783" s="5" t="str">
        <f>"008"</f>
        <v>008</v>
      </c>
      <c r="E783" s="5">
        <v>2021</v>
      </c>
      <c r="F783" s="3">
        <v>72100</v>
      </c>
      <c r="G783" s="3">
        <v>74200</v>
      </c>
      <c r="H783" s="3">
        <v>2100</v>
      </c>
    </row>
    <row r="784" spans="1:9" x14ac:dyDescent="0.35">
      <c r="A784" t="str">
        <f>"14291"</f>
        <v>14291</v>
      </c>
      <c r="B784" t="s">
        <v>36</v>
      </c>
      <c r="C784" t="s">
        <v>377</v>
      </c>
      <c r="D784" s="5" t="s">
        <v>11</v>
      </c>
      <c r="E784" s="5" t="s">
        <v>12</v>
      </c>
      <c r="F784" s="3" t="s">
        <v>13</v>
      </c>
      <c r="G784" s="3" t="s">
        <v>13</v>
      </c>
      <c r="H784" s="3" t="s">
        <v>13</v>
      </c>
      <c r="I784" s="3">
        <v>934774100</v>
      </c>
    </row>
    <row r="785" spans="1:9" x14ac:dyDescent="0.35">
      <c r="A785" t="str">
        <f t="shared" ref="A785:A790" si="16">"14292"</f>
        <v>14292</v>
      </c>
      <c r="B785" t="s">
        <v>36</v>
      </c>
      <c r="C785" t="s">
        <v>378</v>
      </c>
      <c r="D785" s="5" t="str">
        <f>"003"</f>
        <v>003</v>
      </c>
      <c r="E785" s="5">
        <v>2005</v>
      </c>
      <c r="F785" s="3">
        <v>7038800</v>
      </c>
      <c r="G785" s="3">
        <v>16877300</v>
      </c>
      <c r="H785" s="3">
        <v>9838500</v>
      </c>
    </row>
    <row r="786" spans="1:9" x14ac:dyDescent="0.35">
      <c r="A786" t="str">
        <f t="shared" si="16"/>
        <v>14292</v>
      </c>
      <c r="B786" t="s">
        <v>36</v>
      </c>
      <c r="C786" t="s">
        <v>378</v>
      </c>
      <c r="D786" s="5" t="str">
        <f>"005"</f>
        <v>005</v>
      </c>
      <c r="E786" s="5">
        <v>2008</v>
      </c>
      <c r="F786" s="3">
        <v>1950300</v>
      </c>
      <c r="G786" s="3">
        <v>35639900</v>
      </c>
      <c r="H786" s="3">
        <v>33689600</v>
      </c>
    </row>
    <row r="787" spans="1:9" x14ac:dyDescent="0.35">
      <c r="A787" t="str">
        <f t="shared" si="16"/>
        <v>14292</v>
      </c>
      <c r="B787" t="s">
        <v>36</v>
      </c>
      <c r="C787" t="s">
        <v>378</v>
      </c>
      <c r="D787" s="5" t="str">
        <f>"007"</f>
        <v>007</v>
      </c>
      <c r="E787" s="5">
        <v>2017</v>
      </c>
      <c r="F787" s="3">
        <v>22100</v>
      </c>
      <c r="G787" s="3">
        <v>6341800</v>
      </c>
      <c r="H787" s="3">
        <v>6319700</v>
      </c>
    </row>
    <row r="788" spans="1:9" x14ac:dyDescent="0.35">
      <c r="A788" t="str">
        <f t="shared" si="16"/>
        <v>14292</v>
      </c>
      <c r="B788" t="s">
        <v>36</v>
      </c>
      <c r="C788" t="s">
        <v>378</v>
      </c>
      <c r="D788" s="5" t="str">
        <f>"009"</f>
        <v>009</v>
      </c>
      <c r="E788" s="5">
        <v>2022</v>
      </c>
      <c r="F788" s="3">
        <v>2673100</v>
      </c>
      <c r="G788" s="3">
        <v>42409300</v>
      </c>
      <c r="H788" s="3">
        <v>39736200</v>
      </c>
    </row>
    <row r="789" spans="1:9" x14ac:dyDescent="0.35">
      <c r="A789" t="str">
        <f t="shared" si="16"/>
        <v>14292</v>
      </c>
      <c r="B789" t="s">
        <v>36</v>
      </c>
      <c r="C789" t="s">
        <v>378</v>
      </c>
      <c r="D789" s="5" t="str">
        <f>"010"</f>
        <v>010</v>
      </c>
      <c r="E789" s="5">
        <v>2025</v>
      </c>
      <c r="F789" s="3">
        <v>1160400</v>
      </c>
      <c r="G789" s="3">
        <v>1252300</v>
      </c>
      <c r="H789" s="3">
        <v>91900</v>
      </c>
    </row>
    <row r="790" spans="1:9" x14ac:dyDescent="0.35">
      <c r="A790" t="str">
        <f t="shared" si="16"/>
        <v>14292</v>
      </c>
      <c r="B790" t="s">
        <v>36</v>
      </c>
      <c r="C790" t="s">
        <v>378</v>
      </c>
      <c r="D790" s="5" t="s">
        <v>11</v>
      </c>
      <c r="E790" s="5" t="s">
        <v>12</v>
      </c>
      <c r="F790" s="3" t="s">
        <v>13</v>
      </c>
      <c r="G790" s="3" t="s">
        <v>13</v>
      </c>
      <c r="H790" s="3" t="s">
        <v>13</v>
      </c>
      <c r="I790" s="3">
        <v>414871700</v>
      </c>
    </row>
    <row r="791" spans="1:9" x14ac:dyDescent="0.35">
      <c r="A791" t="s">
        <v>30</v>
      </c>
      <c r="B791" t="s">
        <v>38</v>
      </c>
      <c r="C791" t="s">
        <v>32</v>
      </c>
      <c r="D791" s="5" t="s">
        <v>11</v>
      </c>
      <c r="E791" s="5" t="s">
        <v>12</v>
      </c>
      <c r="F791" s="3" t="s">
        <v>13</v>
      </c>
      <c r="G791" s="3" t="s">
        <v>13</v>
      </c>
      <c r="H791" s="3" t="s">
        <v>13</v>
      </c>
      <c r="I791" s="3">
        <v>4599280400</v>
      </c>
    </row>
    <row r="792" spans="1:9" x14ac:dyDescent="0.35">
      <c r="A792" t="s">
        <v>30</v>
      </c>
      <c r="B792" t="s">
        <v>39</v>
      </c>
      <c r="C792" t="s">
        <v>379</v>
      </c>
      <c r="D792" s="5" t="s">
        <v>11</v>
      </c>
      <c r="E792" s="5" t="s">
        <v>12</v>
      </c>
      <c r="F792" s="3" t="s">
        <v>13</v>
      </c>
      <c r="G792" s="3" t="s">
        <v>13</v>
      </c>
      <c r="H792" s="3" t="s">
        <v>13</v>
      </c>
      <c r="I792" s="3">
        <v>11930034900</v>
      </c>
    </row>
    <row r="793" spans="1:9" x14ac:dyDescent="0.35">
      <c r="A793" t="str">
        <f>"15002"</f>
        <v>15002</v>
      </c>
      <c r="B793" t="s">
        <v>9</v>
      </c>
      <c r="C793" t="s">
        <v>380</v>
      </c>
      <c r="D793" s="5" t="s">
        <v>11</v>
      </c>
      <c r="E793" s="5" t="s">
        <v>12</v>
      </c>
      <c r="F793" s="3" t="s">
        <v>13</v>
      </c>
      <c r="G793" s="3" t="s">
        <v>13</v>
      </c>
      <c r="H793" s="3" t="s">
        <v>13</v>
      </c>
      <c r="I793" s="3">
        <v>1186345000</v>
      </c>
    </row>
    <row r="794" spans="1:9" x14ac:dyDescent="0.35">
      <c r="A794" t="str">
        <f>"15004"</f>
        <v>15004</v>
      </c>
      <c r="B794" t="s">
        <v>9</v>
      </c>
      <c r="C794" t="s">
        <v>381</v>
      </c>
      <c r="D794" s="5" t="s">
        <v>11</v>
      </c>
      <c r="E794" s="5" t="s">
        <v>12</v>
      </c>
      <c r="F794" s="3" t="s">
        <v>13</v>
      </c>
      <c r="G794" s="3" t="s">
        <v>13</v>
      </c>
      <c r="H794" s="3" t="s">
        <v>13</v>
      </c>
      <c r="I794" s="3">
        <v>168586000</v>
      </c>
    </row>
    <row r="795" spans="1:9" x14ac:dyDescent="0.35">
      <c r="A795" t="str">
        <f>"15006"</f>
        <v>15006</v>
      </c>
      <c r="B795" t="s">
        <v>9</v>
      </c>
      <c r="C795" t="s">
        <v>382</v>
      </c>
      <c r="D795" s="5" t="s">
        <v>11</v>
      </c>
      <c r="E795" s="5" t="s">
        <v>12</v>
      </c>
      <c r="F795" s="3" t="s">
        <v>13</v>
      </c>
      <c r="G795" s="3" t="s">
        <v>13</v>
      </c>
      <c r="H795" s="3" t="s">
        <v>13</v>
      </c>
      <c r="I795" s="3">
        <v>138376300</v>
      </c>
    </row>
    <row r="796" spans="1:9" x14ac:dyDescent="0.35">
      <c r="A796" t="str">
        <f>"15008"</f>
        <v>15008</v>
      </c>
      <c r="B796" t="s">
        <v>9</v>
      </c>
      <c r="C796" t="s">
        <v>383</v>
      </c>
      <c r="D796" s="5" t="s">
        <v>11</v>
      </c>
      <c r="E796" s="5" t="s">
        <v>12</v>
      </c>
      <c r="F796" s="3" t="s">
        <v>13</v>
      </c>
      <c r="G796" s="3" t="s">
        <v>13</v>
      </c>
      <c r="H796" s="3" t="s">
        <v>13</v>
      </c>
      <c r="I796" s="3">
        <v>1377653400</v>
      </c>
    </row>
    <row r="797" spans="1:9" x14ac:dyDescent="0.35">
      <c r="A797" t="str">
        <f>"15010"</f>
        <v>15010</v>
      </c>
      <c r="B797" t="s">
        <v>9</v>
      </c>
      <c r="C797" t="s">
        <v>384</v>
      </c>
      <c r="D797" s="5" t="s">
        <v>11</v>
      </c>
      <c r="E797" s="5" t="s">
        <v>12</v>
      </c>
      <c r="F797" s="3" t="s">
        <v>13</v>
      </c>
      <c r="G797" s="3" t="s">
        <v>13</v>
      </c>
      <c r="H797" s="3" t="s">
        <v>13</v>
      </c>
      <c r="I797" s="3">
        <v>166197500</v>
      </c>
    </row>
    <row r="798" spans="1:9" x14ac:dyDescent="0.35">
      <c r="A798" t="str">
        <f>"15012"</f>
        <v>15012</v>
      </c>
      <c r="B798" t="s">
        <v>9</v>
      </c>
      <c r="C798" t="s">
        <v>385</v>
      </c>
      <c r="D798" s="5" t="s">
        <v>11</v>
      </c>
      <c r="E798" s="5" t="s">
        <v>12</v>
      </c>
      <c r="F798" s="3" t="s">
        <v>13</v>
      </c>
      <c r="G798" s="3" t="s">
        <v>13</v>
      </c>
      <c r="H798" s="3" t="s">
        <v>13</v>
      </c>
      <c r="I798" s="3">
        <v>555699900</v>
      </c>
    </row>
    <row r="799" spans="1:9" x14ac:dyDescent="0.35">
      <c r="A799" t="str">
        <f>"15014"</f>
        <v>15014</v>
      </c>
      <c r="B799" t="s">
        <v>9</v>
      </c>
      <c r="C799" t="s">
        <v>386</v>
      </c>
      <c r="D799" s="5" t="str">
        <f>"001A"</f>
        <v>001A</v>
      </c>
      <c r="E799" s="5">
        <v>2022</v>
      </c>
      <c r="F799" s="3">
        <v>54144800</v>
      </c>
      <c r="G799" s="3">
        <v>94879800</v>
      </c>
      <c r="H799" s="3">
        <v>40735000</v>
      </c>
    </row>
    <row r="800" spans="1:9" x14ac:dyDescent="0.35">
      <c r="A800" t="str">
        <f>"15014"</f>
        <v>15014</v>
      </c>
      <c r="B800" t="s">
        <v>9</v>
      </c>
      <c r="C800" t="s">
        <v>386</v>
      </c>
      <c r="D800" s="5" t="s">
        <v>11</v>
      </c>
      <c r="E800" s="5" t="s">
        <v>12</v>
      </c>
      <c r="F800" s="3" t="s">
        <v>13</v>
      </c>
      <c r="G800" s="3" t="s">
        <v>13</v>
      </c>
      <c r="H800" s="3" t="s">
        <v>13</v>
      </c>
      <c r="I800" s="3">
        <v>1646962700</v>
      </c>
    </row>
    <row r="801" spans="1:9" x14ac:dyDescent="0.35">
      <c r="A801" t="str">
        <f>"15016"</f>
        <v>15016</v>
      </c>
      <c r="B801" t="s">
        <v>9</v>
      </c>
      <c r="C801" t="s">
        <v>387</v>
      </c>
      <c r="D801" s="5" t="s">
        <v>11</v>
      </c>
      <c r="E801" s="5" t="s">
        <v>12</v>
      </c>
      <c r="F801" s="3" t="s">
        <v>13</v>
      </c>
      <c r="G801" s="3" t="s">
        <v>13</v>
      </c>
      <c r="H801" s="3" t="s">
        <v>13</v>
      </c>
      <c r="I801" s="3">
        <v>673111500</v>
      </c>
    </row>
    <row r="802" spans="1:9" x14ac:dyDescent="0.35">
      <c r="A802" t="str">
        <f>"15018"</f>
        <v>15018</v>
      </c>
      <c r="B802" t="s">
        <v>9</v>
      </c>
      <c r="C802" t="s">
        <v>388</v>
      </c>
      <c r="D802" s="5" t="s">
        <v>11</v>
      </c>
      <c r="E802" s="5" t="s">
        <v>12</v>
      </c>
      <c r="F802" s="3" t="s">
        <v>13</v>
      </c>
      <c r="G802" s="3" t="s">
        <v>13</v>
      </c>
      <c r="H802" s="3" t="s">
        <v>13</v>
      </c>
      <c r="I802" s="3">
        <v>2193328100</v>
      </c>
    </row>
    <row r="803" spans="1:9" x14ac:dyDescent="0.35">
      <c r="A803" t="str">
        <f>"15020"</f>
        <v>15020</v>
      </c>
      <c r="B803" t="s">
        <v>9</v>
      </c>
      <c r="C803" t="s">
        <v>389</v>
      </c>
      <c r="D803" s="5" t="s">
        <v>11</v>
      </c>
      <c r="E803" s="5" t="s">
        <v>12</v>
      </c>
      <c r="F803" s="3" t="s">
        <v>13</v>
      </c>
      <c r="G803" s="3" t="s">
        <v>13</v>
      </c>
      <c r="H803" s="3" t="s">
        <v>13</v>
      </c>
      <c r="I803" s="3">
        <v>829199000</v>
      </c>
    </row>
    <row r="804" spans="1:9" x14ac:dyDescent="0.35">
      <c r="A804" t="str">
        <f>"15022"</f>
        <v>15022</v>
      </c>
      <c r="B804" t="s">
        <v>9</v>
      </c>
      <c r="C804" t="s">
        <v>390</v>
      </c>
      <c r="D804" s="5" t="s">
        <v>11</v>
      </c>
      <c r="E804" s="5" t="s">
        <v>12</v>
      </c>
      <c r="F804" s="3" t="s">
        <v>13</v>
      </c>
      <c r="G804" s="3" t="s">
        <v>13</v>
      </c>
      <c r="H804" s="3" t="s">
        <v>13</v>
      </c>
      <c r="I804" s="3">
        <v>1630044000</v>
      </c>
    </row>
    <row r="805" spans="1:9" x14ac:dyDescent="0.35">
      <c r="A805" t="str">
        <f>"15024"</f>
        <v>15024</v>
      </c>
      <c r="B805" t="s">
        <v>9</v>
      </c>
      <c r="C805" t="s">
        <v>391</v>
      </c>
      <c r="D805" s="5" t="s">
        <v>11</v>
      </c>
      <c r="E805" s="5" t="s">
        <v>12</v>
      </c>
      <c r="F805" s="3" t="s">
        <v>13</v>
      </c>
      <c r="G805" s="3" t="s">
        <v>13</v>
      </c>
      <c r="H805" s="3" t="s">
        <v>13</v>
      </c>
      <c r="I805" s="3">
        <v>408849000</v>
      </c>
    </row>
    <row r="806" spans="1:9" x14ac:dyDescent="0.35">
      <c r="A806" t="str">
        <f>"15026"</f>
        <v>15026</v>
      </c>
      <c r="B806" t="s">
        <v>9</v>
      </c>
      <c r="C806" t="s">
        <v>164</v>
      </c>
      <c r="D806" s="5" t="s">
        <v>11</v>
      </c>
      <c r="E806" s="5" t="s">
        <v>12</v>
      </c>
      <c r="F806" s="3" t="s">
        <v>13</v>
      </c>
      <c r="G806" s="3" t="s">
        <v>13</v>
      </c>
      <c r="H806" s="3" t="s">
        <v>13</v>
      </c>
      <c r="I806" s="3">
        <v>340021400</v>
      </c>
    </row>
    <row r="807" spans="1:9" x14ac:dyDescent="0.35">
      <c r="A807" t="str">
        <f>"15028"</f>
        <v>15028</v>
      </c>
      <c r="B807" t="s">
        <v>9</v>
      </c>
      <c r="C807" t="s">
        <v>392</v>
      </c>
      <c r="D807" s="5" t="s">
        <v>11</v>
      </c>
      <c r="E807" s="5" t="s">
        <v>12</v>
      </c>
      <c r="F807" s="3" t="s">
        <v>13</v>
      </c>
      <c r="G807" s="3" t="s">
        <v>13</v>
      </c>
      <c r="H807" s="3" t="s">
        <v>13</v>
      </c>
      <c r="I807" s="3">
        <v>595117700</v>
      </c>
    </row>
    <row r="808" spans="1:9" x14ac:dyDescent="0.35">
      <c r="A808" t="s">
        <v>30</v>
      </c>
      <c r="B808" t="s">
        <v>31</v>
      </c>
      <c r="C808" t="s">
        <v>32</v>
      </c>
      <c r="D808" s="5" t="s">
        <v>11</v>
      </c>
      <c r="E808" s="5" t="s">
        <v>12</v>
      </c>
      <c r="F808" s="3" t="s">
        <v>13</v>
      </c>
      <c r="G808" s="3" t="s">
        <v>13</v>
      </c>
      <c r="H808" s="3" t="s">
        <v>13</v>
      </c>
      <c r="I808" s="3">
        <v>11909491500</v>
      </c>
    </row>
    <row r="809" spans="1:9" x14ac:dyDescent="0.35">
      <c r="A809" t="str">
        <f>"15118"</f>
        <v>15118</v>
      </c>
      <c r="B809" t="s">
        <v>33</v>
      </c>
      <c r="C809" t="s">
        <v>383</v>
      </c>
      <c r="D809" s="5" t="s">
        <v>11</v>
      </c>
      <c r="E809" s="5" t="s">
        <v>12</v>
      </c>
      <c r="F809" s="3" t="s">
        <v>13</v>
      </c>
      <c r="G809" s="3" t="s">
        <v>13</v>
      </c>
      <c r="H809" s="3" t="s">
        <v>13</v>
      </c>
      <c r="I809" s="3">
        <v>889087800</v>
      </c>
    </row>
    <row r="810" spans="1:9" x14ac:dyDescent="0.35">
      <c r="A810" t="str">
        <f>"15121"</f>
        <v>15121</v>
      </c>
      <c r="B810" t="s">
        <v>33</v>
      </c>
      <c r="C810" t="s">
        <v>393</v>
      </c>
      <c r="D810" s="5" t="s">
        <v>11</v>
      </c>
      <c r="E810" s="5" t="s">
        <v>12</v>
      </c>
      <c r="F810" s="3" t="s">
        <v>13</v>
      </c>
      <c r="G810" s="3" t="s">
        <v>13</v>
      </c>
      <c r="H810" s="3" t="s">
        <v>13</v>
      </c>
      <c r="I810" s="3">
        <v>704651400</v>
      </c>
    </row>
    <row r="811" spans="1:9" x14ac:dyDescent="0.35">
      <c r="A811" t="str">
        <f>"15127"</f>
        <v>15127</v>
      </c>
      <c r="B811" t="s">
        <v>33</v>
      </c>
      <c r="C811" t="s">
        <v>384</v>
      </c>
      <c r="D811" s="5" t="s">
        <v>11</v>
      </c>
      <c r="E811" s="5" t="s">
        <v>12</v>
      </c>
      <c r="F811" s="3" t="s">
        <v>13</v>
      </c>
      <c r="G811" s="3" t="s">
        <v>13</v>
      </c>
      <c r="H811" s="3" t="s">
        <v>13</v>
      </c>
      <c r="I811" s="3">
        <v>52864600</v>
      </c>
    </row>
    <row r="812" spans="1:9" x14ac:dyDescent="0.35">
      <c r="A812" t="str">
        <f>"15181"</f>
        <v>15181</v>
      </c>
      <c r="B812" t="s">
        <v>33</v>
      </c>
      <c r="C812" t="s">
        <v>394</v>
      </c>
      <c r="D812" s="5" t="str">
        <f>"001"</f>
        <v>001</v>
      </c>
      <c r="E812" s="5">
        <v>2008</v>
      </c>
      <c r="F812" s="3">
        <v>42846400</v>
      </c>
      <c r="G812" s="3">
        <v>192406400</v>
      </c>
      <c r="H812" s="3">
        <v>149560000</v>
      </c>
    </row>
    <row r="813" spans="1:9" x14ac:dyDescent="0.35">
      <c r="A813" t="str">
        <f>"15181"</f>
        <v>15181</v>
      </c>
      <c r="B813" t="s">
        <v>33</v>
      </c>
      <c r="C813" t="s">
        <v>394</v>
      </c>
      <c r="D813" s="5" t="str">
        <f>"002"</f>
        <v>002</v>
      </c>
      <c r="E813" s="5">
        <v>2018</v>
      </c>
      <c r="F813" s="3">
        <v>9301500</v>
      </c>
      <c r="G813" s="3">
        <v>22176100</v>
      </c>
      <c r="H813" s="3">
        <v>12874600</v>
      </c>
    </row>
    <row r="814" spans="1:9" x14ac:dyDescent="0.35">
      <c r="A814" t="str">
        <f>"15181"</f>
        <v>15181</v>
      </c>
      <c r="B814" t="s">
        <v>33</v>
      </c>
      <c r="C814" t="s">
        <v>394</v>
      </c>
      <c r="D814" s="5" t="s">
        <v>11</v>
      </c>
      <c r="E814" s="5" t="s">
        <v>12</v>
      </c>
      <c r="F814" s="3" t="s">
        <v>13</v>
      </c>
      <c r="G814" s="3" t="s">
        <v>13</v>
      </c>
      <c r="H814" s="3" t="s">
        <v>13</v>
      </c>
      <c r="I814" s="3">
        <v>861284000</v>
      </c>
    </row>
    <row r="815" spans="1:9" x14ac:dyDescent="0.35">
      <c r="A815" t="s">
        <v>30</v>
      </c>
      <c r="B815" t="s">
        <v>35</v>
      </c>
      <c r="C815" t="s">
        <v>32</v>
      </c>
      <c r="D815" s="5" t="s">
        <v>11</v>
      </c>
      <c r="E815" s="5" t="s">
        <v>12</v>
      </c>
      <c r="F815" s="3" t="s">
        <v>13</v>
      </c>
      <c r="G815" s="3" t="s">
        <v>13</v>
      </c>
      <c r="H815" s="3" t="s">
        <v>13</v>
      </c>
      <c r="I815" s="3">
        <v>2507887800</v>
      </c>
    </row>
    <row r="816" spans="1:9" x14ac:dyDescent="0.35">
      <c r="A816" t="str">
        <f t="shared" ref="A816:A826" si="17">"15281"</f>
        <v>15281</v>
      </c>
      <c r="B816" t="s">
        <v>36</v>
      </c>
      <c r="C816" t="s">
        <v>391</v>
      </c>
      <c r="D816" s="5" t="str">
        <f>"002"</f>
        <v>002</v>
      </c>
      <c r="E816" s="5">
        <v>1994</v>
      </c>
      <c r="F816" s="3">
        <v>14128800</v>
      </c>
      <c r="G816" s="3">
        <v>120631000</v>
      </c>
      <c r="H816" s="3">
        <v>106502200</v>
      </c>
    </row>
    <row r="817" spans="1:9" x14ac:dyDescent="0.35">
      <c r="A817" t="str">
        <f t="shared" si="17"/>
        <v>15281</v>
      </c>
      <c r="B817" t="s">
        <v>36</v>
      </c>
      <c r="C817" t="s">
        <v>391</v>
      </c>
      <c r="D817" s="5" t="str">
        <f>"003"</f>
        <v>003</v>
      </c>
      <c r="E817" s="5">
        <v>2008</v>
      </c>
      <c r="F817" s="3">
        <v>820400</v>
      </c>
      <c r="G817" s="3">
        <v>5965900</v>
      </c>
      <c r="H817" s="3">
        <v>5145500</v>
      </c>
    </row>
    <row r="818" spans="1:9" x14ac:dyDescent="0.35">
      <c r="A818" t="str">
        <f t="shared" si="17"/>
        <v>15281</v>
      </c>
      <c r="B818" t="s">
        <v>36</v>
      </c>
      <c r="C818" t="s">
        <v>391</v>
      </c>
      <c r="D818" s="5" t="str">
        <f>"004"</f>
        <v>004</v>
      </c>
      <c r="E818" s="5">
        <v>2013</v>
      </c>
      <c r="F818" s="3">
        <v>407500</v>
      </c>
      <c r="G818" s="3">
        <v>2727900</v>
      </c>
      <c r="H818" s="3">
        <v>2320400</v>
      </c>
    </row>
    <row r="819" spans="1:9" x14ac:dyDescent="0.35">
      <c r="A819" t="str">
        <f t="shared" si="17"/>
        <v>15281</v>
      </c>
      <c r="B819" t="s">
        <v>36</v>
      </c>
      <c r="C819" t="s">
        <v>391</v>
      </c>
      <c r="D819" s="5" t="str">
        <f>"005"</f>
        <v>005</v>
      </c>
      <c r="E819" s="5">
        <v>2021</v>
      </c>
      <c r="F819" s="3">
        <v>0</v>
      </c>
      <c r="G819" s="3">
        <v>6380200</v>
      </c>
      <c r="H819" s="3">
        <v>6380200</v>
      </c>
    </row>
    <row r="820" spans="1:9" x14ac:dyDescent="0.35">
      <c r="A820" t="str">
        <f t="shared" si="17"/>
        <v>15281</v>
      </c>
      <c r="B820" t="s">
        <v>36</v>
      </c>
      <c r="C820" t="s">
        <v>391</v>
      </c>
      <c r="D820" s="5" t="str">
        <f>"006"</f>
        <v>006</v>
      </c>
      <c r="E820" s="5">
        <v>2022</v>
      </c>
      <c r="F820" s="3">
        <v>11938800</v>
      </c>
      <c r="G820" s="3">
        <v>28794200</v>
      </c>
      <c r="H820" s="3">
        <v>16855400</v>
      </c>
    </row>
    <row r="821" spans="1:9" x14ac:dyDescent="0.35">
      <c r="A821" t="str">
        <f t="shared" si="17"/>
        <v>15281</v>
      </c>
      <c r="B821" t="s">
        <v>36</v>
      </c>
      <c r="C821" t="s">
        <v>391</v>
      </c>
      <c r="D821" s="5" t="str">
        <f>"007"</f>
        <v>007</v>
      </c>
      <c r="E821" s="5">
        <v>2022</v>
      </c>
      <c r="F821" s="3">
        <v>174500</v>
      </c>
      <c r="G821" s="3">
        <v>9379700</v>
      </c>
      <c r="H821" s="3">
        <v>9205200</v>
      </c>
    </row>
    <row r="822" spans="1:9" x14ac:dyDescent="0.35">
      <c r="A822" t="str">
        <f t="shared" si="17"/>
        <v>15281</v>
      </c>
      <c r="B822" t="s">
        <v>36</v>
      </c>
      <c r="C822" t="s">
        <v>391</v>
      </c>
      <c r="D822" s="5" t="str">
        <f>"008"</f>
        <v>008</v>
      </c>
      <c r="E822" s="5">
        <v>2023</v>
      </c>
      <c r="F822" s="3">
        <v>1608100</v>
      </c>
      <c r="G822" s="3">
        <v>4104800</v>
      </c>
      <c r="H822" s="3">
        <v>2496700</v>
      </c>
    </row>
    <row r="823" spans="1:9" x14ac:dyDescent="0.35">
      <c r="A823" t="str">
        <f t="shared" si="17"/>
        <v>15281</v>
      </c>
      <c r="B823" t="s">
        <v>36</v>
      </c>
      <c r="C823" t="s">
        <v>391</v>
      </c>
      <c r="D823" s="5" t="str">
        <f>"009"</f>
        <v>009</v>
      </c>
      <c r="E823" s="5">
        <v>2024</v>
      </c>
      <c r="F823" s="3">
        <v>222800</v>
      </c>
      <c r="G823" s="3">
        <v>1991000</v>
      </c>
      <c r="H823" s="3">
        <v>1768200</v>
      </c>
    </row>
    <row r="824" spans="1:9" x14ac:dyDescent="0.35">
      <c r="A824" t="str">
        <f t="shared" si="17"/>
        <v>15281</v>
      </c>
      <c r="B824" t="s">
        <v>36</v>
      </c>
      <c r="C824" t="s">
        <v>391</v>
      </c>
      <c r="D824" s="5" t="str">
        <f>"010"</f>
        <v>010</v>
      </c>
      <c r="E824" s="5">
        <v>2023</v>
      </c>
      <c r="F824" s="3">
        <v>2109800</v>
      </c>
      <c r="G824" s="3">
        <v>16496000</v>
      </c>
      <c r="H824" s="3">
        <v>14386200</v>
      </c>
    </row>
    <row r="825" spans="1:9" x14ac:dyDescent="0.35">
      <c r="A825" t="str">
        <f t="shared" si="17"/>
        <v>15281</v>
      </c>
      <c r="B825" t="s">
        <v>36</v>
      </c>
      <c r="C825" t="s">
        <v>391</v>
      </c>
      <c r="D825" s="5" t="str">
        <f>"011"</f>
        <v>011</v>
      </c>
      <c r="E825" s="5">
        <v>2024</v>
      </c>
      <c r="F825" s="3">
        <v>452900</v>
      </c>
      <c r="G825" s="3">
        <v>9279900</v>
      </c>
      <c r="H825" s="3">
        <v>8827000</v>
      </c>
    </row>
    <row r="826" spans="1:9" x14ac:dyDescent="0.35">
      <c r="A826" t="str">
        <f t="shared" si="17"/>
        <v>15281</v>
      </c>
      <c r="B826" t="s">
        <v>36</v>
      </c>
      <c r="C826" t="s">
        <v>391</v>
      </c>
      <c r="D826" s="5" t="s">
        <v>11</v>
      </c>
      <c r="E826" s="5" t="s">
        <v>12</v>
      </c>
      <c r="F826" s="3" t="s">
        <v>13</v>
      </c>
      <c r="G826" s="3" t="s">
        <v>13</v>
      </c>
      <c r="H826" s="3" t="s">
        <v>13</v>
      </c>
      <c r="I826" s="3">
        <v>1741431600</v>
      </c>
    </row>
    <row r="827" spans="1:9" x14ac:dyDescent="0.35">
      <c r="A827" t="s">
        <v>30</v>
      </c>
      <c r="B827" t="s">
        <v>38</v>
      </c>
      <c r="C827" t="s">
        <v>32</v>
      </c>
      <c r="D827" s="5" t="s">
        <v>11</v>
      </c>
      <c r="E827" s="5" t="s">
        <v>12</v>
      </c>
      <c r="F827" s="3" t="s">
        <v>13</v>
      </c>
      <c r="G827" s="3" t="s">
        <v>13</v>
      </c>
      <c r="H827" s="3" t="s">
        <v>13</v>
      </c>
      <c r="I827" s="3">
        <v>1741431600</v>
      </c>
    </row>
    <row r="828" spans="1:9" x14ac:dyDescent="0.35">
      <c r="A828" t="s">
        <v>30</v>
      </c>
      <c r="B828" t="s">
        <v>39</v>
      </c>
      <c r="C828" t="s">
        <v>395</v>
      </c>
      <c r="D828" s="5" t="s">
        <v>11</v>
      </c>
      <c r="E828" s="5" t="s">
        <v>12</v>
      </c>
      <c r="F828" s="3" t="s">
        <v>13</v>
      </c>
      <c r="G828" s="3" t="s">
        <v>13</v>
      </c>
      <c r="H828" s="3" t="s">
        <v>13</v>
      </c>
      <c r="I828" s="3">
        <v>16158810900</v>
      </c>
    </row>
    <row r="829" spans="1:9" x14ac:dyDescent="0.35">
      <c r="A829" t="str">
        <f>"16002"</f>
        <v>16002</v>
      </c>
      <c r="B829" t="s">
        <v>9</v>
      </c>
      <c r="C829" t="s">
        <v>396</v>
      </c>
      <c r="D829" s="5" t="s">
        <v>11</v>
      </c>
      <c r="E829" s="5" t="s">
        <v>12</v>
      </c>
      <c r="F829" s="3" t="s">
        <v>13</v>
      </c>
      <c r="G829" s="3" t="s">
        <v>13</v>
      </c>
      <c r="H829" s="3" t="s">
        <v>13</v>
      </c>
      <c r="I829" s="3">
        <v>158620300</v>
      </c>
    </row>
    <row r="830" spans="1:9" x14ac:dyDescent="0.35">
      <c r="A830" t="str">
        <f>"16004"</f>
        <v>16004</v>
      </c>
      <c r="B830" t="s">
        <v>9</v>
      </c>
      <c r="C830" t="s">
        <v>397</v>
      </c>
      <c r="D830" s="5" t="s">
        <v>11</v>
      </c>
      <c r="E830" s="5" t="s">
        <v>12</v>
      </c>
      <c r="F830" s="3" t="s">
        <v>13</v>
      </c>
      <c r="G830" s="3" t="s">
        <v>13</v>
      </c>
      <c r="H830" s="3" t="s">
        <v>13</v>
      </c>
      <c r="I830" s="3">
        <v>124068500</v>
      </c>
    </row>
    <row r="831" spans="1:9" x14ac:dyDescent="0.35">
      <c r="A831" t="str">
        <f>"16006"</f>
        <v>16006</v>
      </c>
      <c r="B831" t="s">
        <v>9</v>
      </c>
      <c r="C831" t="s">
        <v>398</v>
      </c>
      <c r="D831" s="5" t="s">
        <v>11</v>
      </c>
      <c r="E831" s="5" t="s">
        <v>12</v>
      </c>
      <c r="F831" s="3" t="s">
        <v>13</v>
      </c>
      <c r="G831" s="3" t="s">
        <v>13</v>
      </c>
      <c r="H831" s="3" t="s">
        <v>13</v>
      </c>
      <c r="I831" s="3">
        <v>120717300</v>
      </c>
    </row>
    <row r="832" spans="1:9" x14ac:dyDescent="0.35">
      <c r="A832" t="str">
        <f>"16008"</f>
        <v>16008</v>
      </c>
      <c r="B832" t="s">
        <v>9</v>
      </c>
      <c r="C832" t="s">
        <v>399</v>
      </c>
      <c r="D832" s="5" t="s">
        <v>11</v>
      </c>
      <c r="E832" s="5" t="s">
        <v>12</v>
      </c>
      <c r="F832" s="3" t="s">
        <v>13</v>
      </c>
      <c r="G832" s="3" t="s">
        <v>13</v>
      </c>
      <c r="H832" s="3" t="s">
        <v>13</v>
      </c>
      <c r="I832" s="3">
        <v>46636200</v>
      </c>
    </row>
    <row r="833" spans="1:9" x14ac:dyDescent="0.35">
      <c r="A833" t="str">
        <f>"16010"</f>
        <v>16010</v>
      </c>
      <c r="B833" t="s">
        <v>9</v>
      </c>
      <c r="C833" t="s">
        <v>400</v>
      </c>
      <c r="D833" s="5" t="s">
        <v>11</v>
      </c>
      <c r="E833" s="5" t="s">
        <v>12</v>
      </c>
      <c r="F833" s="3" t="s">
        <v>13</v>
      </c>
      <c r="G833" s="3" t="s">
        <v>13</v>
      </c>
      <c r="H833" s="3" t="s">
        <v>13</v>
      </c>
      <c r="I833" s="3">
        <v>81460300</v>
      </c>
    </row>
    <row r="834" spans="1:9" x14ac:dyDescent="0.35">
      <c r="A834" t="str">
        <f>"16012"</f>
        <v>16012</v>
      </c>
      <c r="B834" t="s">
        <v>9</v>
      </c>
      <c r="C834" t="s">
        <v>44</v>
      </c>
      <c r="D834" s="5" t="s">
        <v>11</v>
      </c>
      <c r="E834" s="5" t="s">
        <v>12</v>
      </c>
      <c r="F834" s="3" t="s">
        <v>13</v>
      </c>
      <c r="G834" s="3" t="s">
        <v>13</v>
      </c>
      <c r="H834" s="3" t="s">
        <v>13</v>
      </c>
      <c r="I834" s="3">
        <v>226894500</v>
      </c>
    </row>
    <row r="835" spans="1:9" x14ac:dyDescent="0.35">
      <c r="A835" t="str">
        <f>"16014"</f>
        <v>16014</v>
      </c>
      <c r="B835" t="s">
        <v>9</v>
      </c>
      <c r="C835" t="s">
        <v>401</v>
      </c>
      <c r="D835" s="5" t="s">
        <v>11</v>
      </c>
      <c r="E835" s="5" t="s">
        <v>12</v>
      </c>
      <c r="F835" s="3" t="s">
        <v>13</v>
      </c>
      <c r="G835" s="3" t="s">
        <v>13</v>
      </c>
      <c r="H835" s="3" t="s">
        <v>13</v>
      </c>
      <c r="I835" s="3">
        <v>143186600</v>
      </c>
    </row>
    <row r="836" spans="1:9" x14ac:dyDescent="0.35">
      <c r="A836" t="str">
        <f>"16016"</f>
        <v>16016</v>
      </c>
      <c r="B836" t="s">
        <v>9</v>
      </c>
      <c r="C836" t="s">
        <v>402</v>
      </c>
      <c r="D836" s="5" t="s">
        <v>11</v>
      </c>
      <c r="E836" s="5" t="s">
        <v>12</v>
      </c>
      <c r="F836" s="3" t="s">
        <v>13</v>
      </c>
      <c r="G836" s="3" t="s">
        <v>13</v>
      </c>
      <c r="H836" s="3" t="s">
        <v>13</v>
      </c>
      <c r="I836" s="3">
        <v>133816300</v>
      </c>
    </row>
    <row r="837" spans="1:9" x14ac:dyDescent="0.35">
      <c r="A837" t="str">
        <f>"16018"</f>
        <v>16018</v>
      </c>
      <c r="B837" t="s">
        <v>9</v>
      </c>
      <c r="C837" t="s">
        <v>403</v>
      </c>
      <c r="D837" s="5" t="s">
        <v>11</v>
      </c>
      <c r="E837" s="5" t="s">
        <v>12</v>
      </c>
      <c r="F837" s="3" t="s">
        <v>13</v>
      </c>
      <c r="G837" s="3" t="s">
        <v>13</v>
      </c>
      <c r="H837" s="3" t="s">
        <v>13</v>
      </c>
      <c r="I837" s="3">
        <v>121864200</v>
      </c>
    </row>
    <row r="838" spans="1:9" x14ac:dyDescent="0.35">
      <c r="A838" t="str">
        <f>"16020"</f>
        <v>16020</v>
      </c>
      <c r="B838" t="s">
        <v>9</v>
      </c>
      <c r="C838" t="s">
        <v>404</v>
      </c>
      <c r="D838" s="5" t="s">
        <v>11</v>
      </c>
      <c r="E838" s="5" t="s">
        <v>12</v>
      </c>
      <c r="F838" s="3" t="s">
        <v>13</v>
      </c>
      <c r="G838" s="3" t="s">
        <v>13</v>
      </c>
      <c r="H838" s="3" t="s">
        <v>13</v>
      </c>
      <c r="I838" s="3">
        <v>87023500</v>
      </c>
    </row>
    <row r="839" spans="1:9" x14ac:dyDescent="0.35">
      <c r="A839" t="str">
        <f>"16022"</f>
        <v>16022</v>
      </c>
      <c r="B839" t="s">
        <v>9</v>
      </c>
      <c r="C839" t="s">
        <v>157</v>
      </c>
      <c r="D839" s="5" t="s">
        <v>11</v>
      </c>
      <c r="E839" s="5" t="s">
        <v>12</v>
      </c>
      <c r="F839" s="3" t="s">
        <v>13</v>
      </c>
      <c r="G839" s="3" t="s">
        <v>13</v>
      </c>
      <c r="H839" s="3" t="s">
        <v>13</v>
      </c>
      <c r="I839" s="3">
        <v>180862800</v>
      </c>
    </row>
    <row r="840" spans="1:9" x14ac:dyDescent="0.35">
      <c r="A840" t="str">
        <f>"16024"</f>
        <v>16024</v>
      </c>
      <c r="B840" t="s">
        <v>9</v>
      </c>
      <c r="C840" t="s">
        <v>405</v>
      </c>
      <c r="D840" s="5" t="s">
        <v>11</v>
      </c>
      <c r="E840" s="5" t="s">
        <v>12</v>
      </c>
      <c r="F840" s="3" t="s">
        <v>13</v>
      </c>
      <c r="G840" s="3" t="s">
        <v>13</v>
      </c>
      <c r="H840" s="3" t="s">
        <v>13</v>
      </c>
      <c r="I840" s="3">
        <v>163142100</v>
      </c>
    </row>
    <row r="841" spans="1:9" x14ac:dyDescent="0.35">
      <c r="A841" t="str">
        <f>"16026"</f>
        <v>16026</v>
      </c>
      <c r="B841" t="s">
        <v>9</v>
      </c>
      <c r="C841" t="s">
        <v>406</v>
      </c>
      <c r="D841" s="5" t="s">
        <v>11</v>
      </c>
      <c r="E841" s="5" t="s">
        <v>12</v>
      </c>
      <c r="F841" s="3" t="s">
        <v>13</v>
      </c>
      <c r="G841" s="3" t="s">
        <v>13</v>
      </c>
      <c r="H841" s="3" t="s">
        <v>13</v>
      </c>
      <c r="I841" s="3">
        <v>260218900</v>
      </c>
    </row>
    <row r="842" spans="1:9" x14ac:dyDescent="0.35">
      <c r="A842" t="str">
        <f>"16028"</f>
        <v>16028</v>
      </c>
      <c r="B842" t="s">
        <v>9</v>
      </c>
      <c r="C842" t="s">
        <v>407</v>
      </c>
      <c r="D842" s="5" t="s">
        <v>11</v>
      </c>
      <c r="E842" s="5" t="s">
        <v>12</v>
      </c>
      <c r="F842" s="3" t="s">
        <v>13</v>
      </c>
      <c r="G842" s="3" t="s">
        <v>13</v>
      </c>
      <c r="H842" s="3" t="s">
        <v>13</v>
      </c>
      <c r="I842" s="3">
        <v>185606800</v>
      </c>
    </row>
    <row r="843" spans="1:9" x14ac:dyDescent="0.35">
      <c r="A843" t="str">
        <f>"16030"</f>
        <v>16030</v>
      </c>
      <c r="B843" t="s">
        <v>9</v>
      </c>
      <c r="C843" t="s">
        <v>408</v>
      </c>
      <c r="D843" s="5" t="s">
        <v>11</v>
      </c>
      <c r="E843" s="5" t="s">
        <v>12</v>
      </c>
      <c r="F843" s="3" t="s">
        <v>13</v>
      </c>
      <c r="G843" s="3" t="s">
        <v>13</v>
      </c>
      <c r="H843" s="3" t="s">
        <v>13</v>
      </c>
      <c r="I843" s="3">
        <v>357807000</v>
      </c>
    </row>
    <row r="844" spans="1:9" x14ac:dyDescent="0.35">
      <c r="A844" t="str">
        <f>"16032"</f>
        <v>16032</v>
      </c>
      <c r="B844" t="s">
        <v>9</v>
      </c>
      <c r="C844" t="s">
        <v>409</v>
      </c>
      <c r="D844" s="5" t="s">
        <v>11</v>
      </c>
      <c r="E844" s="5" t="s">
        <v>12</v>
      </c>
      <c r="F844" s="3" t="s">
        <v>13</v>
      </c>
      <c r="G844" s="3" t="s">
        <v>13</v>
      </c>
      <c r="H844" s="3" t="s">
        <v>13</v>
      </c>
      <c r="I844" s="3">
        <v>615922000</v>
      </c>
    </row>
    <row r="845" spans="1:9" x14ac:dyDescent="0.35">
      <c r="A845" t="s">
        <v>30</v>
      </c>
      <c r="B845" t="s">
        <v>31</v>
      </c>
      <c r="C845" t="s">
        <v>32</v>
      </c>
      <c r="D845" s="5" t="s">
        <v>11</v>
      </c>
      <c r="E845" s="5" t="s">
        <v>12</v>
      </c>
      <c r="F845" s="3" t="s">
        <v>13</v>
      </c>
      <c r="G845" s="3" t="s">
        <v>13</v>
      </c>
      <c r="H845" s="3" t="s">
        <v>13</v>
      </c>
      <c r="I845" s="3">
        <v>3007847300</v>
      </c>
    </row>
    <row r="846" spans="1:9" x14ac:dyDescent="0.35">
      <c r="A846" t="str">
        <f>"16146"</f>
        <v>16146</v>
      </c>
      <c r="B846" t="s">
        <v>33</v>
      </c>
      <c r="C846" t="s">
        <v>410</v>
      </c>
      <c r="D846" s="5" t="s">
        <v>11</v>
      </c>
      <c r="E846" s="5" t="s">
        <v>12</v>
      </c>
      <c r="F846" s="3" t="s">
        <v>13</v>
      </c>
      <c r="G846" s="3" t="s">
        <v>13</v>
      </c>
      <c r="H846" s="3" t="s">
        <v>13</v>
      </c>
      <c r="I846" s="3">
        <v>358484200</v>
      </c>
    </row>
    <row r="847" spans="1:9" x14ac:dyDescent="0.35">
      <c r="A847" t="str">
        <f>"16165"</f>
        <v>16165</v>
      </c>
      <c r="B847" t="s">
        <v>33</v>
      </c>
      <c r="C847" t="s">
        <v>411</v>
      </c>
      <c r="D847" s="5" t="s">
        <v>11</v>
      </c>
      <c r="E847" s="5" t="s">
        <v>12</v>
      </c>
      <c r="F847" s="3" t="s">
        <v>13</v>
      </c>
      <c r="G847" s="3" t="s">
        <v>13</v>
      </c>
      <c r="H847" s="3" t="s">
        <v>13</v>
      </c>
      <c r="I847" s="3">
        <v>49865900</v>
      </c>
    </row>
    <row r="848" spans="1:9" x14ac:dyDescent="0.35">
      <c r="A848" t="str">
        <f>"16171"</f>
        <v>16171</v>
      </c>
      <c r="B848" t="s">
        <v>33</v>
      </c>
      <c r="C848" t="s">
        <v>412</v>
      </c>
      <c r="D848" s="5" t="s">
        <v>11</v>
      </c>
      <c r="E848" s="5" t="s">
        <v>12</v>
      </c>
      <c r="F848" s="3" t="s">
        <v>13</v>
      </c>
      <c r="G848" s="3" t="s">
        <v>13</v>
      </c>
      <c r="H848" s="3" t="s">
        <v>13</v>
      </c>
      <c r="I848" s="3">
        <v>99769800</v>
      </c>
    </row>
    <row r="849" spans="1:9" x14ac:dyDescent="0.35">
      <c r="A849" t="str">
        <f>"16181"</f>
        <v>16181</v>
      </c>
      <c r="B849" t="s">
        <v>33</v>
      </c>
      <c r="C849" t="s">
        <v>406</v>
      </c>
      <c r="D849" s="5" t="str">
        <f>"003"</f>
        <v>003</v>
      </c>
      <c r="E849" s="5">
        <v>2011</v>
      </c>
      <c r="F849" s="3">
        <v>53900</v>
      </c>
      <c r="G849" s="3">
        <v>2474600</v>
      </c>
      <c r="H849" s="3">
        <v>2420700</v>
      </c>
    </row>
    <row r="850" spans="1:9" x14ac:dyDescent="0.35">
      <c r="A850" t="str">
        <f>"16181"</f>
        <v>16181</v>
      </c>
      <c r="B850" t="s">
        <v>33</v>
      </c>
      <c r="C850" t="s">
        <v>406</v>
      </c>
      <c r="D850" s="5" t="s">
        <v>11</v>
      </c>
      <c r="E850" s="5" t="s">
        <v>12</v>
      </c>
      <c r="F850" s="3" t="s">
        <v>13</v>
      </c>
      <c r="G850" s="3" t="s">
        <v>13</v>
      </c>
      <c r="H850" s="3" t="s">
        <v>13</v>
      </c>
      <c r="I850" s="3">
        <v>113110500</v>
      </c>
    </row>
    <row r="851" spans="1:9" x14ac:dyDescent="0.35">
      <c r="A851" t="str">
        <f>"16182"</f>
        <v>16182</v>
      </c>
      <c r="B851" t="s">
        <v>33</v>
      </c>
      <c r="C851" t="s">
        <v>408</v>
      </c>
      <c r="D851" s="5" t="s">
        <v>11</v>
      </c>
      <c r="E851" s="5" t="s">
        <v>12</v>
      </c>
      <c r="F851" s="3" t="s">
        <v>13</v>
      </c>
      <c r="G851" s="3" t="s">
        <v>13</v>
      </c>
      <c r="H851" s="3" t="s">
        <v>13</v>
      </c>
      <c r="I851" s="3">
        <v>87098400</v>
      </c>
    </row>
    <row r="852" spans="1:9" x14ac:dyDescent="0.35">
      <c r="A852" t="s">
        <v>30</v>
      </c>
      <c r="B852" t="s">
        <v>35</v>
      </c>
      <c r="C852" t="s">
        <v>32</v>
      </c>
      <c r="D852" s="5" t="s">
        <v>11</v>
      </c>
      <c r="E852" s="5" t="s">
        <v>12</v>
      </c>
      <c r="F852" s="3" t="s">
        <v>13</v>
      </c>
      <c r="G852" s="3" t="s">
        <v>13</v>
      </c>
      <c r="H852" s="3" t="s">
        <v>13</v>
      </c>
      <c r="I852" s="3">
        <v>708328800</v>
      </c>
    </row>
    <row r="853" spans="1:9" x14ac:dyDescent="0.35">
      <c r="A853" t="str">
        <f t="shared" ref="A853:A860" si="18">"16281"</f>
        <v>16281</v>
      </c>
      <c r="B853" t="s">
        <v>36</v>
      </c>
      <c r="C853" t="s">
        <v>408</v>
      </c>
      <c r="D853" s="5" t="str">
        <f>"013"</f>
        <v>013</v>
      </c>
      <c r="E853" s="5">
        <v>2014</v>
      </c>
      <c r="F853" s="3">
        <v>2400400</v>
      </c>
      <c r="G853" s="3">
        <v>43285500</v>
      </c>
      <c r="H853" s="3">
        <v>40885100</v>
      </c>
    </row>
    <row r="854" spans="1:9" x14ac:dyDescent="0.35">
      <c r="A854" t="str">
        <f t="shared" si="18"/>
        <v>16281</v>
      </c>
      <c r="B854" t="s">
        <v>36</v>
      </c>
      <c r="C854" t="s">
        <v>408</v>
      </c>
      <c r="D854" s="5" t="str">
        <f>"014"</f>
        <v>014</v>
      </c>
      <c r="E854" s="5">
        <v>2019</v>
      </c>
      <c r="F854" s="3">
        <v>147700</v>
      </c>
      <c r="G854" s="3">
        <v>7785500</v>
      </c>
      <c r="H854" s="3">
        <v>7637800</v>
      </c>
    </row>
    <row r="855" spans="1:9" x14ac:dyDescent="0.35">
      <c r="A855" t="str">
        <f t="shared" si="18"/>
        <v>16281</v>
      </c>
      <c r="B855" t="s">
        <v>36</v>
      </c>
      <c r="C855" t="s">
        <v>408</v>
      </c>
      <c r="D855" s="5" t="str">
        <f>"015"</f>
        <v>015</v>
      </c>
      <c r="E855" s="5">
        <v>2020</v>
      </c>
      <c r="F855" s="3">
        <v>377900</v>
      </c>
      <c r="G855" s="3">
        <v>24326900</v>
      </c>
      <c r="H855" s="3">
        <v>23949000</v>
      </c>
    </row>
    <row r="856" spans="1:9" x14ac:dyDescent="0.35">
      <c r="A856" t="str">
        <f t="shared" si="18"/>
        <v>16281</v>
      </c>
      <c r="B856" t="s">
        <v>36</v>
      </c>
      <c r="C856" t="s">
        <v>408</v>
      </c>
      <c r="D856" s="5" t="str">
        <f>"016"</f>
        <v>016</v>
      </c>
      <c r="E856" s="5">
        <v>2021</v>
      </c>
      <c r="F856" s="3">
        <v>1937600</v>
      </c>
      <c r="G856" s="3">
        <v>8728400</v>
      </c>
      <c r="H856" s="3">
        <v>6790800</v>
      </c>
    </row>
    <row r="857" spans="1:9" x14ac:dyDescent="0.35">
      <c r="A857" t="str">
        <f t="shared" si="18"/>
        <v>16281</v>
      </c>
      <c r="B857" t="s">
        <v>36</v>
      </c>
      <c r="C857" t="s">
        <v>408</v>
      </c>
      <c r="D857" s="5" t="str">
        <f>"017"</f>
        <v>017</v>
      </c>
      <c r="E857" s="5">
        <v>2021</v>
      </c>
      <c r="F857" s="3">
        <v>0</v>
      </c>
      <c r="G857" s="3">
        <v>23441900</v>
      </c>
      <c r="H857" s="3">
        <v>23441900</v>
      </c>
    </row>
    <row r="858" spans="1:9" x14ac:dyDescent="0.35">
      <c r="A858" t="str">
        <f t="shared" si="18"/>
        <v>16281</v>
      </c>
      <c r="B858" t="s">
        <v>36</v>
      </c>
      <c r="C858" t="s">
        <v>408</v>
      </c>
      <c r="D858" s="5" t="str">
        <f>"018"</f>
        <v>018</v>
      </c>
      <c r="E858" s="5">
        <v>2023</v>
      </c>
      <c r="F858" s="3">
        <v>7634800</v>
      </c>
      <c r="G858" s="3">
        <v>11017100</v>
      </c>
      <c r="H858" s="3">
        <v>3382300</v>
      </c>
    </row>
    <row r="859" spans="1:9" x14ac:dyDescent="0.35">
      <c r="A859" t="str">
        <f t="shared" si="18"/>
        <v>16281</v>
      </c>
      <c r="B859" t="s">
        <v>36</v>
      </c>
      <c r="C859" t="s">
        <v>408</v>
      </c>
      <c r="D859" s="5" t="str">
        <f>"019"</f>
        <v>019</v>
      </c>
      <c r="E859" s="5">
        <v>2025</v>
      </c>
      <c r="F859" s="3">
        <v>1370700</v>
      </c>
      <c r="G859" s="3">
        <v>3381500</v>
      </c>
      <c r="H859" s="3">
        <v>2010800</v>
      </c>
    </row>
    <row r="860" spans="1:9" x14ac:dyDescent="0.35">
      <c r="A860" t="str">
        <f t="shared" si="18"/>
        <v>16281</v>
      </c>
      <c r="B860" t="s">
        <v>36</v>
      </c>
      <c r="C860" t="s">
        <v>408</v>
      </c>
      <c r="D860" s="5" t="s">
        <v>11</v>
      </c>
      <c r="E860" s="5" t="s">
        <v>12</v>
      </c>
      <c r="F860" s="3" t="s">
        <v>13</v>
      </c>
      <c r="G860" s="3" t="s">
        <v>13</v>
      </c>
      <c r="H860" s="3" t="s">
        <v>13</v>
      </c>
      <c r="I860" s="3">
        <v>2932512600</v>
      </c>
    </row>
    <row r="861" spans="1:9" x14ac:dyDescent="0.35">
      <c r="A861" t="s">
        <v>30</v>
      </c>
      <c r="B861" t="s">
        <v>38</v>
      </c>
      <c r="C861" t="s">
        <v>32</v>
      </c>
      <c r="D861" s="5" t="s">
        <v>11</v>
      </c>
      <c r="E861" s="5" t="s">
        <v>12</v>
      </c>
      <c r="F861" s="3" t="s">
        <v>13</v>
      </c>
      <c r="G861" s="3" t="s">
        <v>13</v>
      </c>
      <c r="H861" s="3" t="s">
        <v>13</v>
      </c>
      <c r="I861" s="3">
        <v>2932512600</v>
      </c>
    </row>
    <row r="862" spans="1:9" x14ac:dyDescent="0.35">
      <c r="A862" t="s">
        <v>30</v>
      </c>
      <c r="B862" t="s">
        <v>39</v>
      </c>
      <c r="C862" t="s">
        <v>413</v>
      </c>
      <c r="D862" s="5" t="s">
        <v>11</v>
      </c>
      <c r="E862" s="5" t="s">
        <v>12</v>
      </c>
      <c r="F862" s="3" t="s">
        <v>13</v>
      </c>
      <c r="G862" s="3" t="s">
        <v>13</v>
      </c>
      <c r="H862" s="3" t="s">
        <v>13</v>
      </c>
      <c r="I862" s="3">
        <v>6648688700</v>
      </c>
    </row>
    <row r="863" spans="1:9" x14ac:dyDescent="0.35">
      <c r="A863" t="str">
        <f>"17002"</f>
        <v>17002</v>
      </c>
      <c r="B863" t="s">
        <v>9</v>
      </c>
      <c r="C863" t="s">
        <v>414</v>
      </c>
      <c r="D863" s="5" t="s">
        <v>11</v>
      </c>
      <c r="E863" s="5" t="s">
        <v>12</v>
      </c>
      <c r="F863" s="3" t="s">
        <v>13</v>
      </c>
      <c r="G863" s="3" t="s">
        <v>13</v>
      </c>
      <c r="H863" s="3" t="s">
        <v>13</v>
      </c>
      <c r="I863" s="3">
        <v>191250800</v>
      </c>
    </row>
    <row r="864" spans="1:9" x14ac:dyDescent="0.35">
      <c r="A864" t="str">
        <f>"17004"</f>
        <v>17004</v>
      </c>
      <c r="B864" t="s">
        <v>9</v>
      </c>
      <c r="C864" t="s">
        <v>313</v>
      </c>
      <c r="D864" s="5" t="s">
        <v>11</v>
      </c>
      <c r="E864" s="5" t="s">
        <v>12</v>
      </c>
      <c r="F864" s="3" t="s">
        <v>13</v>
      </c>
      <c r="G864" s="3" t="s">
        <v>13</v>
      </c>
      <c r="H864" s="3" t="s">
        <v>13</v>
      </c>
      <c r="I864" s="3">
        <v>202714700</v>
      </c>
    </row>
    <row r="865" spans="1:9" x14ac:dyDescent="0.35">
      <c r="A865" t="str">
        <f>"17006"</f>
        <v>17006</v>
      </c>
      <c r="B865" t="s">
        <v>9</v>
      </c>
      <c r="C865" t="s">
        <v>415</v>
      </c>
      <c r="D865" s="5" t="s">
        <v>11</v>
      </c>
      <c r="E865" s="5" t="s">
        <v>12</v>
      </c>
      <c r="F865" s="3" t="s">
        <v>13</v>
      </c>
      <c r="G865" s="3" t="s">
        <v>13</v>
      </c>
      <c r="H865" s="3" t="s">
        <v>13</v>
      </c>
      <c r="I865" s="3">
        <v>163175300</v>
      </c>
    </row>
    <row r="866" spans="1:9" x14ac:dyDescent="0.35">
      <c r="A866" t="str">
        <f>"17008"</f>
        <v>17008</v>
      </c>
      <c r="B866" t="s">
        <v>9</v>
      </c>
      <c r="C866" t="s">
        <v>416</v>
      </c>
      <c r="D866" s="5" t="s">
        <v>11</v>
      </c>
      <c r="E866" s="5" t="s">
        <v>12</v>
      </c>
      <c r="F866" s="3" t="s">
        <v>13</v>
      </c>
      <c r="G866" s="3" t="s">
        <v>13</v>
      </c>
      <c r="H866" s="3" t="s">
        <v>13</v>
      </c>
      <c r="I866" s="3">
        <v>283317400</v>
      </c>
    </row>
    <row r="867" spans="1:9" x14ac:dyDescent="0.35">
      <c r="A867" t="str">
        <f>"17010"</f>
        <v>17010</v>
      </c>
      <c r="B867" t="s">
        <v>9</v>
      </c>
      <c r="C867" t="s">
        <v>220</v>
      </c>
      <c r="D867" s="5" t="s">
        <v>11</v>
      </c>
      <c r="E867" s="5" t="s">
        <v>12</v>
      </c>
      <c r="F867" s="3" t="s">
        <v>13</v>
      </c>
      <c r="G867" s="3" t="s">
        <v>13</v>
      </c>
      <c r="H867" s="3" t="s">
        <v>13</v>
      </c>
      <c r="I867" s="3">
        <v>78583600</v>
      </c>
    </row>
    <row r="868" spans="1:9" x14ac:dyDescent="0.35">
      <c r="A868" t="str">
        <f>"17012"</f>
        <v>17012</v>
      </c>
      <c r="B868" t="s">
        <v>9</v>
      </c>
      <c r="C868" t="s">
        <v>417</v>
      </c>
      <c r="D868" s="5" t="s">
        <v>11</v>
      </c>
      <c r="E868" s="5" t="s">
        <v>12</v>
      </c>
      <c r="F868" s="3" t="s">
        <v>13</v>
      </c>
      <c r="G868" s="3" t="s">
        <v>13</v>
      </c>
      <c r="H868" s="3" t="s">
        <v>13</v>
      </c>
      <c r="I868" s="3">
        <v>105568300</v>
      </c>
    </row>
    <row r="869" spans="1:9" x14ac:dyDescent="0.35">
      <c r="A869" t="str">
        <f>"17014"</f>
        <v>17014</v>
      </c>
      <c r="B869" t="s">
        <v>9</v>
      </c>
      <c r="C869" t="s">
        <v>418</v>
      </c>
      <c r="D869" s="5" t="s">
        <v>11</v>
      </c>
      <c r="E869" s="5" t="s">
        <v>12</v>
      </c>
      <c r="F869" s="3" t="s">
        <v>13</v>
      </c>
      <c r="G869" s="3" t="s">
        <v>13</v>
      </c>
      <c r="H869" s="3" t="s">
        <v>13</v>
      </c>
      <c r="I869" s="3">
        <v>115385800</v>
      </c>
    </row>
    <row r="870" spans="1:9" x14ac:dyDescent="0.35">
      <c r="A870" t="str">
        <f>"17016"</f>
        <v>17016</v>
      </c>
      <c r="B870" t="s">
        <v>9</v>
      </c>
      <c r="C870" t="s">
        <v>419</v>
      </c>
      <c r="D870" s="5" t="s">
        <v>11</v>
      </c>
      <c r="E870" s="5" t="s">
        <v>12</v>
      </c>
      <c r="F870" s="3" t="s">
        <v>13</v>
      </c>
      <c r="G870" s="3" t="s">
        <v>13</v>
      </c>
      <c r="H870" s="3" t="s">
        <v>13</v>
      </c>
      <c r="I870" s="3">
        <v>472867200</v>
      </c>
    </row>
    <row r="871" spans="1:9" x14ac:dyDescent="0.35">
      <c r="A871" t="str">
        <f>"17018"</f>
        <v>17018</v>
      </c>
      <c r="B871" t="s">
        <v>9</v>
      </c>
      <c r="C871" t="s">
        <v>23</v>
      </c>
      <c r="D871" s="5" t="s">
        <v>11</v>
      </c>
      <c r="E871" s="5" t="s">
        <v>12</v>
      </c>
      <c r="F871" s="3" t="s">
        <v>13</v>
      </c>
      <c r="G871" s="3" t="s">
        <v>13</v>
      </c>
      <c r="H871" s="3" t="s">
        <v>13</v>
      </c>
      <c r="I871" s="3">
        <v>103735800</v>
      </c>
    </row>
    <row r="872" spans="1:9" x14ac:dyDescent="0.35">
      <c r="A872" t="str">
        <f>"17020"</f>
        <v>17020</v>
      </c>
      <c r="B872" t="s">
        <v>9</v>
      </c>
      <c r="C872" t="s">
        <v>420</v>
      </c>
      <c r="D872" s="5" t="s">
        <v>11</v>
      </c>
      <c r="E872" s="5" t="s">
        <v>12</v>
      </c>
      <c r="F872" s="3" t="s">
        <v>13</v>
      </c>
      <c r="G872" s="3" t="s">
        <v>13</v>
      </c>
      <c r="H872" s="3" t="s">
        <v>13</v>
      </c>
      <c r="I872" s="3">
        <v>91612700</v>
      </c>
    </row>
    <row r="873" spans="1:9" x14ac:dyDescent="0.35">
      <c r="A873" t="str">
        <f>"17022"</f>
        <v>17022</v>
      </c>
      <c r="B873" t="s">
        <v>9</v>
      </c>
      <c r="C873" t="s">
        <v>421</v>
      </c>
      <c r="D873" s="5" t="s">
        <v>11</v>
      </c>
      <c r="E873" s="5" t="s">
        <v>12</v>
      </c>
      <c r="F873" s="3" t="s">
        <v>13</v>
      </c>
      <c r="G873" s="3" t="s">
        <v>13</v>
      </c>
      <c r="H873" s="3" t="s">
        <v>13</v>
      </c>
      <c r="I873" s="3">
        <v>30950500</v>
      </c>
    </row>
    <row r="874" spans="1:9" x14ac:dyDescent="0.35">
      <c r="A874" t="str">
        <f>"17024"</f>
        <v>17024</v>
      </c>
      <c r="B874" t="s">
        <v>9</v>
      </c>
      <c r="C874" t="s">
        <v>422</v>
      </c>
      <c r="D874" s="5" t="s">
        <v>11</v>
      </c>
      <c r="E874" s="5" t="s">
        <v>12</v>
      </c>
      <c r="F874" s="3" t="s">
        <v>13</v>
      </c>
      <c r="G874" s="3" t="s">
        <v>13</v>
      </c>
      <c r="H874" s="3" t="s">
        <v>13</v>
      </c>
      <c r="I874" s="3">
        <v>385271500</v>
      </c>
    </row>
    <row r="875" spans="1:9" x14ac:dyDescent="0.35">
      <c r="A875" t="str">
        <f>"17026"</f>
        <v>17026</v>
      </c>
      <c r="B875" t="s">
        <v>9</v>
      </c>
      <c r="C875" t="s">
        <v>423</v>
      </c>
      <c r="D875" s="5" t="s">
        <v>11</v>
      </c>
      <c r="E875" s="5" t="s">
        <v>12</v>
      </c>
      <c r="F875" s="3" t="s">
        <v>13</v>
      </c>
      <c r="G875" s="3" t="s">
        <v>13</v>
      </c>
      <c r="H875" s="3" t="s">
        <v>13</v>
      </c>
      <c r="I875" s="3">
        <v>166472500</v>
      </c>
    </row>
    <row r="876" spans="1:9" x14ac:dyDescent="0.35">
      <c r="A876" t="str">
        <f>"17028"</f>
        <v>17028</v>
      </c>
      <c r="B876" t="s">
        <v>9</v>
      </c>
      <c r="C876" t="s">
        <v>424</v>
      </c>
      <c r="D876" s="5" t="s">
        <v>11</v>
      </c>
      <c r="E876" s="5" t="s">
        <v>12</v>
      </c>
      <c r="F876" s="3" t="s">
        <v>13</v>
      </c>
      <c r="G876" s="3" t="s">
        <v>13</v>
      </c>
      <c r="H876" s="3" t="s">
        <v>13</v>
      </c>
      <c r="I876" s="3">
        <v>85653600</v>
      </c>
    </row>
    <row r="877" spans="1:9" x14ac:dyDescent="0.35">
      <c r="A877" t="str">
        <f>"17030"</f>
        <v>17030</v>
      </c>
      <c r="B877" t="s">
        <v>9</v>
      </c>
      <c r="C877" t="s">
        <v>425</v>
      </c>
      <c r="D877" s="5" t="s">
        <v>11</v>
      </c>
      <c r="E877" s="5" t="s">
        <v>12</v>
      </c>
      <c r="F877" s="3" t="s">
        <v>13</v>
      </c>
      <c r="G877" s="3" t="s">
        <v>13</v>
      </c>
      <c r="H877" s="3" t="s">
        <v>13</v>
      </c>
      <c r="I877" s="3">
        <v>89853500</v>
      </c>
    </row>
    <row r="878" spans="1:9" x14ac:dyDescent="0.35">
      <c r="A878" t="str">
        <f>"17032"</f>
        <v>17032</v>
      </c>
      <c r="B878" t="s">
        <v>9</v>
      </c>
      <c r="C878" t="s">
        <v>236</v>
      </c>
      <c r="D878" s="5" t="s">
        <v>11</v>
      </c>
      <c r="E878" s="5" t="s">
        <v>12</v>
      </c>
      <c r="F878" s="3" t="s">
        <v>13</v>
      </c>
      <c r="G878" s="3" t="s">
        <v>13</v>
      </c>
      <c r="H878" s="3" t="s">
        <v>13</v>
      </c>
      <c r="I878" s="3">
        <v>161243100</v>
      </c>
    </row>
    <row r="879" spans="1:9" x14ac:dyDescent="0.35">
      <c r="A879" t="str">
        <f>"17034"</f>
        <v>17034</v>
      </c>
      <c r="B879" t="s">
        <v>9</v>
      </c>
      <c r="C879" t="s">
        <v>426</v>
      </c>
      <c r="D879" s="5" t="s">
        <v>11</v>
      </c>
      <c r="E879" s="5" t="s">
        <v>12</v>
      </c>
      <c r="F879" s="3" t="s">
        <v>13</v>
      </c>
      <c r="G879" s="3" t="s">
        <v>13</v>
      </c>
      <c r="H879" s="3" t="s">
        <v>13</v>
      </c>
      <c r="I879" s="3">
        <v>271387500</v>
      </c>
    </row>
    <row r="880" spans="1:9" x14ac:dyDescent="0.35">
      <c r="A880" t="str">
        <f>"17036"</f>
        <v>17036</v>
      </c>
      <c r="B880" t="s">
        <v>9</v>
      </c>
      <c r="C880" t="s">
        <v>427</v>
      </c>
      <c r="D880" s="5" t="s">
        <v>11</v>
      </c>
      <c r="E880" s="5" t="s">
        <v>12</v>
      </c>
      <c r="F880" s="3" t="s">
        <v>13</v>
      </c>
      <c r="G880" s="3" t="s">
        <v>13</v>
      </c>
      <c r="H880" s="3" t="s">
        <v>13</v>
      </c>
      <c r="I880" s="3">
        <v>122542500</v>
      </c>
    </row>
    <row r="881" spans="1:9" x14ac:dyDescent="0.35">
      <c r="A881" t="str">
        <f>"17038"</f>
        <v>17038</v>
      </c>
      <c r="B881" t="s">
        <v>9</v>
      </c>
      <c r="C881" t="s">
        <v>428</v>
      </c>
      <c r="D881" s="5" t="s">
        <v>11</v>
      </c>
      <c r="E881" s="5" t="s">
        <v>12</v>
      </c>
      <c r="F881" s="3" t="s">
        <v>13</v>
      </c>
      <c r="G881" s="3" t="s">
        <v>13</v>
      </c>
      <c r="H881" s="3" t="s">
        <v>13</v>
      </c>
      <c r="I881" s="3">
        <v>479705700</v>
      </c>
    </row>
    <row r="882" spans="1:9" x14ac:dyDescent="0.35">
      <c r="A882" t="str">
        <f>"17040"</f>
        <v>17040</v>
      </c>
      <c r="B882" t="s">
        <v>9</v>
      </c>
      <c r="C882" t="s">
        <v>429</v>
      </c>
      <c r="D882" s="5" t="s">
        <v>11</v>
      </c>
      <c r="E882" s="5" t="s">
        <v>12</v>
      </c>
      <c r="F882" s="3" t="s">
        <v>13</v>
      </c>
      <c r="G882" s="3" t="s">
        <v>13</v>
      </c>
      <c r="H882" s="3" t="s">
        <v>13</v>
      </c>
      <c r="I882" s="3">
        <v>91849100</v>
      </c>
    </row>
    <row r="883" spans="1:9" x14ac:dyDescent="0.35">
      <c r="A883" t="str">
        <f>"17042"</f>
        <v>17042</v>
      </c>
      <c r="B883" t="s">
        <v>9</v>
      </c>
      <c r="C883" t="s">
        <v>240</v>
      </c>
      <c r="D883" s="5" t="s">
        <v>11</v>
      </c>
      <c r="E883" s="5" t="s">
        <v>12</v>
      </c>
      <c r="F883" s="3" t="s">
        <v>13</v>
      </c>
      <c r="G883" s="3" t="s">
        <v>13</v>
      </c>
      <c r="H883" s="3" t="s">
        <v>13</v>
      </c>
      <c r="I883" s="3">
        <v>95880200</v>
      </c>
    </row>
    <row r="884" spans="1:9" x14ac:dyDescent="0.35">
      <c r="A884" t="str">
        <f>"17044"</f>
        <v>17044</v>
      </c>
      <c r="B884" t="s">
        <v>9</v>
      </c>
      <c r="C884" t="s">
        <v>430</v>
      </c>
      <c r="D884" s="5" t="s">
        <v>11</v>
      </c>
      <c r="E884" s="5" t="s">
        <v>12</v>
      </c>
      <c r="F884" s="3" t="s">
        <v>13</v>
      </c>
      <c r="G884" s="3" t="s">
        <v>13</v>
      </c>
      <c r="H884" s="3" t="s">
        <v>13</v>
      </c>
      <c r="I884" s="3">
        <v>77769900</v>
      </c>
    </row>
    <row r="885" spans="1:9" x14ac:dyDescent="0.35">
      <c r="A885" t="s">
        <v>30</v>
      </c>
      <c r="B885" t="s">
        <v>31</v>
      </c>
      <c r="C885" t="s">
        <v>32</v>
      </c>
      <c r="D885" s="5" t="s">
        <v>11</v>
      </c>
      <c r="E885" s="5" t="s">
        <v>12</v>
      </c>
      <c r="F885" s="3" t="s">
        <v>13</v>
      </c>
      <c r="G885" s="3" t="s">
        <v>13</v>
      </c>
      <c r="H885" s="3" t="s">
        <v>13</v>
      </c>
      <c r="I885" s="3">
        <v>3866791200</v>
      </c>
    </row>
    <row r="886" spans="1:9" x14ac:dyDescent="0.35">
      <c r="A886" t="str">
        <f>"17106"</f>
        <v>17106</v>
      </c>
      <c r="B886" t="s">
        <v>33</v>
      </c>
      <c r="C886" t="s">
        <v>431</v>
      </c>
      <c r="D886" s="5" t="str">
        <f>"003"</f>
        <v>003</v>
      </c>
      <c r="E886" s="5">
        <v>2007</v>
      </c>
      <c r="F886" s="3">
        <v>1520500</v>
      </c>
      <c r="G886" s="3">
        <v>2160500</v>
      </c>
      <c r="H886" s="3">
        <v>640000</v>
      </c>
    </row>
    <row r="887" spans="1:9" x14ac:dyDescent="0.35">
      <c r="A887" t="str">
        <f>"17106"</f>
        <v>17106</v>
      </c>
      <c r="B887" t="s">
        <v>33</v>
      </c>
      <c r="C887" t="s">
        <v>431</v>
      </c>
      <c r="D887" s="5" t="str">
        <f>"004"</f>
        <v>004</v>
      </c>
      <c r="E887" s="5">
        <v>2022</v>
      </c>
      <c r="F887" s="3">
        <v>6886800</v>
      </c>
      <c r="G887" s="3">
        <v>9948600</v>
      </c>
      <c r="H887" s="3">
        <v>3061800</v>
      </c>
    </row>
    <row r="888" spans="1:9" x14ac:dyDescent="0.35">
      <c r="A888" t="str">
        <f>"17106"</f>
        <v>17106</v>
      </c>
      <c r="B888" t="s">
        <v>33</v>
      </c>
      <c r="C888" t="s">
        <v>431</v>
      </c>
      <c r="D888" s="5" t="s">
        <v>11</v>
      </c>
      <c r="E888" s="5" t="s">
        <v>12</v>
      </c>
      <c r="F888" s="3" t="s">
        <v>13</v>
      </c>
      <c r="G888" s="3" t="s">
        <v>13</v>
      </c>
      <c r="H888" s="3" t="s">
        <v>13</v>
      </c>
      <c r="I888" s="3">
        <v>85202500</v>
      </c>
    </row>
    <row r="889" spans="1:9" x14ac:dyDescent="0.35">
      <c r="A889" t="str">
        <f>"17111"</f>
        <v>17111</v>
      </c>
      <c r="B889" t="s">
        <v>33</v>
      </c>
      <c r="C889" t="s">
        <v>414</v>
      </c>
      <c r="D889" s="5" t="str">
        <f>"003"</f>
        <v>003</v>
      </c>
      <c r="E889" s="5">
        <v>2002</v>
      </c>
      <c r="F889" s="3">
        <v>3964200</v>
      </c>
      <c r="G889" s="3">
        <v>13602800</v>
      </c>
      <c r="H889" s="3">
        <v>9638600</v>
      </c>
    </row>
    <row r="890" spans="1:9" x14ac:dyDescent="0.35">
      <c r="A890" t="str">
        <f>"17111"</f>
        <v>17111</v>
      </c>
      <c r="B890" t="s">
        <v>33</v>
      </c>
      <c r="C890" t="s">
        <v>414</v>
      </c>
      <c r="D890" s="5" t="str">
        <f>"005"</f>
        <v>005</v>
      </c>
      <c r="E890" s="5">
        <v>2021</v>
      </c>
      <c r="F890" s="3">
        <v>4539600</v>
      </c>
      <c r="G890" s="3">
        <v>13567100</v>
      </c>
      <c r="H890" s="3">
        <v>9027500</v>
      </c>
    </row>
    <row r="891" spans="1:9" x14ac:dyDescent="0.35">
      <c r="A891" t="str">
        <f>"17111"</f>
        <v>17111</v>
      </c>
      <c r="B891" t="s">
        <v>33</v>
      </c>
      <c r="C891" t="s">
        <v>414</v>
      </c>
      <c r="D891" s="5" t="s">
        <v>11</v>
      </c>
      <c r="E891" s="5" t="s">
        <v>12</v>
      </c>
      <c r="F891" s="3" t="s">
        <v>13</v>
      </c>
      <c r="G891" s="3" t="s">
        <v>13</v>
      </c>
      <c r="H891" s="3" t="s">
        <v>13</v>
      </c>
      <c r="I891" s="3">
        <v>95303700</v>
      </c>
    </row>
    <row r="892" spans="1:9" x14ac:dyDescent="0.35">
      <c r="A892" t="str">
        <f>"17116"</f>
        <v>17116</v>
      </c>
      <c r="B892" t="s">
        <v>33</v>
      </c>
      <c r="C892" t="s">
        <v>432</v>
      </c>
      <c r="D892" s="5" t="s">
        <v>11</v>
      </c>
      <c r="E892" s="5" t="s">
        <v>12</v>
      </c>
      <c r="F892" s="3" t="s">
        <v>13</v>
      </c>
      <c r="G892" s="3" t="s">
        <v>13</v>
      </c>
      <c r="H892" s="3" t="s">
        <v>13</v>
      </c>
      <c r="I892" s="3">
        <v>20827100</v>
      </c>
    </row>
    <row r="893" spans="1:9" x14ac:dyDescent="0.35">
      <c r="A893" t="str">
        <f>"17121"</f>
        <v>17121</v>
      </c>
      <c r="B893" t="s">
        <v>33</v>
      </c>
      <c r="C893" t="s">
        <v>416</v>
      </c>
      <c r="D893" s="5" t="str">
        <f>"001"</f>
        <v>001</v>
      </c>
      <c r="E893" s="5">
        <v>2007</v>
      </c>
      <c r="F893" s="3">
        <v>2499700</v>
      </c>
      <c r="G893" s="3">
        <v>4472000</v>
      </c>
      <c r="H893" s="3">
        <v>1972300</v>
      </c>
    </row>
    <row r="894" spans="1:9" x14ac:dyDescent="0.35">
      <c r="A894" t="str">
        <f>"17121"</f>
        <v>17121</v>
      </c>
      <c r="B894" t="s">
        <v>33</v>
      </c>
      <c r="C894" t="s">
        <v>416</v>
      </c>
      <c r="D894" s="5" t="str">
        <f>"002"</f>
        <v>002</v>
      </c>
      <c r="E894" s="5">
        <v>2021</v>
      </c>
      <c r="F894" s="3">
        <v>4512200</v>
      </c>
      <c r="G894" s="3">
        <v>19027200</v>
      </c>
      <c r="H894" s="3">
        <v>14515000</v>
      </c>
    </row>
    <row r="895" spans="1:9" x14ac:dyDescent="0.35">
      <c r="A895" t="str">
        <f>"17121"</f>
        <v>17121</v>
      </c>
      <c r="B895" t="s">
        <v>33</v>
      </c>
      <c r="C895" t="s">
        <v>416</v>
      </c>
      <c r="D895" s="5" t="s">
        <v>11</v>
      </c>
      <c r="E895" s="5" t="s">
        <v>12</v>
      </c>
      <c r="F895" s="3" t="s">
        <v>13</v>
      </c>
      <c r="G895" s="3" t="s">
        <v>13</v>
      </c>
      <c r="H895" s="3" t="s">
        <v>13</v>
      </c>
      <c r="I895" s="3">
        <v>65553000</v>
      </c>
    </row>
    <row r="896" spans="1:9" x14ac:dyDescent="0.35">
      <c r="A896" t="str">
        <f>"17141"</f>
        <v>17141</v>
      </c>
      <c r="B896" t="s">
        <v>33</v>
      </c>
      <c r="C896" t="s">
        <v>433</v>
      </c>
      <c r="D896" s="5" t="s">
        <v>11</v>
      </c>
      <c r="E896" s="5" t="s">
        <v>12</v>
      </c>
      <c r="F896" s="3" t="s">
        <v>13</v>
      </c>
      <c r="G896" s="3" t="s">
        <v>13</v>
      </c>
      <c r="H896" s="3" t="s">
        <v>13</v>
      </c>
      <c r="I896" s="3">
        <v>42291000</v>
      </c>
    </row>
    <row r="897" spans="1:9" x14ac:dyDescent="0.35">
      <c r="A897" t="str">
        <f>"17176"</f>
        <v>17176</v>
      </c>
      <c r="B897" t="s">
        <v>33</v>
      </c>
      <c r="C897" t="s">
        <v>434</v>
      </c>
      <c r="D897" s="5" t="str">
        <f>"001"</f>
        <v>001</v>
      </c>
      <c r="E897" s="5">
        <v>2006</v>
      </c>
      <c r="F897" s="3">
        <v>1614000</v>
      </c>
      <c r="G897" s="3">
        <v>1614000</v>
      </c>
      <c r="H897" s="3">
        <v>0</v>
      </c>
    </row>
    <row r="898" spans="1:9" x14ac:dyDescent="0.35">
      <c r="A898" t="str">
        <f>"17176"</f>
        <v>17176</v>
      </c>
      <c r="B898" t="s">
        <v>33</v>
      </c>
      <c r="C898" t="s">
        <v>434</v>
      </c>
      <c r="D898" s="5" t="s">
        <v>11</v>
      </c>
      <c r="E898" s="5" t="s">
        <v>12</v>
      </c>
      <c r="F898" s="3" t="s">
        <v>13</v>
      </c>
      <c r="G898" s="3" t="s">
        <v>13</v>
      </c>
      <c r="H898" s="3" t="s">
        <v>13</v>
      </c>
      <c r="I898" s="3">
        <v>29502200</v>
      </c>
    </row>
    <row r="899" spans="1:9" x14ac:dyDescent="0.35">
      <c r="A899" t="str">
        <f>"17191"</f>
        <v>17191</v>
      </c>
      <c r="B899" t="s">
        <v>33</v>
      </c>
      <c r="C899" t="s">
        <v>435</v>
      </c>
      <c r="D899" s="5" t="s">
        <v>11</v>
      </c>
      <c r="E899" s="5" t="s">
        <v>12</v>
      </c>
      <c r="F899" s="3" t="s">
        <v>13</v>
      </c>
      <c r="G899" s="3" t="s">
        <v>13</v>
      </c>
      <c r="H899" s="3" t="s">
        <v>13</v>
      </c>
      <c r="I899" s="3">
        <v>20020500</v>
      </c>
    </row>
    <row r="900" spans="1:9" x14ac:dyDescent="0.35">
      <c r="A900" t="s">
        <v>30</v>
      </c>
      <c r="B900" t="s">
        <v>35</v>
      </c>
      <c r="C900" t="s">
        <v>32</v>
      </c>
      <c r="D900" s="5" t="s">
        <v>11</v>
      </c>
      <c r="E900" s="5" t="s">
        <v>12</v>
      </c>
      <c r="F900" s="3" t="s">
        <v>13</v>
      </c>
      <c r="G900" s="3" t="s">
        <v>13</v>
      </c>
      <c r="H900" s="3" t="s">
        <v>13</v>
      </c>
      <c r="I900" s="3">
        <v>358700000</v>
      </c>
    </row>
    <row r="901" spans="1:9" x14ac:dyDescent="0.35">
      <c r="A901" t="str">
        <f t="shared" ref="A901:A908" si="19">"17251"</f>
        <v>17251</v>
      </c>
      <c r="B901" t="s">
        <v>36</v>
      </c>
      <c r="C901" t="s">
        <v>419</v>
      </c>
      <c r="D901" s="5" t="str">
        <f>"013"</f>
        <v>013</v>
      </c>
      <c r="E901" s="5">
        <v>2004</v>
      </c>
      <c r="F901" s="3">
        <v>5000</v>
      </c>
      <c r="G901" s="3">
        <v>21974300</v>
      </c>
      <c r="H901" s="3">
        <v>21969300</v>
      </c>
    </row>
    <row r="902" spans="1:9" x14ac:dyDescent="0.35">
      <c r="A902" t="str">
        <f t="shared" si="19"/>
        <v>17251</v>
      </c>
      <c r="B902" t="s">
        <v>36</v>
      </c>
      <c r="C902" t="s">
        <v>419</v>
      </c>
      <c r="D902" s="5" t="str">
        <f>"014"</f>
        <v>014</v>
      </c>
      <c r="E902" s="5">
        <v>2004</v>
      </c>
      <c r="F902" s="3">
        <v>7958100</v>
      </c>
      <c r="G902" s="3">
        <v>21227900</v>
      </c>
      <c r="H902" s="3">
        <v>13269800</v>
      </c>
    </row>
    <row r="903" spans="1:9" x14ac:dyDescent="0.35">
      <c r="A903" t="str">
        <f t="shared" si="19"/>
        <v>17251</v>
      </c>
      <c r="B903" t="s">
        <v>36</v>
      </c>
      <c r="C903" t="s">
        <v>419</v>
      </c>
      <c r="D903" s="5" t="str">
        <f>"015"</f>
        <v>015</v>
      </c>
      <c r="E903" s="5">
        <v>2005</v>
      </c>
      <c r="F903" s="3">
        <v>21540000</v>
      </c>
      <c r="G903" s="3">
        <v>57458500</v>
      </c>
      <c r="H903" s="3">
        <v>35918500</v>
      </c>
    </row>
    <row r="904" spans="1:9" x14ac:dyDescent="0.35">
      <c r="A904" t="str">
        <f t="shared" si="19"/>
        <v>17251</v>
      </c>
      <c r="B904" t="s">
        <v>36</v>
      </c>
      <c r="C904" t="s">
        <v>419</v>
      </c>
      <c r="D904" s="5" t="str">
        <f>"016"</f>
        <v>016</v>
      </c>
      <c r="E904" s="5">
        <v>2019</v>
      </c>
      <c r="F904" s="3">
        <v>560100</v>
      </c>
      <c r="G904" s="3">
        <v>10481500</v>
      </c>
      <c r="H904" s="3">
        <v>9921400</v>
      </c>
    </row>
    <row r="905" spans="1:9" x14ac:dyDescent="0.35">
      <c r="A905" t="str">
        <f t="shared" si="19"/>
        <v>17251</v>
      </c>
      <c r="B905" t="s">
        <v>36</v>
      </c>
      <c r="C905" t="s">
        <v>419</v>
      </c>
      <c r="D905" s="5" t="str">
        <f>"017"</f>
        <v>017</v>
      </c>
      <c r="E905" s="5">
        <v>2023</v>
      </c>
      <c r="F905" s="3">
        <v>39703800</v>
      </c>
      <c r="G905" s="3">
        <v>86926500</v>
      </c>
      <c r="H905" s="3">
        <v>47222700</v>
      </c>
    </row>
    <row r="906" spans="1:9" x14ac:dyDescent="0.35">
      <c r="A906" t="str">
        <f t="shared" si="19"/>
        <v>17251</v>
      </c>
      <c r="B906" t="s">
        <v>36</v>
      </c>
      <c r="C906" t="s">
        <v>419</v>
      </c>
      <c r="D906" s="5" t="str">
        <f>"018"</f>
        <v>018</v>
      </c>
      <c r="E906" s="5">
        <v>2023</v>
      </c>
      <c r="F906" s="3">
        <v>1495500</v>
      </c>
      <c r="G906" s="3">
        <v>9967400</v>
      </c>
      <c r="H906" s="3">
        <v>8471900</v>
      </c>
    </row>
    <row r="907" spans="1:9" x14ac:dyDescent="0.35">
      <c r="A907" t="str">
        <f t="shared" si="19"/>
        <v>17251</v>
      </c>
      <c r="B907" t="s">
        <v>36</v>
      </c>
      <c r="C907" t="s">
        <v>419</v>
      </c>
      <c r="D907" s="5" t="str">
        <f>"019"</f>
        <v>019</v>
      </c>
      <c r="E907" s="5">
        <v>2024</v>
      </c>
      <c r="F907" s="3">
        <v>36262600</v>
      </c>
      <c r="G907" s="3">
        <v>41034000</v>
      </c>
      <c r="H907" s="3">
        <v>4771400</v>
      </c>
    </row>
    <row r="908" spans="1:9" x14ac:dyDescent="0.35">
      <c r="A908" t="str">
        <f t="shared" si="19"/>
        <v>17251</v>
      </c>
      <c r="B908" t="s">
        <v>36</v>
      </c>
      <c r="C908" t="s">
        <v>419</v>
      </c>
      <c r="D908" s="5" t="s">
        <v>11</v>
      </c>
      <c r="E908" s="5" t="s">
        <v>12</v>
      </c>
      <c r="F908" s="3" t="s">
        <v>13</v>
      </c>
      <c r="G908" s="3" t="s">
        <v>13</v>
      </c>
      <c r="H908" s="3" t="s">
        <v>13</v>
      </c>
      <c r="I908" s="3">
        <v>1867685300</v>
      </c>
    </row>
    <row r="909" spans="1:9" x14ac:dyDescent="0.35">
      <c r="A909" t="s">
        <v>30</v>
      </c>
      <c r="B909" t="s">
        <v>38</v>
      </c>
      <c r="C909" t="s">
        <v>32</v>
      </c>
      <c r="D909" s="5" t="s">
        <v>11</v>
      </c>
      <c r="E909" s="5" t="s">
        <v>12</v>
      </c>
      <c r="F909" s="3" t="s">
        <v>13</v>
      </c>
      <c r="G909" s="3" t="s">
        <v>13</v>
      </c>
      <c r="H909" s="3" t="s">
        <v>13</v>
      </c>
      <c r="I909" s="3">
        <v>1867685300</v>
      </c>
    </row>
    <row r="910" spans="1:9" x14ac:dyDescent="0.35">
      <c r="A910" t="s">
        <v>30</v>
      </c>
      <c r="B910" t="s">
        <v>39</v>
      </c>
      <c r="C910" t="s">
        <v>313</v>
      </c>
      <c r="D910" s="5" t="s">
        <v>11</v>
      </c>
      <c r="E910" s="5" t="s">
        <v>12</v>
      </c>
      <c r="F910" s="3" t="s">
        <v>13</v>
      </c>
      <c r="G910" s="3" t="s">
        <v>13</v>
      </c>
      <c r="H910" s="3" t="s">
        <v>13</v>
      </c>
      <c r="I910" s="3">
        <v>6093176500</v>
      </c>
    </row>
    <row r="911" spans="1:9" x14ac:dyDescent="0.35">
      <c r="A911" t="str">
        <f>"18002"</f>
        <v>18002</v>
      </c>
      <c r="B911" t="s">
        <v>9</v>
      </c>
      <c r="C911" t="s">
        <v>436</v>
      </c>
      <c r="D911" s="5" t="s">
        <v>11</v>
      </c>
      <c r="E911" s="5" t="s">
        <v>12</v>
      </c>
      <c r="F911" s="3" t="s">
        <v>13</v>
      </c>
      <c r="G911" s="3" t="s">
        <v>13</v>
      </c>
      <c r="H911" s="3" t="s">
        <v>13</v>
      </c>
      <c r="I911" s="3">
        <v>295791300</v>
      </c>
    </row>
    <row r="912" spans="1:9" x14ac:dyDescent="0.35">
      <c r="A912" t="str">
        <f>"18004"</f>
        <v>18004</v>
      </c>
      <c r="B912" t="s">
        <v>9</v>
      </c>
      <c r="C912" t="s">
        <v>437</v>
      </c>
      <c r="D912" s="5" t="s">
        <v>11</v>
      </c>
      <c r="E912" s="5" t="s">
        <v>12</v>
      </c>
      <c r="F912" s="3" t="s">
        <v>13</v>
      </c>
      <c r="G912" s="3" t="s">
        <v>13</v>
      </c>
      <c r="H912" s="3" t="s">
        <v>13</v>
      </c>
      <c r="I912" s="3">
        <v>361547500</v>
      </c>
    </row>
    <row r="913" spans="1:9" x14ac:dyDescent="0.35">
      <c r="A913" t="str">
        <f>"18006"</f>
        <v>18006</v>
      </c>
      <c r="B913" t="s">
        <v>9</v>
      </c>
      <c r="C913" t="s">
        <v>438</v>
      </c>
      <c r="D913" s="5" t="s">
        <v>11</v>
      </c>
      <c r="E913" s="5" t="s">
        <v>12</v>
      </c>
      <c r="F913" s="3" t="s">
        <v>13</v>
      </c>
      <c r="G913" s="3" t="s">
        <v>13</v>
      </c>
      <c r="H913" s="3" t="s">
        <v>13</v>
      </c>
      <c r="I913" s="3">
        <v>127575200</v>
      </c>
    </row>
    <row r="914" spans="1:9" x14ac:dyDescent="0.35">
      <c r="A914" t="str">
        <f>"18008"</f>
        <v>18008</v>
      </c>
      <c r="B914" t="s">
        <v>9</v>
      </c>
      <c r="C914" t="s">
        <v>439</v>
      </c>
      <c r="D914" s="5" t="s">
        <v>11</v>
      </c>
      <c r="E914" s="5" t="s">
        <v>12</v>
      </c>
      <c r="F914" s="3" t="s">
        <v>13</v>
      </c>
      <c r="G914" s="3" t="s">
        <v>13</v>
      </c>
      <c r="H914" s="3" t="s">
        <v>13</v>
      </c>
      <c r="I914" s="3">
        <v>150410500</v>
      </c>
    </row>
    <row r="915" spans="1:9" x14ac:dyDescent="0.35">
      <c r="A915" t="str">
        <f>"18010"</f>
        <v>18010</v>
      </c>
      <c r="B915" t="s">
        <v>9</v>
      </c>
      <c r="C915" t="s">
        <v>440</v>
      </c>
      <c r="D915" s="5" t="s">
        <v>11</v>
      </c>
      <c r="E915" s="5" t="s">
        <v>12</v>
      </c>
      <c r="F915" s="3" t="s">
        <v>13</v>
      </c>
      <c r="G915" s="3" t="s">
        <v>13</v>
      </c>
      <c r="H915" s="3" t="s">
        <v>13</v>
      </c>
      <c r="I915" s="3">
        <v>56091900</v>
      </c>
    </row>
    <row r="916" spans="1:9" x14ac:dyDescent="0.35">
      <c r="A916" t="str">
        <f>"18012"</f>
        <v>18012</v>
      </c>
      <c r="B916" t="s">
        <v>9</v>
      </c>
      <c r="C916" t="s">
        <v>20</v>
      </c>
      <c r="D916" s="5" t="s">
        <v>11</v>
      </c>
      <c r="E916" s="5" t="s">
        <v>12</v>
      </c>
      <c r="F916" s="3" t="s">
        <v>13</v>
      </c>
      <c r="G916" s="3" t="s">
        <v>13</v>
      </c>
      <c r="H916" s="3" t="s">
        <v>13</v>
      </c>
      <c r="I916" s="3">
        <v>209467400</v>
      </c>
    </row>
    <row r="917" spans="1:9" x14ac:dyDescent="0.35">
      <c r="A917" t="str">
        <f>"18014"</f>
        <v>18014</v>
      </c>
      <c r="B917" t="s">
        <v>9</v>
      </c>
      <c r="C917" t="s">
        <v>441</v>
      </c>
      <c r="D917" s="5" t="s">
        <v>11</v>
      </c>
      <c r="E917" s="5" t="s">
        <v>12</v>
      </c>
      <c r="F917" s="3" t="s">
        <v>13</v>
      </c>
      <c r="G917" s="3" t="s">
        <v>13</v>
      </c>
      <c r="H917" s="3" t="s">
        <v>13</v>
      </c>
      <c r="I917" s="3">
        <v>194755000</v>
      </c>
    </row>
    <row r="918" spans="1:9" x14ac:dyDescent="0.35">
      <c r="A918" t="str">
        <f>"18016"</f>
        <v>18016</v>
      </c>
      <c r="B918" t="s">
        <v>9</v>
      </c>
      <c r="C918" t="s">
        <v>420</v>
      </c>
      <c r="D918" s="5" t="s">
        <v>11</v>
      </c>
      <c r="E918" s="5" t="s">
        <v>12</v>
      </c>
      <c r="F918" s="3" t="s">
        <v>13</v>
      </c>
      <c r="G918" s="3" t="s">
        <v>13</v>
      </c>
      <c r="H918" s="3" t="s">
        <v>13</v>
      </c>
      <c r="I918" s="3">
        <v>63083100</v>
      </c>
    </row>
    <row r="919" spans="1:9" x14ac:dyDescent="0.35">
      <c r="A919" t="str">
        <f>"18018"</f>
        <v>18018</v>
      </c>
      <c r="B919" t="s">
        <v>9</v>
      </c>
      <c r="C919" t="s">
        <v>442</v>
      </c>
      <c r="D919" s="5" t="s">
        <v>11</v>
      </c>
      <c r="E919" s="5" t="s">
        <v>12</v>
      </c>
      <c r="F919" s="3" t="s">
        <v>13</v>
      </c>
      <c r="G919" s="3" t="s">
        <v>13</v>
      </c>
      <c r="H919" s="3" t="s">
        <v>13</v>
      </c>
      <c r="I919" s="3">
        <v>855345200</v>
      </c>
    </row>
    <row r="920" spans="1:9" x14ac:dyDescent="0.35">
      <c r="A920" t="str">
        <f>"18020"</f>
        <v>18020</v>
      </c>
      <c r="B920" t="s">
        <v>9</v>
      </c>
      <c r="C920" t="s">
        <v>443</v>
      </c>
      <c r="D920" s="5" t="s">
        <v>11</v>
      </c>
      <c r="E920" s="5" t="s">
        <v>12</v>
      </c>
      <c r="F920" s="3" t="s">
        <v>13</v>
      </c>
      <c r="G920" s="3" t="s">
        <v>13</v>
      </c>
      <c r="H920" s="3" t="s">
        <v>13</v>
      </c>
      <c r="I920" s="3">
        <v>586311300</v>
      </c>
    </row>
    <row r="921" spans="1:9" x14ac:dyDescent="0.35">
      <c r="A921" t="str">
        <f>"18022"</f>
        <v>18022</v>
      </c>
      <c r="B921" t="s">
        <v>9</v>
      </c>
      <c r="C921" t="s">
        <v>164</v>
      </c>
      <c r="D921" s="5" t="s">
        <v>11</v>
      </c>
      <c r="E921" s="5" t="s">
        <v>12</v>
      </c>
      <c r="F921" s="3" t="s">
        <v>13</v>
      </c>
      <c r="G921" s="3" t="s">
        <v>13</v>
      </c>
      <c r="H921" s="3" t="s">
        <v>13</v>
      </c>
      <c r="I921" s="3">
        <v>693896500</v>
      </c>
    </row>
    <row r="922" spans="1:9" x14ac:dyDescent="0.35">
      <c r="A922" t="str">
        <f>"18024"</f>
        <v>18024</v>
      </c>
      <c r="B922" t="s">
        <v>9</v>
      </c>
      <c r="C922" t="s">
        <v>392</v>
      </c>
      <c r="D922" s="5" t="s">
        <v>11</v>
      </c>
      <c r="E922" s="5" t="s">
        <v>12</v>
      </c>
      <c r="F922" s="3" t="s">
        <v>13</v>
      </c>
      <c r="G922" s="3" t="s">
        <v>13</v>
      </c>
      <c r="H922" s="3" t="s">
        <v>13</v>
      </c>
      <c r="I922" s="3">
        <v>1422020900</v>
      </c>
    </row>
    <row r="923" spans="1:9" x14ac:dyDescent="0.35">
      <c r="A923" t="str">
        <f>"18026"</f>
        <v>18026</v>
      </c>
      <c r="B923" t="s">
        <v>9</v>
      </c>
      <c r="C923" t="s">
        <v>430</v>
      </c>
      <c r="D923" s="5" t="s">
        <v>11</v>
      </c>
      <c r="E923" s="5" t="s">
        <v>12</v>
      </c>
      <c r="F923" s="3" t="s">
        <v>13</v>
      </c>
      <c r="G923" s="3" t="s">
        <v>13</v>
      </c>
      <c r="H923" s="3" t="s">
        <v>13</v>
      </c>
      <c r="I923" s="3">
        <v>77798800</v>
      </c>
    </row>
    <row r="924" spans="1:9" x14ac:dyDescent="0.35">
      <c r="A924" t="s">
        <v>30</v>
      </c>
      <c r="B924" t="s">
        <v>31</v>
      </c>
      <c r="C924" t="s">
        <v>32</v>
      </c>
      <c r="D924" s="5" t="s">
        <v>11</v>
      </c>
      <c r="E924" s="5" t="s">
        <v>12</v>
      </c>
      <c r="F924" s="3" t="s">
        <v>13</v>
      </c>
      <c r="G924" s="3" t="s">
        <v>13</v>
      </c>
      <c r="H924" s="3" t="s">
        <v>13</v>
      </c>
      <c r="I924" s="3">
        <v>5094094600</v>
      </c>
    </row>
    <row r="925" spans="1:9" x14ac:dyDescent="0.35">
      <c r="A925" t="str">
        <f>"18126"</f>
        <v>18126</v>
      </c>
      <c r="B925" t="s">
        <v>33</v>
      </c>
      <c r="C925" t="s">
        <v>440</v>
      </c>
      <c r="D925" s="5" t="s">
        <v>11</v>
      </c>
      <c r="E925" s="5" t="s">
        <v>12</v>
      </c>
      <c r="F925" s="3" t="s">
        <v>13</v>
      </c>
      <c r="G925" s="3" t="s">
        <v>13</v>
      </c>
      <c r="H925" s="3" t="s">
        <v>13</v>
      </c>
      <c r="I925" s="3">
        <v>26971500</v>
      </c>
    </row>
    <row r="926" spans="1:9" x14ac:dyDescent="0.35">
      <c r="A926" t="str">
        <f>"18127"</f>
        <v>18127</v>
      </c>
      <c r="B926" t="s">
        <v>33</v>
      </c>
      <c r="C926" t="s">
        <v>444</v>
      </c>
      <c r="D926" s="5" t="str">
        <f>"001"</f>
        <v>001</v>
      </c>
      <c r="E926" s="5">
        <v>2000</v>
      </c>
      <c r="F926" s="3">
        <v>72800</v>
      </c>
      <c r="G926" s="3">
        <v>1502900</v>
      </c>
      <c r="H926" s="3">
        <v>1430100</v>
      </c>
    </row>
    <row r="927" spans="1:9" x14ac:dyDescent="0.35">
      <c r="A927" t="str">
        <f>"18127"</f>
        <v>18127</v>
      </c>
      <c r="B927" t="s">
        <v>33</v>
      </c>
      <c r="C927" t="s">
        <v>444</v>
      </c>
      <c r="D927" s="5" t="str">
        <f>"002"</f>
        <v>002</v>
      </c>
      <c r="E927" s="5">
        <v>2013</v>
      </c>
      <c r="F927" s="3">
        <v>1613300</v>
      </c>
      <c r="G927" s="3">
        <v>10906600</v>
      </c>
      <c r="H927" s="3">
        <v>9293300</v>
      </c>
    </row>
    <row r="928" spans="1:9" x14ac:dyDescent="0.35">
      <c r="A928" t="str">
        <f>"18127"</f>
        <v>18127</v>
      </c>
      <c r="B928" t="s">
        <v>33</v>
      </c>
      <c r="C928" t="s">
        <v>444</v>
      </c>
      <c r="D928" s="5" t="s">
        <v>11</v>
      </c>
      <c r="E928" s="5" t="s">
        <v>12</v>
      </c>
      <c r="F928" s="3" t="s">
        <v>13</v>
      </c>
      <c r="G928" s="3" t="s">
        <v>13</v>
      </c>
      <c r="H928" s="3" t="s">
        <v>13</v>
      </c>
      <c r="I928" s="3">
        <v>151105000</v>
      </c>
    </row>
    <row r="929" spans="1:9" x14ac:dyDescent="0.35">
      <c r="A929" t="str">
        <f>"18128"</f>
        <v>18128</v>
      </c>
      <c r="B929" t="s">
        <v>33</v>
      </c>
      <c r="C929" t="s">
        <v>210</v>
      </c>
      <c r="D929" s="5" t="s">
        <v>11</v>
      </c>
      <c r="E929" s="5" t="s">
        <v>12</v>
      </c>
      <c r="F929" s="3" t="s">
        <v>13</v>
      </c>
      <c r="G929" s="3" t="s">
        <v>13</v>
      </c>
      <c r="H929" s="3" t="s">
        <v>13</v>
      </c>
      <c r="I929" s="3">
        <v>185300</v>
      </c>
    </row>
    <row r="930" spans="1:9" x14ac:dyDescent="0.35">
      <c r="A930" t="s">
        <v>30</v>
      </c>
      <c r="B930" t="s">
        <v>35</v>
      </c>
      <c r="C930" t="s">
        <v>32</v>
      </c>
      <c r="D930" s="5" t="s">
        <v>11</v>
      </c>
      <c r="E930" s="5" t="s">
        <v>12</v>
      </c>
      <c r="F930" s="3" t="s">
        <v>13</v>
      </c>
      <c r="G930" s="3" t="s">
        <v>13</v>
      </c>
      <c r="H930" s="3" t="s">
        <v>13</v>
      </c>
      <c r="I930" s="3">
        <v>178261800</v>
      </c>
    </row>
    <row r="931" spans="1:9" x14ac:dyDescent="0.35">
      <c r="A931" t="str">
        <f>"18201"</f>
        <v>18201</v>
      </c>
      <c r="B931" t="s">
        <v>36</v>
      </c>
      <c r="C931" t="s">
        <v>445</v>
      </c>
      <c r="D931" s="5" t="str">
        <f>"004"</f>
        <v>004</v>
      </c>
      <c r="E931" s="5">
        <v>2008</v>
      </c>
      <c r="F931" s="3">
        <v>6675800</v>
      </c>
      <c r="G931" s="3">
        <v>32026000</v>
      </c>
      <c r="H931" s="3">
        <v>25350200</v>
      </c>
    </row>
    <row r="932" spans="1:9" x14ac:dyDescent="0.35">
      <c r="A932" t="str">
        <f>"18201"</f>
        <v>18201</v>
      </c>
      <c r="B932" t="s">
        <v>36</v>
      </c>
      <c r="C932" t="s">
        <v>445</v>
      </c>
      <c r="D932" s="5" t="s">
        <v>11</v>
      </c>
      <c r="E932" s="5" t="s">
        <v>12</v>
      </c>
      <c r="F932" s="3" t="s">
        <v>13</v>
      </c>
      <c r="G932" s="3" t="s">
        <v>13</v>
      </c>
      <c r="H932" s="3" t="s">
        <v>13</v>
      </c>
      <c r="I932" s="3">
        <v>1408862700</v>
      </c>
    </row>
    <row r="933" spans="1:9" x14ac:dyDescent="0.35">
      <c r="A933" t="str">
        <f>"18202"</f>
        <v>18202</v>
      </c>
      <c r="B933" t="s">
        <v>36</v>
      </c>
      <c r="C933" t="s">
        <v>446</v>
      </c>
      <c r="D933" s="5" t="str">
        <f>"004"</f>
        <v>004</v>
      </c>
      <c r="E933" s="5">
        <v>2005</v>
      </c>
      <c r="F933" s="3">
        <v>3955700</v>
      </c>
      <c r="G933" s="3">
        <v>21402300</v>
      </c>
      <c r="H933" s="3">
        <v>17446600</v>
      </c>
    </row>
    <row r="934" spans="1:9" x14ac:dyDescent="0.35">
      <c r="A934" t="str">
        <f>"18202"</f>
        <v>18202</v>
      </c>
      <c r="B934" t="s">
        <v>36</v>
      </c>
      <c r="C934" t="s">
        <v>446</v>
      </c>
      <c r="D934" s="5" t="s">
        <v>11</v>
      </c>
      <c r="E934" s="5" t="s">
        <v>12</v>
      </c>
      <c r="F934" s="3" t="s">
        <v>13</v>
      </c>
      <c r="G934" s="3" t="s">
        <v>13</v>
      </c>
      <c r="H934" s="3" t="s">
        <v>13</v>
      </c>
      <c r="I934" s="3">
        <v>127621600</v>
      </c>
    </row>
    <row r="935" spans="1:9" x14ac:dyDescent="0.35">
      <c r="A935" t="str">
        <f t="shared" ref="A935:A944" si="20">"18221"</f>
        <v>18221</v>
      </c>
      <c r="B935" t="s">
        <v>36</v>
      </c>
      <c r="C935" t="s">
        <v>213</v>
      </c>
      <c r="D935" s="5" t="str">
        <f>"008"</f>
        <v>008</v>
      </c>
      <c r="E935" s="5">
        <v>2002</v>
      </c>
      <c r="F935" s="3">
        <v>11430400</v>
      </c>
      <c r="G935" s="3">
        <v>175506700</v>
      </c>
      <c r="H935" s="3">
        <v>164076300</v>
      </c>
    </row>
    <row r="936" spans="1:9" x14ac:dyDescent="0.35">
      <c r="A936" t="str">
        <f t="shared" si="20"/>
        <v>18221</v>
      </c>
      <c r="B936" t="s">
        <v>36</v>
      </c>
      <c r="C936" t="s">
        <v>213</v>
      </c>
      <c r="D936" s="5" t="str">
        <f>"009"</f>
        <v>009</v>
      </c>
      <c r="E936" s="5">
        <v>2008</v>
      </c>
      <c r="F936" s="3">
        <v>13206300</v>
      </c>
      <c r="G936" s="3">
        <v>50463600</v>
      </c>
      <c r="H936" s="3">
        <v>37257300</v>
      </c>
    </row>
    <row r="937" spans="1:9" x14ac:dyDescent="0.35">
      <c r="A937" t="str">
        <f t="shared" si="20"/>
        <v>18221</v>
      </c>
      <c r="B937" t="s">
        <v>36</v>
      </c>
      <c r="C937" t="s">
        <v>213</v>
      </c>
      <c r="D937" s="5" t="str">
        <f>"010"</f>
        <v>010</v>
      </c>
      <c r="E937" s="5">
        <v>2015</v>
      </c>
      <c r="F937" s="3">
        <v>9675100</v>
      </c>
      <c r="G937" s="3">
        <v>57818800</v>
      </c>
      <c r="H937" s="3">
        <v>48143700</v>
      </c>
    </row>
    <row r="938" spans="1:9" x14ac:dyDescent="0.35">
      <c r="A938" t="str">
        <f t="shared" si="20"/>
        <v>18221</v>
      </c>
      <c r="B938" t="s">
        <v>36</v>
      </c>
      <c r="C938" t="s">
        <v>213</v>
      </c>
      <c r="D938" s="5" t="str">
        <f>"011"</f>
        <v>011</v>
      </c>
      <c r="E938" s="5">
        <v>2015</v>
      </c>
      <c r="F938" s="3">
        <v>15657800</v>
      </c>
      <c r="G938" s="3">
        <v>68713500</v>
      </c>
      <c r="H938" s="3">
        <v>53055700</v>
      </c>
    </row>
    <row r="939" spans="1:9" x14ac:dyDescent="0.35">
      <c r="A939" t="str">
        <f t="shared" si="20"/>
        <v>18221</v>
      </c>
      <c r="B939" t="s">
        <v>36</v>
      </c>
      <c r="C939" t="s">
        <v>213</v>
      </c>
      <c r="D939" s="5" t="str">
        <f>"012"</f>
        <v>012</v>
      </c>
      <c r="E939" s="5">
        <v>2017</v>
      </c>
      <c r="F939" s="3">
        <v>21641500</v>
      </c>
      <c r="G939" s="3">
        <v>38916000</v>
      </c>
      <c r="H939" s="3">
        <v>17274500</v>
      </c>
    </row>
    <row r="940" spans="1:9" x14ac:dyDescent="0.35">
      <c r="A940" t="str">
        <f t="shared" si="20"/>
        <v>18221</v>
      </c>
      <c r="B940" t="s">
        <v>36</v>
      </c>
      <c r="C940" t="s">
        <v>213</v>
      </c>
      <c r="D940" s="5" t="str">
        <f>"013"</f>
        <v>013</v>
      </c>
      <c r="E940" s="5">
        <v>2019</v>
      </c>
      <c r="F940" s="3">
        <v>2944200</v>
      </c>
      <c r="G940" s="3">
        <v>64748300</v>
      </c>
      <c r="H940" s="3">
        <v>61804100</v>
      </c>
    </row>
    <row r="941" spans="1:9" x14ac:dyDescent="0.35">
      <c r="A941" t="str">
        <f t="shared" si="20"/>
        <v>18221</v>
      </c>
      <c r="B941" t="s">
        <v>36</v>
      </c>
      <c r="C941" t="s">
        <v>213</v>
      </c>
      <c r="D941" s="5" t="str">
        <f>"014"</f>
        <v>014</v>
      </c>
      <c r="E941" s="5">
        <v>2021</v>
      </c>
      <c r="F941" s="3">
        <v>1281700</v>
      </c>
      <c r="G941" s="3">
        <v>45541900</v>
      </c>
      <c r="H941" s="3">
        <v>44260200</v>
      </c>
    </row>
    <row r="942" spans="1:9" x14ac:dyDescent="0.35">
      <c r="A942" t="str">
        <f t="shared" si="20"/>
        <v>18221</v>
      </c>
      <c r="B942" t="s">
        <v>36</v>
      </c>
      <c r="C942" t="s">
        <v>213</v>
      </c>
      <c r="D942" s="5" t="str">
        <f>"016"</f>
        <v>016</v>
      </c>
      <c r="E942" s="5">
        <v>2023</v>
      </c>
      <c r="F942" s="3">
        <v>30243700</v>
      </c>
      <c r="G942" s="3">
        <v>86064200</v>
      </c>
      <c r="H942" s="3">
        <v>55820500</v>
      </c>
    </row>
    <row r="943" spans="1:9" x14ac:dyDescent="0.35">
      <c r="A943" t="str">
        <f t="shared" si="20"/>
        <v>18221</v>
      </c>
      <c r="B943" t="s">
        <v>36</v>
      </c>
      <c r="C943" t="s">
        <v>213</v>
      </c>
      <c r="D943" s="5" t="str">
        <f>"017"</f>
        <v>017</v>
      </c>
      <c r="E943" s="5">
        <v>2024</v>
      </c>
      <c r="F943" s="3">
        <v>20498500</v>
      </c>
      <c r="G943" s="3">
        <v>65367200</v>
      </c>
      <c r="H943" s="3">
        <v>44868700</v>
      </c>
    </row>
    <row r="944" spans="1:9" x14ac:dyDescent="0.35">
      <c r="A944" t="str">
        <f t="shared" si="20"/>
        <v>18221</v>
      </c>
      <c r="B944" t="s">
        <v>36</v>
      </c>
      <c r="C944" t="s">
        <v>213</v>
      </c>
      <c r="D944" s="5" t="s">
        <v>11</v>
      </c>
      <c r="E944" s="5" t="s">
        <v>12</v>
      </c>
      <c r="F944" s="3" t="s">
        <v>13</v>
      </c>
      <c r="G944" s="3" t="s">
        <v>13</v>
      </c>
      <c r="H944" s="3" t="s">
        <v>13</v>
      </c>
      <c r="I944" s="3">
        <v>9102780300</v>
      </c>
    </row>
    <row r="945" spans="1:9" x14ac:dyDescent="0.35">
      <c r="A945" t="s">
        <v>30</v>
      </c>
      <c r="B945" t="s">
        <v>38</v>
      </c>
      <c r="C945" t="s">
        <v>32</v>
      </c>
      <c r="D945" s="5" t="s">
        <v>11</v>
      </c>
      <c r="E945" s="5" t="s">
        <v>12</v>
      </c>
      <c r="F945" s="3" t="s">
        <v>13</v>
      </c>
      <c r="G945" s="3" t="s">
        <v>13</v>
      </c>
      <c r="H945" s="3" t="s">
        <v>13</v>
      </c>
      <c r="I945" s="3">
        <v>10639264600</v>
      </c>
    </row>
    <row r="946" spans="1:9" x14ac:dyDescent="0.35">
      <c r="A946" t="s">
        <v>30</v>
      </c>
      <c r="B946" t="s">
        <v>39</v>
      </c>
      <c r="C946" t="s">
        <v>213</v>
      </c>
      <c r="D946" s="5" t="s">
        <v>11</v>
      </c>
      <c r="E946" s="5" t="s">
        <v>12</v>
      </c>
      <c r="F946" s="3" t="s">
        <v>13</v>
      </c>
      <c r="G946" s="3" t="s">
        <v>13</v>
      </c>
      <c r="H946" s="3" t="s">
        <v>13</v>
      </c>
      <c r="I946" s="3">
        <v>15911621000</v>
      </c>
    </row>
    <row r="947" spans="1:9" x14ac:dyDescent="0.35">
      <c r="A947" t="str">
        <f>"19002"</f>
        <v>19002</v>
      </c>
      <c r="B947" t="s">
        <v>9</v>
      </c>
      <c r="C947" t="s">
        <v>447</v>
      </c>
      <c r="D947" s="5" t="s">
        <v>11</v>
      </c>
      <c r="E947" s="5" t="s">
        <v>12</v>
      </c>
      <c r="F947" s="3" t="s">
        <v>13</v>
      </c>
      <c r="G947" s="3" t="s">
        <v>13</v>
      </c>
      <c r="H947" s="3" t="s">
        <v>13</v>
      </c>
      <c r="I947" s="3">
        <v>130810900</v>
      </c>
    </row>
    <row r="948" spans="1:9" x14ac:dyDescent="0.35">
      <c r="A948" t="str">
        <f>"19004"</f>
        <v>19004</v>
      </c>
      <c r="B948" t="s">
        <v>9</v>
      </c>
      <c r="C948" t="s">
        <v>448</v>
      </c>
      <c r="D948" s="5" t="s">
        <v>11</v>
      </c>
      <c r="E948" s="5" t="s">
        <v>12</v>
      </c>
      <c r="F948" s="3" t="s">
        <v>13</v>
      </c>
      <c r="G948" s="3" t="s">
        <v>13</v>
      </c>
      <c r="H948" s="3" t="s">
        <v>13</v>
      </c>
      <c r="I948" s="3">
        <v>117372300</v>
      </c>
    </row>
    <row r="949" spans="1:9" x14ac:dyDescent="0.35">
      <c r="A949" t="str">
        <f>"19006"</f>
        <v>19006</v>
      </c>
      <c r="B949" t="s">
        <v>9</v>
      </c>
      <c r="C949" t="s">
        <v>449</v>
      </c>
      <c r="D949" s="5" t="s">
        <v>11</v>
      </c>
      <c r="E949" s="5" t="s">
        <v>12</v>
      </c>
      <c r="F949" s="3" t="s">
        <v>13</v>
      </c>
      <c r="G949" s="3" t="s">
        <v>13</v>
      </c>
      <c r="H949" s="3" t="s">
        <v>13</v>
      </c>
      <c r="I949" s="3">
        <v>77164300</v>
      </c>
    </row>
    <row r="950" spans="1:9" x14ac:dyDescent="0.35">
      <c r="A950" t="str">
        <f>"19008"</f>
        <v>19008</v>
      </c>
      <c r="B950" t="s">
        <v>9</v>
      </c>
      <c r="C950" t="s">
        <v>450</v>
      </c>
      <c r="D950" s="5" t="s">
        <v>11</v>
      </c>
      <c r="E950" s="5" t="s">
        <v>12</v>
      </c>
      <c r="F950" s="3" t="s">
        <v>13</v>
      </c>
      <c r="G950" s="3" t="s">
        <v>13</v>
      </c>
      <c r="H950" s="3" t="s">
        <v>13</v>
      </c>
      <c r="I950" s="3">
        <v>101476000</v>
      </c>
    </row>
    <row r="951" spans="1:9" x14ac:dyDescent="0.35">
      <c r="A951" t="str">
        <f>"19010"</f>
        <v>19010</v>
      </c>
      <c r="B951" t="s">
        <v>9</v>
      </c>
      <c r="C951" t="s">
        <v>451</v>
      </c>
      <c r="D951" s="5" t="str">
        <f>"001R"</f>
        <v>001R</v>
      </c>
      <c r="E951" s="5">
        <v>2013</v>
      </c>
      <c r="F951" s="3">
        <v>11400400</v>
      </c>
      <c r="G951" s="3">
        <v>33411200</v>
      </c>
      <c r="H951" s="3">
        <v>22010800</v>
      </c>
    </row>
    <row r="952" spans="1:9" x14ac:dyDescent="0.35">
      <c r="A952" t="str">
        <f>"19010"</f>
        <v>19010</v>
      </c>
      <c r="B952" t="s">
        <v>9</v>
      </c>
      <c r="C952" t="s">
        <v>451</v>
      </c>
      <c r="D952" s="5" t="s">
        <v>11</v>
      </c>
      <c r="E952" s="5" t="s">
        <v>12</v>
      </c>
      <c r="F952" s="3" t="s">
        <v>13</v>
      </c>
      <c r="G952" s="3" t="s">
        <v>13</v>
      </c>
      <c r="H952" s="3" t="s">
        <v>13</v>
      </c>
      <c r="I952" s="3">
        <v>748256400</v>
      </c>
    </row>
    <row r="953" spans="1:9" x14ac:dyDescent="0.35">
      <c r="A953" t="str">
        <f>"19012"</f>
        <v>19012</v>
      </c>
      <c r="B953" t="s">
        <v>9</v>
      </c>
      <c r="C953" t="s">
        <v>452</v>
      </c>
      <c r="D953" s="5" t="s">
        <v>11</v>
      </c>
      <c r="E953" s="5" t="s">
        <v>12</v>
      </c>
      <c r="F953" s="3" t="s">
        <v>13</v>
      </c>
      <c r="G953" s="3" t="s">
        <v>13</v>
      </c>
      <c r="H953" s="3" t="s">
        <v>13</v>
      </c>
      <c r="I953" s="3">
        <v>86054500</v>
      </c>
    </row>
    <row r="954" spans="1:9" x14ac:dyDescent="0.35">
      <c r="A954" t="str">
        <f>"19014"</f>
        <v>19014</v>
      </c>
      <c r="B954" t="s">
        <v>9</v>
      </c>
      <c r="C954" t="s">
        <v>453</v>
      </c>
      <c r="D954" s="5" t="s">
        <v>11</v>
      </c>
      <c r="E954" s="5" t="s">
        <v>12</v>
      </c>
      <c r="F954" s="3" t="s">
        <v>13</v>
      </c>
      <c r="G954" s="3" t="s">
        <v>13</v>
      </c>
      <c r="H954" s="3" t="s">
        <v>13</v>
      </c>
      <c r="I954" s="3">
        <v>75817600</v>
      </c>
    </row>
    <row r="955" spans="1:9" x14ac:dyDescent="0.35">
      <c r="A955" t="str">
        <f>"19016"</f>
        <v>19016</v>
      </c>
      <c r="B955" t="s">
        <v>9</v>
      </c>
      <c r="C955" t="s">
        <v>454</v>
      </c>
      <c r="D955" s="5" t="s">
        <v>11</v>
      </c>
      <c r="E955" s="5" t="s">
        <v>12</v>
      </c>
      <c r="F955" s="3" t="s">
        <v>13</v>
      </c>
      <c r="G955" s="3" t="s">
        <v>13</v>
      </c>
      <c r="H955" s="3" t="s">
        <v>13</v>
      </c>
      <c r="I955" s="3">
        <v>64381400</v>
      </c>
    </row>
    <row r="956" spans="1:9" x14ac:dyDescent="0.35">
      <c r="A956" t="s">
        <v>30</v>
      </c>
      <c r="B956" t="s">
        <v>31</v>
      </c>
      <c r="C956" t="s">
        <v>32</v>
      </c>
      <c r="D956" s="5" t="s">
        <v>11</v>
      </c>
      <c r="E956" s="5" t="s">
        <v>12</v>
      </c>
      <c r="F956" s="3" t="s">
        <v>13</v>
      </c>
      <c r="G956" s="3" t="s">
        <v>13</v>
      </c>
      <c r="H956" s="3" t="s">
        <v>13</v>
      </c>
      <c r="I956" s="3">
        <v>1401333400</v>
      </c>
    </row>
    <row r="957" spans="1:9" x14ac:dyDescent="0.35">
      <c r="A957" t="s">
        <v>30</v>
      </c>
      <c r="B957" t="s">
        <v>39</v>
      </c>
      <c r="C957" t="s">
        <v>451</v>
      </c>
      <c r="D957" s="5" t="s">
        <v>11</v>
      </c>
      <c r="E957" s="5" t="s">
        <v>12</v>
      </c>
      <c r="F957" s="3" t="s">
        <v>13</v>
      </c>
      <c r="G957" s="3" t="s">
        <v>13</v>
      </c>
      <c r="H957" s="3" t="s">
        <v>13</v>
      </c>
      <c r="I957" s="3">
        <v>1401333400</v>
      </c>
    </row>
    <row r="958" spans="1:9" x14ac:dyDescent="0.35">
      <c r="A958" t="str">
        <f>"20002"</f>
        <v>20002</v>
      </c>
      <c r="B958" t="s">
        <v>9</v>
      </c>
      <c r="C958" t="s">
        <v>455</v>
      </c>
      <c r="D958" s="5" t="s">
        <v>11</v>
      </c>
      <c r="E958" s="5" t="s">
        <v>12</v>
      </c>
      <c r="F958" s="3" t="s">
        <v>13</v>
      </c>
      <c r="G958" s="3" t="s">
        <v>13</v>
      </c>
      <c r="H958" s="3" t="s">
        <v>13</v>
      </c>
      <c r="I958" s="3">
        <v>165944000</v>
      </c>
    </row>
    <row r="959" spans="1:9" x14ac:dyDescent="0.35">
      <c r="A959" t="str">
        <f>"20004"</f>
        <v>20004</v>
      </c>
      <c r="B959" t="s">
        <v>9</v>
      </c>
      <c r="C959" t="s">
        <v>456</v>
      </c>
      <c r="D959" s="5" t="s">
        <v>11</v>
      </c>
      <c r="E959" s="5" t="s">
        <v>12</v>
      </c>
      <c r="F959" s="3" t="s">
        <v>13</v>
      </c>
      <c r="G959" s="3" t="s">
        <v>13</v>
      </c>
      <c r="H959" s="3" t="s">
        <v>13</v>
      </c>
      <c r="I959" s="3">
        <v>290250100</v>
      </c>
    </row>
    <row r="960" spans="1:9" x14ac:dyDescent="0.35">
      <c r="A960" t="str">
        <f>"20006"</f>
        <v>20006</v>
      </c>
      <c r="B960" t="s">
        <v>9</v>
      </c>
      <c r="C960" t="s">
        <v>189</v>
      </c>
      <c r="D960" s="5" t="s">
        <v>11</v>
      </c>
      <c r="E960" s="5" t="s">
        <v>12</v>
      </c>
      <c r="F960" s="3" t="s">
        <v>13</v>
      </c>
      <c r="G960" s="3" t="s">
        <v>13</v>
      </c>
      <c r="H960" s="3" t="s">
        <v>13</v>
      </c>
      <c r="I960" s="3">
        <v>483687200</v>
      </c>
    </row>
    <row r="961" spans="1:9" x14ac:dyDescent="0.35">
      <c r="A961" t="str">
        <f>"20008"</f>
        <v>20008</v>
      </c>
      <c r="B961" t="s">
        <v>9</v>
      </c>
      <c r="C961" t="s">
        <v>457</v>
      </c>
      <c r="D961" s="5" t="s">
        <v>11</v>
      </c>
      <c r="E961" s="5" t="s">
        <v>12</v>
      </c>
      <c r="F961" s="3" t="s">
        <v>13</v>
      </c>
      <c r="G961" s="3" t="s">
        <v>13</v>
      </c>
      <c r="H961" s="3" t="s">
        <v>13</v>
      </c>
      <c r="I961" s="3">
        <v>302026000</v>
      </c>
    </row>
    <row r="962" spans="1:9" x14ac:dyDescent="0.35">
      <c r="A962" t="str">
        <f>"20010"</f>
        <v>20010</v>
      </c>
      <c r="B962" t="s">
        <v>9</v>
      </c>
      <c r="C962" t="s">
        <v>186</v>
      </c>
      <c r="D962" s="5" t="s">
        <v>11</v>
      </c>
      <c r="E962" s="5" t="s">
        <v>12</v>
      </c>
      <c r="F962" s="3" t="s">
        <v>13</v>
      </c>
      <c r="G962" s="3" t="s">
        <v>13</v>
      </c>
      <c r="H962" s="3" t="s">
        <v>13</v>
      </c>
      <c r="I962" s="3">
        <v>351189500</v>
      </c>
    </row>
    <row r="963" spans="1:9" x14ac:dyDescent="0.35">
      <c r="A963" t="str">
        <f>"20012"</f>
        <v>20012</v>
      </c>
      <c r="B963" t="s">
        <v>9</v>
      </c>
      <c r="C963" t="s">
        <v>458</v>
      </c>
      <c r="D963" s="5" t="s">
        <v>11</v>
      </c>
      <c r="E963" s="5" t="s">
        <v>12</v>
      </c>
      <c r="F963" s="3" t="s">
        <v>13</v>
      </c>
      <c r="G963" s="3" t="s">
        <v>13</v>
      </c>
      <c r="H963" s="3" t="s">
        <v>13</v>
      </c>
      <c r="I963" s="3">
        <v>198983600</v>
      </c>
    </row>
    <row r="964" spans="1:9" x14ac:dyDescent="0.35">
      <c r="A964" t="str">
        <f>"20014"</f>
        <v>20014</v>
      </c>
      <c r="B964" t="s">
        <v>9</v>
      </c>
      <c r="C964" t="s">
        <v>459</v>
      </c>
      <c r="D964" s="5" t="s">
        <v>11</v>
      </c>
      <c r="E964" s="5" t="s">
        <v>12</v>
      </c>
      <c r="F964" s="3" t="s">
        <v>13</v>
      </c>
      <c r="G964" s="3" t="s">
        <v>13</v>
      </c>
      <c r="H964" s="3" t="s">
        <v>13</v>
      </c>
      <c r="I964" s="3">
        <v>211857800</v>
      </c>
    </row>
    <row r="965" spans="1:9" x14ac:dyDescent="0.35">
      <c r="A965" t="str">
        <f>"20016"</f>
        <v>20016</v>
      </c>
      <c r="B965" t="s">
        <v>9</v>
      </c>
      <c r="C965" t="s">
        <v>460</v>
      </c>
      <c r="D965" s="5" t="s">
        <v>11</v>
      </c>
      <c r="E965" s="5" t="s">
        <v>12</v>
      </c>
      <c r="F965" s="3" t="s">
        <v>13</v>
      </c>
      <c r="G965" s="3" t="s">
        <v>13</v>
      </c>
      <c r="H965" s="3" t="s">
        <v>13</v>
      </c>
      <c r="I965" s="3">
        <v>557473600</v>
      </c>
    </row>
    <row r="966" spans="1:9" x14ac:dyDescent="0.35">
      <c r="A966" t="str">
        <f>"20018"</f>
        <v>20018</v>
      </c>
      <c r="B966" t="s">
        <v>9</v>
      </c>
      <c r="C966" t="s">
        <v>461</v>
      </c>
      <c r="D966" s="5" t="s">
        <v>11</v>
      </c>
      <c r="E966" s="5" t="s">
        <v>12</v>
      </c>
      <c r="F966" s="3" t="s">
        <v>13</v>
      </c>
      <c r="G966" s="3" t="s">
        <v>13</v>
      </c>
      <c r="H966" s="3" t="s">
        <v>13</v>
      </c>
      <c r="I966" s="3">
        <v>653387200</v>
      </c>
    </row>
    <row r="967" spans="1:9" x14ac:dyDescent="0.35">
      <c r="A967" t="str">
        <f>"20020"</f>
        <v>20020</v>
      </c>
      <c r="B967" t="s">
        <v>9</v>
      </c>
      <c r="C967" t="s">
        <v>462</v>
      </c>
      <c r="D967" s="5" t="s">
        <v>11</v>
      </c>
      <c r="E967" s="5" t="s">
        <v>12</v>
      </c>
      <c r="F967" s="3" t="s">
        <v>13</v>
      </c>
      <c r="G967" s="3" t="s">
        <v>13</v>
      </c>
      <c r="H967" s="3" t="s">
        <v>13</v>
      </c>
      <c r="I967" s="3">
        <v>201389900</v>
      </c>
    </row>
    <row r="968" spans="1:9" x14ac:dyDescent="0.35">
      <c r="A968" t="str">
        <f>"20022"</f>
        <v>20022</v>
      </c>
      <c r="B968" t="s">
        <v>9</v>
      </c>
      <c r="C968" t="s">
        <v>34</v>
      </c>
      <c r="D968" s="5" t="s">
        <v>11</v>
      </c>
      <c r="E968" s="5" t="s">
        <v>12</v>
      </c>
      <c r="F968" s="3" t="s">
        <v>13</v>
      </c>
      <c r="G968" s="3" t="s">
        <v>13</v>
      </c>
      <c r="H968" s="3" t="s">
        <v>13</v>
      </c>
      <c r="I968" s="3">
        <v>333359100</v>
      </c>
    </row>
    <row r="969" spans="1:9" x14ac:dyDescent="0.35">
      <c r="A969" t="str">
        <f>"20024"</f>
        <v>20024</v>
      </c>
      <c r="B969" t="s">
        <v>9</v>
      </c>
      <c r="C969" t="s">
        <v>463</v>
      </c>
      <c r="D969" s="5" t="s">
        <v>11</v>
      </c>
      <c r="E969" s="5" t="s">
        <v>12</v>
      </c>
      <c r="F969" s="3" t="s">
        <v>13</v>
      </c>
      <c r="G969" s="3" t="s">
        <v>13</v>
      </c>
      <c r="H969" s="3" t="s">
        <v>13</v>
      </c>
      <c r="I969" s="3">
        <v>286994400</v>
      </c>
    </row>
    <row r="970" spans="1:9" x14ac:dyDescent="0.35">
      <c r="A970" t="str">
        <f>"20026"</f>
        <v>20026</v>
      </c>
      <c r="B970" t="s">
        <v>9</v>
      </c>
      <c r="C970" t="s">
        <v>464</v>
      </c>
      <c r="D970" s="5" t="s">
        <v>11</v>
      </c>
      <c r="E970" s="5" t="s">
        <v>12</v>
      </c>
      <c r="F970" s="3" t="s">
        <v>13</v>
      </c>
      <c r="G970" s="3" t="s">
        <v>13</v>
      </c>
      <c r="H970" s="3" t="s">
        <v>13</v>
      </c>
      <c r="I970" s="3">
        <v>216285800</v>
      </c>
    </row>
    <row r="971" spans="1:9" x14ac:dyDescent="0.35">
      <c r="A971" t="str">
        <f>"20028"</f>
        <v>20028</v>
      </c>
      <c r="B971" t="s">
        <v>9</v>
      </c>
      <c r="C971" t="s">
        <v>465</v>
      </c>
      <c r="D971" s="5" t="s">
        <v>11</v>
      </c>
      <c r="E971" s="5" t="s">
        <v>12</v>
      </c>
      <c r="F971" s="3" t="s">
        <v>13</v>
      </c>
      <c r="G971" s="3" t="s">
        <v>13</v>
      </c>
      <c r="H971" s="3" t="s">
        <v>13</v>
      </c>
      <c r="I971" s="3">
        <v>113766200</v>
      </c>
    </row>
    <row r="972" spans="1:9" x14ac:dyDescent="0.35">
      <c r="A972" t="str">
        <f>"20030"</f>
        <v>20030</v>
      </c>
      <c r="B972" t="s">
        <v>9</v>
      </c>
      <c r="C972" t="s">
        <v>466</v>
      </c>
      <c r="D972" s="5" t="s">
        <v>11</v>
      </c>
      <c r="E972" s="5" t="s">
        <v>12</v>
      </c>
      <c r="F972" s="3" t="s">
        <v>13</v>
      </c>
      <c r="G972" s="3" t="s">
        <v>13</v>
      </c>
      <c r="H972" s="3" t="s">
        <v>13</v>
      </c>
      <c r="I972" s="3">
        <v>115803800</v>
      </c>
    </row>
    <row r="973" spans="1:9" x14ac:dyDescent="0.35">
      <c r="A973" t="str">
        <f>"20032"</f>
        <v>20032</v>
      </c>
      <c r="B973" t="s">
        <v>9</v>
      </c>
      <c r="C973" t="s">
        <v>467</v>
      </c>
      <c r="D973" s="5" t="s">
        <v>11</v>
      </c>
      <c r="E973" s="5" t="s">
        <v>12</v>
      </c>
      <c r="F973" s="3" t="s">
        <v>13</v>
      </c>
      <c r="G973" s="3" t="s">
        <v>13</v>
      </c>
      <c r="H973" s="3" t="s">
        <v>13</v>
      </c>
      <c r="I973" s="3">
        <v>413238800</v>
      </c>
    </row>
    <row r="974" spans="1:9" x14ac:dyDescent="0.35">
      <c r="A974" t="str">
        <f>"20034"</f>
        <v>20034</v>
      </c>
      <c r="B974" t="s">
        <v>9</v>
      </c>
      <c r="C974" t="s">
        <v>468</v>
      </c>
      <c r="D974" s="5" t="s">
        <v>11</v>
      </c>
      <c r="E974" s="5" t="s">
        <v>12</v>
      </c>
      <c r="F974" s="3" t="s">
        <v>13</v>
      </c>
      <c r="G974" s="3" t="s">
        <v>13</v>
      </c>
      <c r="H974" s="3" t="s">
        <v>13</v>
      </c>
      <c r="I974" s="3">
        <v>197408600</v>
      </c>
    </row>
    <row r="975" spans="1:9" x14ac:dyDescent="0.35">
      <c r="A975" t="str">
        <f>"20036"</f>
        <v>20036</v>
      </c>
      <c r="B975" t="s">
        <v>9</v>
      </c>
      <c r="C975" t="s">
        <v>469</v>
      </c>
      <c r="D975" s="5" t="s">
        <v>11</v>
      </c>
      <c r="E975" s="5" t="s">
        <v>12</v>
      </c>
      <c r="F975" s="3" t="s">
        <v>13</v>
      </c>
      <c r="G975" s="3" t="s">
        <v>13</v>
      </c>
      <c r="H975" s="3" t="s">
        <v>13</v>
      </c>
      <c r="I975" s="3">
        <v>119164500</v>
      </c>
    </row>
    <row r="976" spans="1:9" x14ac:dyDescent="0.35">
      <c r="A976" t="str">
        <f>"20038"</f>
        <v>20038</v>
      </c>
      <c r="B976" t="s">
        <v>9</v>
      </c>
      <c r="C976" t="s">
        <v>269</v>
      </c>
      <c r="D976" s="5" t="s">
        <v>11</v>
      </c>
      <c r="E976" s="5" t="s">
        <v>12</v>
      </c>
      <c r="F976" s="3" t="s">
        <v>13</v>
      </c>
      <c r="G976" s="3" t="s">
        <v>13</v>
      </c>
      <c r="H976" s="3" t="s">
        <v>13</v>
      </c>
      <c r="I976" s="3">
        <v>105382800</v>
      </c>
    </row>
    <row r="977" spans="1:9" x14ac:dyDescent="0.35">
      <c r="A977" t="str">
        <f>"20040"</f>
        <v>20040</v>
      </c>
      <c r="B977" t="s">
        <v>9</v>
      </c>
      <c r="C977" t="s">
        <v>470</v>
      </c>
      <c r="D977" s="5" t="s">
        <v>11</v>
      </c>
      <c r="E977" s="5" t="s">
        <v>12</v>
      </c>
      <c r="F977" s="3" t="s">
        <v>13</v>
      </c>
      <c r="G977" s="3" t="s">
        <v>13</v>
      </c>
      <c r="H977" s="3" t="s">
        <v>13</v>
      </c>
      <c r="I977" s="3">
        <v>963606500</v>
      </c>
    </row>
    <row r="978" spans="1:9" x14ac:dyDescent="0.35">
      <c r="A978" t="str">
        <f>"20042"</f>
        <v>20042</v>
      </c>
      <c r="B978" t="s">
        <v>9</v>
      </c>
      <c r="C978" t="s">
        <v>378</v>
      </c>
      <c r="D978" s="5" t="s">
        <v>11</v>
      </c>
      <c r="E978" s="5" t="s">
        <v>12</v>
      </c>
      <c r="F978" s="3" t="s">
        <v>13</v>
      </c>
      <c r="G978" s="3" t="s">
        <v>13</v>
      </c>
      <c r="H978" s="3" t="s">
        <v>13</v>
      </c>
      <c r="I978" s="3">
        <v>234966400</v>
      </c>
    </row>
    <row r="979" spans="1:9" x14ac:dyDescent="0.35">
      <c r="A979" t="s">
        <v>30</v>
      </c>
      <c r="B979" t="s">
        <v>31</v>
      </c>
      <c r="C979" t="s">
        <v>32</v>
      </c>
      <c r="D979" s="5" t="s">
        <v>11</v>
      </c>
      <c r="E979" s="5" t="s">
        <v>12</v>
      </c>
      <c r="F979" s="3" t="s">
        <v>13</v>
      </c>
      <c r="G979" s="3" t="s">
        <v>13</v>
      </c>
      <c r="H979" s="3" t="s">
        <v>13</v>
      </c>
      <c r="I979" s="3">
        <v>6516165800</v>
      </c>
    </row>
    <row r="980" spans="1:9" x14ac:dyDescent="0.35">
      <c r="A980" t="str">
        <f>"20106"</f>
        <v>20106</v>
      </c>
      <c r="B980" t="s">
        <v>33</v>
      </c>
      <c r="C980" t="s">
        <v>471</v>
      </c>
      <c r="D980" s="5" t="s">
        <v>11</v>
      </c>
      <c r="E980" s="5" t="s">
        <v>12</v>
      </c>
      <c r="F980" s="3" t="s">
        <v>13</v>
      </c>
      <c r="G980" s="3" t="s">
        <v>13</v>
      </c>
      <c r="H980" s="3" t="s">
        <v>13</v>
      </c>
      <c r="I980" s="3">
        <v>75914600</v>
      </c>
    </row>
    <row r="981" spans="1:9" x14ac:dyDescent="0.35">
      <c r="A981" t="str">
        <f>"20111"</f>
        <v>20111</v>
      </c>
      <c r="B981" t="s">
        <v>33</v>
      </c>
      <c r="C981" t="s">
        <v>472</v>
      </c>
      <c r="D981" s="5" t="str">
        <f>"001"</f>
        <v>001</v>
      </c>
      <c r="E981" s="5">
        <v>2011</v>
      </c>
      <c r="F981" s="3">
        <v>1763300</v>
      </c>
      <c r="G981" s="3">
        <v>9306200</v>
      </c>
      <c r="H981" s="3">
        <v>7542900</v>
      </c>
    </row>
    <row r="982" spans="1:9" x14ac:dyDescent="0.35">
      <c r="A982" t="str">
        <f>"20111"</f>
        <v>20111</v>
      </c>
      <c r="B982" t="s">
        <v>33</v>
      </c>
      <c r="C982" t="s">
        <v>472</v>
      </c>
      <c r="D982" s="5" t="str">
        <f>"002"</f>
        <v>002</v>
      </c>
      <c r="E982" s="5">
        <v>2022</v>
      </c>
      <c r="F982" s="3">
        <v>17427600</v>
      </c>
      <c r="G982" s="3">
        <v>36000200</v>
      </c>
      <c r="H982" s="3">
        <v>18572600</v>
      </c>
    </row>
    <row r="983" spans="1:9" x14ac:dyDescent="0.35">
      <c r="A983" t="str">
        <f>"20111"</f>
        <v>20111</v>
      </c>
      <c r="B983" t="s">
        <v>33</v>
      </c>
      <c r="C983" t="s">
        <v>472</v>
      </c>
      <c r="D983" s="5" t="s">
        <v>11</v>
      </c>
      <c r="E983" s="5" t="s">
        <v>12</v>
      </c>
      <c r="F983" s="3" t="s">
        <v>13</v>
      </c>
      <c r="G983" s="3" t="s">
        <v>13</v>
      </c>
      <c r="H983" s="3" t="s">
        <v>13</v>
      </c>
      <c r="I983" s="3">
        <v>206223800</v>
      </c>
    </row>
    <row r="984" spans="1:9" x14ac:dyDescent="0.35">
      <c r="A984" t="str">
        <f>"20121"</f>
        <v>20121</v>
      </c>
      <c r="B984" t="s">
        <v>33</v>
      </c>
      <c r="C984" t="s">
        <v>458</v>
      </c>
      <c r="D984" s="5" t="s">
        <v>11</v>
      </c>
      <c r="E984" s="5" t="s">
        <v>12</v>
      </c>
      <c r="F984" s="3" t="s">
        <v>13</v>
      </c>
      <c r="G984" s="3" t="s">
        <v>13</v>
      </c>
      <c r="H984" s="3" t="s">
        <v>13</v>
      </c>
      <c r="I984" s="3">
        <v>83951000</v>
      </c>
    </row>
    <row r="985" spans="1:9" x14ac:dyDescent="0.35">
      <c r="A985" t="str">
        <f>"20126"</f>
        <v>20126</v>
      </c>
      <c r="B985" t="s">
        <v>33</v>
      </c>
      <c r="C985" t="s">
        <v>473</v>
      </c>
      <c r="D985" s="5" t="str">
        <f>"001"</f>
        <v>001</v>
      </c>
      <c r="E985" s="5">
        <v>1997</v>
      </c>
      <c r="F985" s="3">
        <v>751400</v>
      </c>
      <c r="G985" s="3">
        <v>9281200</v>
      </c>
      <c r="H985" s="3">
        <v>8529800</v>
      </c>
    </row>
    <row r="986" spans="1:9" x14ac:dyDescent="0.35">
      <c r="A986" t="str">
        <f>"20126"</f>
        <v>20126</v>
      </c>
      <c r="B986" t="s">
        <v>33</v>
      </c>
      <c r="C986" t="s">
        <v>473</v>
      </c>
      <c r="D986" s="5" t="s">
        <v>11</v>
      </c>
      <c r="E986" s="5" t="s">
        <v>12</v>
      </c>
      <c r="F986" s="3" t="s">
        <v>13</v>
      </c>
      <c r="G986" s="3" t="s">
        <v>13</v>
      </c>
      <c r="H986" s="3" t="s">
        <v>13</v>
      </c>
      <c r="I986" s="3">
        <v>26844300</v>
      </c>
    </row>
    <row r="987" spans="1:9" x14ac:dyDescent="0.35">
      <c r="A987" t="str">
        <f>"20142"</f>
        <v>20142</v>
      </c>
      <c r="B987" t="s">
        <v>33</v>
      </c>
      <c r="C987" t="s">
        <v>474</v>
      </c>
      <c r="D987" s="5" t="s">
        <v>11</v>
      </c>
      <c r="E987" s="5" t="s">
        <v>12</v>
      </c>
      <c r="F987" s="3" t="s">
        <v>13</v>
      </c>
      <c r="G987" s="3" t="s">
        <v>13</v>
      </c>
      <c r="H987" s="3" t="s">
        <v>13</v>
      </c>
      <c r="I987" s="3">
        <v>0</v>
      </c>
    </row>
    <row r="988" spans="1:9" x14ac:dyDescent="0.35">
      <c r="A988" t="str">
        <f>"20151"</f>
        <v>20151</v>
      </c>
      <c r="B988" t="s">
        <v>33</v>
      </c>
      <c r="C988" t="s">
        <v>475</v>
      </c>
      <c r="D988" s="5" t="s">
        <v>11</v>
      </c>
      <c r="E988" s="5" t="s">
        <v>12</v>
      </c>
      <c r="F988" s="3" t="s">
        <v>13</v>
      </c>
      <c r="G988" s="3" t="s">
        <v>13</v>
      </c>
      <c r="H988" s="3" t="s">
        <v>13</v>
      </c>
      <c r="I988" s="3">
        <v>60450600</v>
      </c>
    </row>
    <row r="989" spans="1:9" x14ac:dyDescent="0.35">
      <c r="A989" t="str">
        <f>"20161"</f>
        <v>20161</v>
      </c>
      <c r="B989" t="s">
        <v>33</v>
      </c>
      <c r="C989" t="s">
        <v>476</v>
      </c>
      <c r="D989" s="5" t="str">
        <f>"002"</f>
        <v>002</v>
      </c>
      <c r="E989" s="5">
        <v>2008</v>
      </c>
      <c r="F989" s="3">
        <v>4175100</v>
      </c>
      <c r="G989" s="3">
        <v>5310400</v>
      </c>
      <c r="H989" s="3">
        <v>1135300</v>
      </c>
    </row>
    <row r="990" spans="1:9" x14ac:dyDescent="0.35">
      <c r="A990" t="str">
        <f>"20161"</f>
        <v>20161</v>
      </c>
      <c r="B990" t="s">
        <v>33</v>
      </c>
      <c r="C990" t="s">
        <v>476</v>
      </c>
      <c r="D990" s="5" t="s">
        <v>11</v>
      </c>
      <c r="E990" s="5" t="s">
        <v>12</v>
      </c>
      <c r="F990" s="3" t="s">
        <v>13</v>
      </c>
      <c r="G990" s="3" t="s">
        <v>13</v>
      </c>
      <c r="H990" s="3" t="s">
        <v>13</v>
      </c>
      <c r="I990" s="3">
        <v>404107100</v>
      </c>
    </row>
    <row r="991" spans="1:9" x14ac:dyDescent="0.35">
      <c r="A991" t="str">
        <f>"20165"</f>
        <v>20165</v>
      </c>
      <c r="B991" t="s">
        <v>33</v>
      </c>
      <c r="C991" t="s">
        <v>466</v>
      </c>
      <c r="D991" s="5" t="str">
        <f>"002"</f>
        <v>002</v>
      </c>
      <c r="E991" s="5">
        <v>1997</v>
      </c>
      <c r="F991" s="3">
        <v>888200</v>
      </c>
      <c r="G991" s="3">
        <v>6361100</v>
      </c>
      <c r="H991" s="3">
        <v>5472900</v>
      </c>
    </row>
    <row r="992" spans="1:9" x14ac:dyDescent="0.35">
      <c r="A992" t="str">
        <f>"20165"</f>
        <v>20165</v>
      </c>
      <c r="B992" t="s">
        <v>33</v>
      </c>
      <c r="C992" t="s">
        <v>466</v>
      </c>
      <c r="D992" s="5" t="s">
        <v>11</v>
      </c>
      <c r="E992" s="5" t="s">
        <v>12</v>
      </c>
      <c r="F992" s="3" t="s">
        <v>13</v>
      </c>
      <c r="G992" s="3" t="s">
        <v>13</v>
      </c>
      <c r="H992" s="3" t="s">
        <v>13</v>
      </c>
      <c r="I992" s="3">
        <v>117356500</v>
      </c>
    </row>
    <row r="993" spans="1:9" x14ac:dyDescent="0.35">
      <c r="A993" t="str">
        <f>"20176"</f>
        <v>20176</v>
      </c>
      <c r="B993" t="s">
        <v>33</v>
      </c>
      <c r="C993" t="s">
        <v>469</v>
      </c>
      <c r="D993" s="5" t="str">
        <f>"001"</f>
        <v>001</v>
      </c>
      <c r="E993" s="5">
        <v>2011</v>
      </c>
      <c r="F993" s="3">
        <v>3464400</v>
      </c>
      <c r="G993" s="3">
        <v>5397800</v>
      </c>
      <c r="H993" s="3">
        <v>1933400</v>
      </c>
    </row>
    <row r="994" spans="1:9" x14ac:dyDescent="0.35">
      <c r="A994" t="str">
        <f>"20176"</f>
        <v>20176</v>
      </c>
      <c r="B994" t="s">
        <v>33</v>
      </c>
      <c r="C994" t="s">
        <v>469</v>
      </c>
      <c r="D994" s="5" t="str">
        <f>"002"</f>
        <v>002</v>
      </c>
      <c r="E994" s="5">
        <v>2019</v>
      </c>
      <c r="F994" s="3">
        <v>3650800</v>
      </c>
      <c r="G994" s="3">
        <v>6364700</v>
      </c>
      <c r="H994" s="3">
        <v>2713900</v>
      </c>
    </row>
    <row r="995" spans="1:9" x14ac:dyDescent="0.35">
      <c r="A995" t="str">
        <f>"20176"</f>
        <v>20176</v>
      </c>
      <c r="B995" t="s">
        <v>33</v>
      </c>
      <c r="C995" t="s">
        <v>469</v>
      </c>
      <c r="D995" s="5" t="s">
        <v>11</v>
      </c>
      <c r="E995" s="5" t="s">
        <v>12</v>
      </c>
      <c r="F995" s="3" t="s">
        <v>13</v>
      </c>
      <c r="G995" s="3" t="s">
        <v>13</v>
      </c>
      <c r="H995" s="3" t="s">
        <v>13</v>
      </c>
      <c r="I995" s="3">
        <v>105309300</v>
      </c>
    </row>
    <row r="996" spans="1:9" x14ac:dyDescent="0.35">
      <c r="A996" t="str">
        <f>"20181"</f>
        <v>20181</v>
      </c>
      <c r="B996" t="s">
        <v>33</v>
      </c>
      <c r="C996" t="s">
        <v>477</v>
      </c>
      <c r="D996" s="5" t="s">
        <v>11</v>
      </c>
      <c r="E996" s="5" t="s">
        <v>12</v>
      </c>
      <c r="F996" s="3" t="s">
        <v>13</v>
      </c>
      <c r="G996" s="3" t="s">
        <v>13</v>
      </c>
      <c r="H996" s="3" t="s">
        <v>13</v>
      </c>
      <c r="I996" s="3">
        <v>51005000</v>
      </c>
    </row>
    <row r="997" spans="1:9" x14ac:dyDescent="0.35">
      <c r="A997" t="s">
        <v>30</v>
      </c>
      <c r="B997" t="s">
        <v>35</v>
      </c>
      <c r="C997" t="s">
        <v>32</v>
      </c>
      <c r="D997" s="5" t="s">
        <v>11</v>
      </c>
      <c r="E997" s="5" t="s">
        <v>12</v>
      </c>
      <c r="F997" s="3" t="s">
        <v>13</v>
      </c>
      <c r="G997" s="3" t="s">
        <v>13</v>
      </c>
      <c r="H997" s="3" t="s">
        <v>13</v>
      </c>
      <c r="I997" s="3">
        <v>1131162200</v>
      </c>
    </row>
    <row r="998" spans="1:9" x14ac:dyDescent="0.35">
      <c r="A998" t="str">
        <f t="shared" ref="A998:A1007" si="21">"20226"</f>
        <v>20226</v>
      </c>
      <c r="B998" t="s">
        <v>36</v>
      </c>
      <c r="C998" t="s">
        <v>461</v>
      </c>
      <c r="D998" s="5" t="str">
        <f>"013"</f>
        <v>013</v>
      </c>
      <c r="E998" s="5">
        <v>2010</v>
      </c>
      <c r="F998" s="3">
        <v>2732500</v>
      </c>
      <c r="G998" s="3">
        <v>6339800</v>
      </c>
      <c r="H998" s="3">
        <v>3607300</v>
      </c>
    </row>
    <row r="999" spans="1:9" x14ac:dyDescent="0.35">
      <c r="A999" t="str">
        <f t="shared" si="21"/>
        <v>20226</v>
      </c>
      <c r="B999" t="s">
        <v>36</v>
      </c>
      <c r="C999" t="s">
        <v>461</v>
      </c>
      <c r="D999" s="5" t="str">
        <f>"014"</f>
        <v>014</v>
      </c>
      <c r="E999" s="5">
        <v>2011</v>
      </c>
      <c r="F999" s="3">
        <v>529000</v>
      </c>
      <c r="G999" s="3">
        <v>11815600</v>
      </c>
      <c r="H999" s="3">
        <v>11286600</v>
      </c>
    </row>
    <row r="1000" spans="1:9" x14ac:dyDescent="0.35">
      <c r="A1000" t="str">
        <f t="shared" si="21"/>
        <v>20226</v>
      </c>
      <c r="B1000" t="s">
        <v>36</v>
      </c>
      <c r="C1000" t="s">
        <v>461</v>
      </c>
      <c r="D1000" s="5" t="str">
        <f>"015"</f>
        <v>015</v>
      </c>
      <c r="E1000" s="5">
        <v>2011</v>
      </c>
      <c r="F1000" s="3">
        <v>196200</v>
      </c>
      <c r="G1000" s="3">
        <v>1353400</v>
      </c>
      <c r="H1000" s="3">
        <v>1157200</v>
      </c>
    </row>
    <row r="1001" spans="1:9" x14ac:dyDescent="0.35">
      <c r="A1001" t="str">
        <f t="shared" si="21"/>
        <v>20226</v>
      </c>
      <c r="B1001" t="s">
        <v>36</v>
      </c>
      <c r="C1001" t="s">
        <v>461</v>
      </c>
      <c r="D1001" s="5" t="str">
        <f>"019"</f>
        <v>019</v>
      </c>
      <c r="E1001" s="5">
        <v>2015</v>
      </c>
      <c r="F1001" s="3">
        <v>759800</v>
      </c>
      <c r="G1001" s="3">
        <v>2071000</v>
      </c>
      <c r="H1001" s="3">
        <v>1311200</v>
      </c>
    </row>
    <row r="1002" spans="1:9" x14ac:dyDescent="0.35">
      <c r="A1002" t="str">
        <f t="shared" si="21"/>
        <v>20226</v>
      </c>
      <c r="B1002" t="s">
        <v>36</v>
      </c>
      <c r="C1002" t="s">
        <v>461</v>
      </c>
      <c r="D1002" s="5" t="str">
        <f>"020"</f>
        <v>020</v>
      </c>
      <c r="E1002" s="5">
        <v>2017</v>
      </c>
      <c r="F1002" s="3">
        <v>0</v>
      </c>
      <c r="G1002" s="3">
        <v>1340600</v>
      </c>
      <c r="H1002" s="3">
        <v>1340600</v>
      </c>
    </row>
    <row r="1003" spans="1:9" x14ac:dyDescent="0.35">
      <c r="A1003" t="str">
        <f t="shared" si="21"/>
        <v>20226</v>
      </c>
      <c r="B1003" t="s">
        <v>36</v>
      </c>
      <c r="C1003" t="s">
        <v>461</v>
      </c>
      <c r="D1003" s="5" t="str">
        <f>"021"</f>
        <v>021</v>
      </c>
      <c r="E1003" s="5">
        <v>2017</v>
      </c>
      <c r="F1003" s="3">
        <v>2156400</v>
      </c>
      <c r="G1003" s="3">
        <v>2156400</v>
      </c>
      <c r="H1003" s="3">
        <v>0</v>
      </c>
    </row>
    <row r="1004" spans="1:9" x14ac:dyDescent="0.35">
      <c r="A1004" t="str">
        <f t="shared" si="21"/>
        <v>20226</v>
      </c>
      <c r="B1004" t="s">
        <v>36</v>
      </c>
      <c r="C1004" t="s">
        <v>461</v>
      </c>
      <c r="D1004" s="5" t="str">
        <f>"022"</f>
        <v>022</v>
      </c>
      <c r="E1004" s="5">
        <v>2017</v>
      </c>
      <c r="F1004" s="3">
        <v>1517700</v>
      </c>
      <c r="G1004" s="3">
        <v>13330700</v>
      </c>
      <c r="H1004" s="3">
        <v>11813000</v>
      </c>
    </row>
    <row r="1005" spans="1:9" x14ac:dyDescent="0.35">
      <c r="A1005" t="str">
        <f t="shared" si="21"/>
        <v>20226</v>
      </c>
      <c r="B1005" t="s">
        <v>36</v>
      </c>
      <c r="C1005" t="s">
        <v>461</v>
      </c>
      <c r="D1005" s="5" t="str">
        <f>"023"</f>
        <v>023</v>
      </c>
      <c r="E1005" s="5">
        <v>2018</v>
      </c>
      <c r="F1005" s="3">
        <v>5248100</v>
      </c>
      <c r="G1005" s="3">
        <v>8734700</v>
      </c>
      <c r="H1005" s="3">
        <v>3486600</v>
      </c>
    </row>
    <row r="1006" spans="1:9" x14ac:dyDescent="0.35">
      <c r="A1006" t="str">
        <f t="shared" si="21"/>
        <v>20226</v>
      </c>
      <c r="B1006" t="s">
        <v>36</v>
      </c>
      <c r="C1006" t="s">
        <v>461</v>
      </c>
      <c r="D1006" s="5" t="str">
        <f>"025"</f>
        <v>025</v>
      </c>
      <c r="E1006" s="5">
        <v>2023</v>
      </c>
      <c r="F1006" s="3">
        <v>5658600</v>
      </c>
      <c r="G1006" s="3">
        <v>5959200</v>
      </c>
      <c r="H1006" s="3">
        <v>300600</v>
      </c>
    </row>
    <row r="1007" spans="1:9" x14ac:dyDescent="0.35">
      <c r="A1007" t="str">
        <f t="shared" si="21"/>
        <v>20226</v>
      </c>
      <c r="B1007" t="s">
        <v>36</v>
      </c>
      <c r="C1007" t="s">
        <v>461</v>
      </c>
      <c r="D1007" s="5" t="s">
        <v>11</v>
      </c>
      <c r="E1007" s="5" t="s">
        <v>12</v>
      </c>
      <c r="F1007" s="3" t="s">
        <v>13</v>
      </c>
      <c r="G1007" s="3" t="s">
        <v>13</v>
      </c>
      <c r="H1007" s="3" t="s">
        <v>13</v>
      </c>
      <c r="I1007" s="3">
        <v>5091171700</v>
      </c>
    </row>
    <row r="1008" spans="1:9" x14ac:dyDescent="0.35">
      <c r="A1008" t="str">
        <f t="shared" ref="A1008:A1016" si="22">"20276"</f>
        <v>20276</v>
      </c>
      <c r="B1008" t="s">
        <v>36</v>
      </c>
      <c r="C1008" t="s">
        <v>468</v>
      </c>
      <c r="D1008" s="5" t="str">
        <f>"007"</f>
        <v>007</v>
      </c>
      <c r="E1008" s="5">
        <v>2007</v>
      </c>
      <c r="F1008" s="3">
        <v>845600</v>
      </c>
      <c r="G1008" s="3">
        <v>17835000</v>
      </c>
      <c r="H1008" s="3">
        <v>16989400</v>
      </c>
    </row>
    <row r="1009" spans="1:9" x14ac:dyDescent="0.35">
      <c r="A1009" t="str">
        <f t="shared" si="22"/>
        <v>20276</v>
      </c>
      <c r="B1009" t="s">
        <v>36</v>
      </c>
      <c r="C1009" t="s">
        <v>468</v>
      </c>
      <c r="D1009" s="5" t="str">
        <f>"009"</f>
        <v>009</v>
      </c>
      <c r="E1009" s="5">
        <v>2009</v>
      </c>
      <c r="F1009" s="3">
        <v>7100</v>
      </c>
      <c r="G1009" s="3">
        <v>9158800</v>
      </c>
      <c r="H1009" s="3">
        <v>9151700</v>
      </c>
    </row>
    <row r="1010" spans="1:9" x14ac:dyDescent="0.35">
      <c r="A1010" t="str">
        <f t="shared" si="22"/>
        <v>20276</v>
      </c>
      <c r="B1010" t="s">
        <v>36</v>
      </c>
      <c r="C1010" t="s">
        <v>468</v>
      </c>
      <c r="D1010" s="5" t="str">
        <f>"010"</f>
        <v>010</v>
      </c>
      <c r="E1010" s="5">
        <v>2009</v>
      </c>
      <c r="F1010" s="3">
        <v>34400</v>
      </c>
      <c r="G1010" s="3">
        <v>16019600</v>
      </c>
      <c r="H1010" s="3">
        <v>15985200</v>
      </c>
    </row>
    <row r="1011" spans="1:9" x14ac:dyDescent="0.35">
      <c r="A1011" t="str">
        <f t="shared" si="22"/>
        <v>20276</v>
      </c>
      <c r="B1011" t="s">
        <v>36</v>
      </c>
      <c r="C1011" t="s">
        <v>468</v>
      </c>
      <c r="D1011" s="5" t="str">
        <f>"011"</f>
        <v>011</v>
      </c>
      <c r="E1011" s="5">
        <v>2009</v>
      </c>
      <c r="F1011" s="3">
        <v>6384300</v>
      </c>
      <c r="G1011" s="3">
        <v>14906600</v>
      </c>
      <c r="H1011" s="3">
        <v>8522300</v>
      </c>
    </row>
    <row r="1012" spans="1:9" x14ac:dyDescent="0.35">
      <c r="A1012" t="str">
        <f t="shared" si="22"/>
        <v>20276</v>
      </c>
      <c r="B1012" t="s">
        <v>36</v>
      </c>
      <c r="C1012" t="s">
        <v>468</v>
      </c>
      <c r="D1012" s="5" t="str">
        <f>"012"</f>
        <v>012</v>
      </c>
      <c r="E1012" s="5">
        <v>2014</v>
      </c>
      <c r="F1012" s="3">
        <v>727100</v>
      </c>
      <c r="G1012" s="3">
        <v>4822500</v>
      </c>
      <c r="H1012" s="3">
        <v>4095400</v>
      </c>
    </row>
    <row r="1013" spans="1:9" x14ac:dyDescent="0.35">
      <c r="A1013" t="str">
        <f t="shared" si="22"/>
        <v>20276</v>
      </c>
      <c r="B1013" t="s">
        <v>36</v>
      </c>
      <c r="C1013" t="s">
        <v>468</v>
      </c>
      <c r="D1013" s="5" t="str">
        <f>"014"</f>
        <v>014</v>
      </c>
      <c r="E1013" s="5">
        <v>2016</v>
      </c>
      <c r="F1013" s="3">
        <v>0</v>
      </c>
      <c r="G1013" s="3">
        <v>24240300</v>
      </c>
      <c r="H1013" s="3">
        <v>24240300</v>
      </c>
    </row>
    <row r="1014" spans="1:9" x14ac:dyDescent="0.35">
      <c r="A1014" t="str">
        <f t="shared" si="22"/>
        <v>20276</v>
      </c>
      <c r="B1014" t="s">
        <v>36</v>
      </c>
      <c r="C1014" t="s">
        <v>468</v>
      </c>
      <c r="D1014" s="5" t="str">
        <f>"015"</f>
        <v>015</v>
      </c>
      <c r="E1014" s="5">
        <v>2017</v>
      </c>
      <c r="F1014" s="3">
        <v>259000</v>
      </c>
      <c r="G1014" s="3">
        <v>5157900</v>
      </c>
      <c r="H1014" s="3">
        <v>4898900</v>
      </c>
    </row>
    <row r="1015" spans="1:9" x14ac:dyDescent="0.35">
      <c r="A1015" t="str">
        <f t="shared" si="22"/>
        <v>20276</v>
      </c>
      <c r="B1015" t="s">
        <v>36</v>
      </c>
      <c r="C1015" t="s">
        <v>468</v>
      </c>
      <c r="D1015" s="5" t="str">
        <f>"016"</f>
        <v>016</v>
      </c>
      <c r="E1015" s="5">
        <v>2025</v>
      </c>
      <c r="F1015" s="3">
        <v>1568700</v>
      </c>
      <c r="G1015" s="3">
        <v>2996200</v>
      </c>
      <c r="H1015" s="3">
        <v>1427500</v>
      </c>
    </row>
    <row r="1016" spans="1:9" x14ac:dyDescent="0.35">
      <c r="A1016" t="str">
        <f t="shared" si="22"/>
        <v>20276</v>
      </c>
      <c r="B1016" t="s">
        <v>36</v>
      </c>
      <c r="C1016" t="s">
        <v>468</v>
      </c>
      <c r="D1016" s="5" t="s">
        <v>11</v>
      </c>
      <c r="E1016" s="5" t="s">
        <v>12</v>
      </c>
      <c r="F1016" s="3" t="s">
        <v>13</v>
      </c>
      <c r="G1016" s="3" t="s">
        <v>13</v>
      </c>
      <c r="H1016" s="3" t="s">
        <v>13</v>
      </c>
      <c r="I1016" s="3">
        <v>698420300</v>
      </c>
    </row>
    <row r="1017" spans="1:9" x14ac:dyDescent="0.35">
      <c r="A1017" t="str">
        <f>"20292"</f>
        <v>20292</v>
      </c>
      <c r="B1017" t="s">
        <v>36</v>
      </c>
      <c r="C1017" t="s">
        <v>378</v>
      </c>
      <c r="D1017" s="5" t="str">
        <f>"003"</f>
        <v>003</v>
      </c>
      <c r="E1017" s="5">
        <v>2005</v>
      </c>
      <c r="F1017" s="3">
        <v>10263700</v>
      </c>
      <c r="G1017" s="3">
        <v>21009400</v>
      </c>
      <c r="H1017" s="3">
        <v>10745700</v>
      </c>
    </row>
    <row r="1018" spans="1:9" x14ac:dyDescent="0.35">
      <c r="A1018" t="str">
        <f>"20292"</f>
        <v>20292</v>
      </c>
      <c r="B1018" t="s">
        <v>36</v>
      </c>
      <c r="C1018" t="s">
        <v>378</v>
      </c>
      <c r="D1018" s="5" t="str">
        <f>"008"</f>
        <v>008</v>
      </c>
      <c r="E1018" s="5">
        <v>2018</v>
      </c>
      <c r="F1018" s="3">
        <v>4816700</v>
      </c>
      <c r="G1018" s="3">
        <v>18547500</v>
      </c>
      <c r="H1018" s="3">
        <v>13730800</v>
      </c>
    </row>
    <row r="1019" spans="1:9" x14ac:dyDescent="0.35">
      <c r="A1019" t="str">
        <f>"20292"</f>
        <v>20292</v>
      </c>
      <c r="B1019" t="s">
        <v>36</v>
      </c>
      <c r="C1019" t="s">
        <v>378</v>
      </c>
      <c r="D1019" s="5" t="s">
        <v>11</v>
      </c>
      <c r="E1019" s="5" t="s">
        <v>12</v>
      </c>
      <c r="F1019" s="3" t="s">
        <v>13</v>
      </c>
      <c r="G1019" s="3" t="s">
        <v>13</v>
      </c>
      <c r="H1019" s="3" t="s">
        <v>13</v>
      </c>
      <c r="I1019" s="3">
        <v>393811800</v>
      </c>
    </row>
    <row r="1020" spans="1:9" x14ac:dyDescent="0.35">
      <c r="A1020" t="s">
        <v>30</v>
      </c>
      <c r="B1020" t="s">
        <v>38</v>
      </c>
      <c r="C1020" t="s">
        <v>32</v>
      </c>
      <c r="D1020" s="5" t="s">
        <v>11</v>
      </c>
      <c r="E1020" s="5" t="s">
        <v>12</v>
      </c>
      <c r="F1020" s="3" t="s">
        <v>13</v>
      </c>
      <c r="G1020" s="3" t="s">
        <v>13</v>
      </c>
      <c r="H1020" s="3" t="s">
        <v>13</v>
      </c>
      <c r="I1020" s="3">
        <v>6183403800</v>
      </c>
    </row>
    <row r="1021" spans="1:9" x14ac:dyDescent="0.35">
      <c r="A1021" t="s">
        <v>30</v>
      </c>
      <c r="B1021" t="s">
        <v>39</v>
      </c>
      <c r="C1021" t="s">
        <v>461</v>
      </c>
      <c r="D1021" s="5" t="s">
        <v>11</v>
      </c>
      <c r="E1021" s="5" t="s">
        <v>12</v>
      </c>
      <c r="F1021" s="3" t="s">
        <v>13</v>
      </c>
      <c r="G1021" s="3" t="s">
        <v>13</v>
      </c>
      <c r="H1021" s="3" t="s">
        <v>13</v>
      </c>
      <c r="I1021" s="3">
        <v>13830731800</v>
      </c>
    </row>
    <row r="1022" spans="1:9" x14ac:dyDescent="0.35">
      <c r="A1022" t="str">
        <f>"21002"</f>
        <v>21002</v>
      </c>
      <c r="B1022" t="s">
        <v>9</v>
      </c>
      <c r="C1022" t="s">
        <v>478</v>
      </c>
      <c r="D1022" s="5" t="s">
        <v>11</v>
      </c>
      <c r="E1022" s="5" t="s">
        <v>12</v>
      </c>
      <c r="F1022" s="3" t="s">
        <v>13</v>
      </c>
      <c r="G1022" s="3" t="s">
        <v>13</v>
      </c>
      <c r="H1022" s="3" t="s">
        <v>13</v>
      </c>
      <c r="I1022" s="3">
        <v>77296600</v>
      </c>
    </row>
    <row r="1023" spans="1:9" x14ac:dyDescent="0.35">
      <c r="A1023" t="str">
        <f>"21004"</f>
        <v>21004</v>
      </c>
      <c r="B1023" t="s">
        <v>9</v>
      </c>
      <c r="C1023" t="s">
        <v>479</v>
      </c>
      <c r="D1023" s="5" t="s">
        <v>11</v>
      </c>
      <c r="E1023" s="5" t="s">
        <v>12</v>
      </c>
      <c r="F1023" s="3" t="s">
        <v>13</v>
      </c>
      <c r="G1023" s="3" t="s">
        <v>13</v>
      </c>
      <c r="H1023" s="3" t="s">
        <v>13</v>
      </c>
      <c r="I1023" s="3">
        <v>76210900</v>
      </c>
    </row>
    <row r="1024" spans="1:9" x14ac:dyDescent="0.35">
      <c r="A1024" t="str">
        <f>"21006"</f>
        <v>21006</v>
      </c>
      <c r="B1024" t="s">
        <v>9</v>
      </c>
      <c r="C1024" t="s">
        <v>480</v>
      </c>
      <c r="D1024" s="5" t="s">
        <v>11</v>
      </c>
      <c r="E1024" s="5" t="s">
        <v>12</v>
      </c>
      <c r="F1024" s="3" t="s">
        <v>13</v>
      </c>
      <c r="G1024" s="3" t="s">
        <v>13</v>
      </c>
      <c r="H1024" s="3" t="s">
        <v>13</v>
      </c>
      <c r="I1024" s="3">
        <v>77685700</v>
      </c>
    </row>
    <row r="1025" spans="1:9" x14ac:dyDescent="0.35">
      <c r="A1025" t="str">
        <f>"21008"</f>
        <v>21008</v>
      </c>
      <c r="B1025" t="s">
        <v>9</v>
      </c>
      <c r="C1025" t="s">
        <v>481</v>
      </c>
      <c r="D1025" s="5" t="s">
        <v>11</v>
      </c>
      <c r="E1025" s="5" t="s">
        <v>12</v>
      </c>
      <c r="F1025" s="3" t="s">
        <v>13</v>
      </c>
      <c r="G1025" s="3" t="s">
        <v>13</v>
      </c>
      <c r="H1025" s="3" t="s">
        <v>13</v>
      </c>
      <c r="I1025" s="3">
        <v>56393000</v>
      </c>
    </row>
    <row r="1026" spans="1:9" x14ac:dyDescent="0.35">
      <c r="A1026" t="str">
        <f>"21010"</f>
        <v>21010</v>
      </c>
      <c r="B1026" t="s">
        <v>9</v>
      </c>
      <c r="C1026" t="s">
        <v>482</v>
      </c>
      <c r="D1026" s="5" t="s">
        <v>11</v>
      </c>
      <c r="E1026" s="5" t="s">
        <v>12</v>
      </c>
      <c r="F1026" s="3" t="s">
        <v>13</v>
      </c>
      <c r="G1026" s="3" t="s">
        <v>13</v>
      </c>
      <c r="H1026" s="3" t="s">
        <v>13</v>
      </c>
      <c r="I1026" s="3">
        <v>22382900</v>
      </c>
    </row>
    <row r="1027" spans="1:9" x14ac:dyDescent="0.35">
      <c r="A1027" t="str">
        <f>"21012"</f>
        <v>21012</v>
      </c>
      <c r="B1027" t="s">
        <v>9</v>
      </c>
      <c r="C1027" t="s">
        <v>483</v>
      </c>
      <c r="D1027" s="5" t="s">
        <v>11</v>
      </c>
      <c r="E1027" s="5" t="s">
        <v>12</v>
      </c>
      <c r="F1027" s="3" t="s">
        <v>13</v>
      </c>
      <c r="G1027" s="3" t="s">
        <v>13</v>
      </c>
      <c r="H1027" s="3" t="s">
        <v>13</v>
      </c>
      <c r="I1027" s="3">
        <v>116237100</v>
      </c>
    </row>
    <row r="1028" spans="1:9" x14ac:dyDescent="0.35">
      <c r="A1028" t="str">
        <f>"21014"</f>
        <v>21014</v>
      </c>
      <c r="B1028" t="s">
        <v>9</v>
      </c>
      <c r="C1028" t="s">
        <v>484</v>
      </c>
      <c r="D1028" s="5" t="s">
        <v>11</v>
      </c>
      <c r="E1028" s="5" t="s">
        <v>12</v>
      </c>
      <c r="F1028" s="3" t="s">
        <v>13</v>
      </c>
      <c r="G1028" s="3" t="s">
        <v>13</v>
      </c>
      <c r="H1028" s="3" t="s">
        <v>13</v>
      </c>
      <c r="I1028" s="3">
        <v>170636800</v>
      </c>
    </row>
    <row r="1029" spans="1:9" x14ac:dyDescent="0.35">
      <c r="A1029" t="str">
        <f>"21016"</f>
        <v>21016</v>
      </c>
      <c r="B1029" t="s">
        <v>9</v>
      </c>
      <c r="C1029" t="s">
        <v>485</v>
      </c>
      <c r="D1029" s="5" t="s">
        <v>11</v>
      </c>
      <c r="E1029" s="5" t="s">
        <v>12</v>
      </c>
      <c r="F1029" s="3" t="s">
        <v>13</v>
      </c>
      <c r="G1029" s="3" t="s">
        <v>13</v>
      </c>
      <c r="H1029" s="3" t="s">
        <v>13</v>
      </c>
      <c r="I1029" s="3">
        <v>274808500</v>
      </c>
    </row>
    <row r="1030" spans="1:9" x14ac:dyDescent="0.35">
      <c r="A1030" t="str">
        <f>"21018"</f>
        <v>21018</v>
      </c>
      <c r="B1030" t="s">
        <v>9</v>
      </c>
      <c r="C1030" t="s">
        <v>486</v>
      </c>
      <c r="D1030" s="5" t="s">
        <v>11</v>
      </c>
      <c r="E1030" s="5" t="s">
        <v>12</v>
      </c>
      <c r="F1030" s="3" t="s">
        <v>13</v>
      </c>
      <c r="G1030" s="3" t="s">
        <v>13</v>
      </c>
      <c r="H1030" s="3" t="s">
        <v>13</v>
      </c>
      <c r="I1030" s="3">
        <v>229096500</v>
      </c>
    </row>
    <row r="1031" spans="1:9" x14ac:dyDescent="0.35">
      <c r="A1031" t="str">
        <f>"21020"</f>
        <v>21020</v>
      </c>
      <c r="B1031" t="s">
        <v>9</v>
      </c>
      <c r="C1031" t="s">
        <v>20</v>
      </c>
      <c r="D1031" s="5" t="s">
        <v>11</v>
      </c>
      <c r="E1031" s="5" t="s">
        <v>12</v>
      </c>
      <c r="F1031" s="3" t="s">
        <v>13</v>
      </c>
      <c r="G1031" s="3" t="s">
        <v>13</v>
      </c>
      <c r="H1031" s="3" t="s">
        <v>13</v>
      </c>
      <c r="I1031" s="3">
        <v>418336100</v>
      </c>
    </row>
    <row r="1032" spans="1:9" x14ac:dyDescent="0.35">
      <c r="A1032" t="str">
        <f>"21022"</f>
        <v>21022</v>
      </c>
      <c r="B1032" t="s">
        <v>9</v>
      </c>
      <c r="C1032" t="s">
        <v>487</v>
      </c>
      <c r="D1032" s="5" t="s">
        <v>11</v>
      </c>
      <c r="E1032" s="5" t="s">
        <v>12</v>
      </c>
      <c r="F1032" s="3" t="s">
        <v>13</v>
      </c>
      <c r="G1032" s="3" t="s">
        <v>13</v>
      </c>
      <c r="H1032" s="3" t="s">
        <v>13</v>
      </c>
      <c r="I1032" s="3">
        <v>434263000</v>
      </c>
    </row>
    <row r="1033" spans="1:9" x14ac:dyDescent="0.35">
      <c r="A1033" t="str">
        <f>"21024"</f>
        <v>21024</v>
      </c>
      <c r="B1033" t="s">
        <v>9</v>
      </c>
      <c r="C1033" t="s">
        <v>488</v>
      </c>
      <c r="D1033" s="5" t="s">
        <v>11</v>
      </c>
      <c r="E1033" s="5" t="s">
        <v>12</v>
      </c>
      <c r="F1033" s="3" t="s">
        <v>13</v>
      </c>
      <c r="G1033" s="3" t="s">
        <v>13</v>
      </c>
      <c r="H1033" s="3" t="s">
        <v>13</v>
      </c>
      <c r="I1033" s="3">
        <v>23729200</v>
      </c>
    </row>
    <row r="1034" spans="1:9" x14ac:dyDescent="0.35">
      <c r="A1034" t="str">
        <f>"21026"</f>
        <v>21026</v>
      </c>
      <c r="B1034" t="s">
        <v>9</v>
      </c>
      <c r="C1034" t="s">
        <v>489</v>
      </c>
      <c r="D1034" s="5" t="s">
        <v>11</v>
      </c>
      <c r="E1034" s="5" t="s">
        <v>12</v>
      </c>
      <c r="F1034" s="3" t="s">
        <v>13</v>
      </c>
      <c r="G1034" s="3" t="s">
        <v>13</v>
      </c>
      <c r="H1034" s="3" t="s">
        <v>13</v>
      </c>
      <c r="I1034" s="3">
        <v>27411000</v>
      </c>
    </row>
    <row r="1035" spans="1:9" x14ac:dyDescent="0.35">
      <c r="A1035" t="str">
        <f>"21028"</f>
        <v>21028</v>
      </c>
      <c r="B1035" t="s">
        <v>9</v>
      </c>
      <c r="C1035" t="s">
        <v>490</v>
      </c>
      <c r="D1035" s="5" t="s">
        <v>11</v>
      </c>
      <c r="E1035" s="5" t="s">
        <v>12</v>
      </c>
      <c r="F1035" s="3" t="s">
        <v>13</v>
      </c>
      <c r="G1035" s="3" t="s">
        <v>13</v>
      </c>
      <c r="H1035" s="3" t="s">
        <v>13</v>
      </c>
      <c r="I1035" s="3">
        <v>152420400</v>
      </c>
    </row>
    <row r="1036" spans="1:9" x14ac:dyDescent="0.35">
      <c r="A1036" t="s">
        <v>30</v>
      </c>
      <c r="B1036" t="s">
        <v>31</v>
      </c>
      <c r="C1036" t="s">
        <v>32</v>
      </c>
      <c r="D1036" s="5" t="s">
        <v>11</v>
      </c>
      <c r="E1036" s="5" t="s">
        <v>12</v>
      </c>
      <c r="F1036" s="3" t="s">
        <v>13</v>
      </c>
      <c r="G1036" s="3" t="s">
        <v>13</v>
      </c>
      <c r="H1036" s="3" t="s">
        <v>13</v>
      </c>
      <c r="I1036" s="3">
        <v>2156907700</v>
      </c>
    </row>
    <row r="1037" spans="1:9" x14ac:dyDescent="0.35">
      <c r="A1037" t="str">
        <f>"21211"</f>
        <v>21211</v>
      </c>
      <c r="B1037" t="s">
        <v>36</v>
      </c>
      <c r="C1037" t="s">
        <v>483</v>
      </c>
      <c r="D1037" s="5" t="str">
        <f>"001"</f>
        <v>001</v>
      </c>
      <c r="E1037" s="5">
        <v>2002</v>
      </c>
      <c r="F1037" s="3">
        <v>1551000</v>
      </c>
      <c r="G1037" s="3">
        <v>6829800</v>
      </c>
      <c r="H1037" s="3">
        <v>5278800</v>
      </c>
    </row>
    <row r="1038" spans="1:9" x14ac:dyDescent="0.35">
      <c r="A1038" t="str">
        <f>"21211"</f>
        <v>21211</v>
      </c>
      <c r="B1038" t="s">
        <v>36</v>
      </c>
      <c r="C1038" t="s">
        <v>483</v>
      </c>
      <c r="D1038" s="5" t="s">
        <v>11</v>
      </c>
      <c r="E1038" s="5" t="s">
        <v>12</v>
      </c>
      <c r="F1038" s="3" t="s">
        <v>13</v>
      </c>
      <c r="G1038" s="3" t="s">
        <v>13</v>
      </c>
      <c r="H1038" s="3" t="s">
        <v>13</v>
      </c>
      <c r="I1038" s="3">
        <v>195534000</v>
      </c>
    </row>
    <row r="1039" spans="1:9" x14ac:dyDescent="0.35">
      <c r="A1039" t="s">
        <v>30</v>
      </c>
      <c r="B1039" t="s">
        <v>38</v>
      </c>
      <c r="C1039" t="s">
        <v>32</v>
      </c>
      <c r="D1039" s="5" t="s">
        <v>11</v>
      </c>
      <c r="E1039" s="5" t="s">
        <v>12</v>
      </c>
      <c r="F1039" s="3" t="s">
        <v>13</v>
      </c>
      <c r="G1039" s="3" t="s">
        <v>13</v>
      </c>
      <c r="H1039" s="3" t="s">
        <v>13</v>
      </c>
      <c r="I1039" s="3">
        <v>195534000</v>
      </c>
    </row>
    <row r="1040" spans="1:9" x14ac:dyDescent="0.35">
      <c r="A1040" t="s">
        <v>30</v>
      </c>
      <c r="B1040" t="s">
        <v>39</v>
      </c>
      <c r="C1040" t="s">
        <v>462</v>
      </c>
      <c r="D1040" s="5" t="s">
        <v>11</v>
      </c>
      <c r="E1040" s="5" t="s">
        <v>12</v>
      </c>
      <c r="F1040" s="3" t="s">
        <v>13</v>
      </c>
      <c r="G1040" s="3" t="s">
        <v>13</v>
      </c>
      <c r="H1040" s="3" t="s">
        <v>13</v>
      </c>
      <c r="I1040" s="3">
        <v>2352441700</v>
      </c>
    </row>
    <row r="1041" spans="1:9" x14ac:dyDescent="0.35">
      <c r="A1041" t="str">
        <f>"22002"</f>
        <v>22002</v>
      </c>
      <c r="B1041" t="s">
        <v>9</v>
      </c>
      <c r="C1041" t="s">
        <v>491</v>
      </c>
      <c r="D1041" s="5" t="s">
        <v>11</v>
      </c>
      <c r="E1041" s="5" t="s">
        <v>12</v>
      </c>
      <c r="F1041" s="3" t="s">
        <v>13</v>
      </c>
      <c r="G1041" s="3" t="s">
        <v>13</v>
      </c>
      <c r="H1041" s="3" t="s">
        <v>13</v>
      </c>
      <c r="I1041" s="3">
        <v>103495100</v>
      </c>
    </row>
    <row r="1042" spans="1:9" x14ac:dyDescent="0.35">
      <c r="A1042" t="str">
        <f>"22004"</f>
        <v>22004</v>
      </c>
      <c r="B1042" t="s">
        <v>9</v>
      </c>
      <c r="C1042" t="s">
        <v>492</v>
      </c>
      <c r="D1042" s="5" t="s">
        <v>11</v>
      </c>
      <c r="E1042" s="5" t="s">
        <v>12</v>
      </c>
      <c r="F1042" s="3" t="s">
        <v>13</v>
      </c>
      <c r="G1042" s="3" t="s">
        <v>13</v>
      </c>
      <c r="H1042" s="3" t="s">
        <v>13</v>
      </c>
      <c r="I1042" s="3">
        <v>69208900</v>
      </c>
    </row>
    <row r="1043" spans="1:9" x14ac:dyDescent="0.35">
      <c r="A1043" t="str">
        <f>"22006"</f>
        <v>22006</v>
      </c>
      <c r="B1043" t="s">
        <v>9</v>
      </c>
      <c r="C1043" t="s">
        <v>493</v>
      </c>
      <c r="D1043" s="5" t="s">
        <v>11</v>
      </c>
      <c r="E1043" s="5" t="s">
        <v>12</v>
      </c>
      <c r="F1043" s="3" t="s">
        <v>13</v>
      </c>
      <c r="G1043" s="3" t="s">
        <v>13</v>
      </c>
      <c r="H1043" s="3" t="s">
        <v>13</v>
      </c>
      <c r="I1043" s="3">
        <v>50182200</v>
      </c>
    </row>
    <row r="1044" spans="1:9" x14ac:dyDescent="0.35">
      <c r="A1044" t="str">
        <f>"22008"</f>
        <v>22008</v>
      </c>
      <c r="B1044" t="s">
        <v>9</v>
      </c>
      <c r="C1044" t="s">
        <v>494</v>
      </c>
      <c r="D1044" s="5" t="s">
        <v>11</v>
      </c>
      <c r="E1044" s="5" t="s">
        <v>12</v>
      </c>
      <c r="F1044" s="3" t="s">
        <v>13</v>
      </c>
      <c r="G1044" s="3" t="s">
        <v>13</v>
      </c>
      <c r="H1044" s="3" t="s">
        <v>13</v>
      </c>
      <c r="I1044" s="3">
        <v>57851700</v>
      </c>
    </row>
    <row r="1045" spans="1:9" x14ac:dyDescent="0.35">
      <c r="A1045" t="str">
        <f>"22010"</f>
        <v>22010</v>
      </c>
      <c r="B1045" t="s">
        <v>9</v>
      </c>
      <c r="C1045" t="s">
        <v>495</v>
      </c>
      <c r="D1045" s="5" t="s">
        <v>11</v>
      </c>
      <c r="E1045" s="5" t="s">
        <v>12</v>
      </c>
      <c r="F1045" s="3" t="s">
        <v>13</v>
      </c>
      <c r="G1045" s="3" t="s">
        <v>13</v>
      </c>
      <c r="H1045" s="3" t="s">
        <v>13</v>
      </c>
      <c r="I1045" s="3">
        <v>51347600</v>
      </c>
    </row>
    <row r="1046" spans="1:9" x14ac:dyDescent="0.35">
      <c r="A1046" t="str">
        <f>"22012"</f>
        <v>22012</v>
      </c>
      <c r="B1046" t="s">
        <v>9</v>
      </c>
      <c r="C1046" t="s">
        <v>496</v>
      </c>
      <c r="D1046" s="5" t="s">
        <v>11</v>
      </c>
      <c r="E1046" s="5" t="s">
        <v>12</v>
      </c>
      <c r="F1046" s="3" t="s">
        <v>13</v>
      </c>
      <c r="G1046" s="3" t="s">
        <v>13</v>
      </c>
      <c r="H1046" s="3" t="s">
        <v>13</v>
      </c>
      <c r="I1046" s="3">
        <v>74954000</v>
      </c>
    </row>
    <row r="1047" spans="1:9" x14ac:dyDescent="0.35">
      <c r="A1047" t="str">
        <f>"22014"</f>
        <v>22014</v>
      </c>
      <c r="B1047" t="s">
        <v>9</v>
      </c>
      <c r="C1047" t="s">
        <v>497</v>
      </c>
      <c r="D1047" s="5" t="s">
        <v>11</v>
      </c>
      <c r="E1047" s="5" t="s">
        <v>12</v>
      </c>
      <c r="F1047" s="3" t="s">
        <v>13</v>
      </c>
      <c r="G1047" s="3" t="s">
        <v>13</v>
      </c>
      <c r="H1047" s="3" t="s">
        <v>13</v>
      </c>
      <c r="I1047" s="3">
        <v>72595000</v>
      </c>
    </row>
    <row r="1048" spans="1:9" x14ac:dyDescent="0.35">
      <c r="A1048" t="str">
        <f>"22016"</f>
        <v>22016</v>
      </c>
      <c r="B1048" t="s">
        <v>9</v>
      </c>
      <c r="C1048" t="s">
        <v>498</v>
      </c>
      <c r="D1048" s="5" t="s">
        <v>11</v>
      </c>
      <c r="E1048" s="5" t="s">
        <v>12</v>
      </c>
      <c r="F1048" s="3" t="s">
        <v>13</v>
      </c>
      <c r="G1048" s="3" t="s">
        <v>13</v>
      </c>
      <c r="H1048" s="3" t="s">
        <v>13</v>
      </c>
      <c r="I1048" s="3">
        <v>68962900</v>
      </c>
    </row>
    <row r="1049" spans="1:9" x14ac:dyDescent="0.35">
      <c r="A1049" t="str">
        <f>"22018"</f>
        <v>22018</v>
      </c>
      <c r="B1049" t="s">
        <v>9</v>
      </c>
      <c r="C1049" t="s">
        <v>499</v>
      </c>
      <c r="D1049" s="5" t="s">
        <v>11</v>
      </c>
      <c r="E1049" s="5" t="s">
        <v>12</v>
      </c>
      <c r="F1049" s="3" t="s">
        <v>13</v>
      </c>
      <c r="G1049" s="3" t="s">
        <v>13</v>
      </c>
      <c r="H1049" s="3" t="s">
        <v>13</v>
      </c>
      <c r="I1049" s="3">
        <v>67151600</v>
      </c>
    </row>
    <row r="1050" spans="1:9" x14ac:dyDescent="0.35">
      <c r="A1050" t="str">
        <f>"22020"</f>
        <v>22020</v>
      </c>
      <c r="B1050" t="s">
        <v>9</v>
      </c>
      <c r="C1050" t="s">
        <v>174</v>
      </c>
      <c r="D1050" s="5" t="s">
        <v>11</v>
      </c>
      <c r="E1050" s="5" t="s">
        <v>12</v>
      </c>
      <c r="F1050" s="3" t="s">
        <v>13</v>
      </c>
      <c r="G1050" s="3" t="s">
        <v>13</v>
      </c>
      <c r="H1050" s="3" t="s">
        <v>13</v>
      </c>
      <c r="I1050" s="3">
        <v>88077400</v>
      </c>
    </row>
    <row r="1051" spans="1:9" x14ac:dyDescent="0.35">
      <c r="A1051" t="str">
        <f>"22022"</f>
        <v>22022</v>
      </c>
      <c r="B1051" t="s">
        <v>9</v>
      </c>
      <c r="C1051" t="s">
        <v>500</v>
      </c>
      <c r="D1051" s="5" t="s">
        <v>11</v>
      </c>
      <c r="E1051" s="5" t="s">
        <v>12</v>
      </c>
      <c r="F1051" s="3" t="s">
        <v>13</v>
      </c>
      <c r="G1051" s="3" t="s">
        <v>13</v>
      </c>
      <c r="H1051" s="3" t="s">
        <v>13</v>
      </c>
      <c r="I1051" s="3">
        <v>139524600</v>
      </c>
    </row>
    <row r="1052" spans="1:9" x14ac:dyDescent="0.35">
      <c r="A1052" t="str">
        <f>"22024"</f>
        <v>22024</v>
      </c>
      <c r="B1052" t="s">
        <v>9</v>
      </c>
      <c r="C1052" t="s">
        <v>501</v>
      </c>
      <c r="D1052" s="5" t="s">
        <v>11</v>
      </c>
      <c r="E1052" s="5" t="s">
        <v>12</v>
      </c>
      <c r="F1052" s="3" t="s">
        <v>13</v>
      </c>
      <c r="G1052" s="3" t="s">
        <v>13</v>
      </c>
      <c r="H1052" s="3" t="s">
        <v>13</v>
      </c>
      <c r="I1052" s="3">
        <v>79795200</v>
      </c>
    </row>
    <row r="1053" spans="1:9" x14ac:dyDescent="0.35">
      <c r="A1053" t="str">
        <f>"22026"</f>
        <v>22026</v>
      </c>
      <c r="B1053" t="s">
        <v>9</v>
      </c>
      <c r="C1053" t="s">
        <v>502</v>
      </c>
      <c r="D1053" s="5" t="s">
        <v>11</v>
      </c>
      <c r="E1053" s="5" t="s">
        <v>12</v>
      </c>
      <c r="F1053" s="3" t="s">
        <v>13</v>
      </c>
      <c r="G1053" s="3" t="s">
        <v>13</v>
      </c>
      <c r="H1053" s="3" t="s">
        <v>13</v>
      </c>
      <c r="I1053" s="3">
        <v>400625800</v>
      </c>
    </row>
    <row r="1054" spans="1:9" x14ac:dyDescent="0.35">
      <c r="A1054" t="str">
        <f>"22028"</f>
        <v>22028</v>
      </c>
      <c r="B1054" t="s">
        <v>9</v>
      </c>
      <c r="C1054" t="s">
        <v>503</v>
      </c>
      <c r="D1054" s="5" t="s">
        <v>11</v>
      </c>
      <c r="E1054" s="5" t="s">
        <v>12</v>
      </c>
      <c r="F1054" s="3" t="s">
        <v>13</v>
      </c>
      <c r="G1054" s="3" t="s">
        <v>13</v>
      </c>
      <c r="H1054" s="3" t="s">
        <v>13</v>
      </c>
      <c r="I1054" s="3">
        <v>84637700</v>
      </c>
    </row>
    <row r="1055" spans="1:9" x14ac:dyDescent="0.35">
      <c r="A1055" t="str">
        <f>"22030"</f>
        <v>22030</v>
      </c>
      <c r="B1055" t="s">
        <v>9</v>
      </c>
      <c r="C1055" t="s">
        <v>504</v>
      </c>
      <c r="D1055" s="5" t="s">
        <v>11</v>
      </c>
      <c r="E1055" s="5" t="s">
        <v>12</v>
      </c>
      <c r="F1055" s="3" t="s">
        <v>13</v>
      </c>
      <c r="G1055" s="3" t="s">
        <v>13</v>
      </c>
      <c r="H1055" s="3" t="s">
        <v>13</v>
      </c>
      <c r="I1055" s="3">
        <v>112203500</v>
      </c>
    </row>
    <row r="1056" spans="1:9" x14ac:dyDescent="0.35">
      <c r="A1056" t="str">
        <f>"22032"</f>
        <v>22032</v>
      </c>
      <c r="B1056" t="s">
        <v>9</v>
      </c>
      <c r="C1056" t="s">
        <v>505</v>
      </c>
      <c r="D1056" s="5" t="s">
        <v>11</v>
      </c>
      <c r="E1056" s="5" t="s">
        <v>12</v>
      </c>
      <c r="F1056" s="3" t="s">
        <v>13</v>
      </c>
      <c r="G1056" s="3" t="s">
        <v>13</v>
      </c>
      <c r="H1056" s="3" t="s">
        <v>13</v>
      </c>
      <c r="I1056" s="3">
        <v>53965900</v>
      </c>
    </row>
    <row r="1057" spans="1:9" x14ac:dyDescent="0.35">
      <c r="A1057" t="str">
        <f>"22034"</f>
        <v>22034</v>
      </c>
      <c r="B1057" t="s">
        <v>9</v>
      </c>
      <c r="C1057" t="s">
        <v>506</v>
      </c>
      <c r="D1057" s="5" t="s">
        <v>11</v>
      </c>
      <c r="E1057" s="5" t="s">
        <v>12</v>
      </c>
      <c r="F1057" s="3" t="s">
        <v>13</v>
      </c>
      <c r="G1057" s="3" t="s">
        <v>13</v>
      </c>
      <c r="H1057" s="3" t="s">
        <v>13</v>
      </c>
      <c r="I1057" s="3">
        <v>76377000</v>
      </c>
    </row>
    <row r="1058" spans="1:9" x14ac:dyDescent="0.35">
      <c r="A1058" t="str">
        <f>"22036"</f>
        <v>22036</v>
      </c>
      <c r="B1058" t="s">
        <v>9</v>
      </c>
      <c r="C1058" t="s">
        <v>507</v>
      </c>
      <c r="D1058" s="5" t="s">
        <v>11</v>
      </c>
      <c r="E1058" s="5" t="s">
        <v>12</v>
      </c>
      <c r="F1058" s="3" t="s">
        <v>13</v>
      </c>
      <c r="G1058" s="3" t="s">
        <v>13</v>
      </c>
      <c r="H1058" s="3" t="s">
        <v>13</v>
      </c>
      <c r="I1058" s="3">
        <v>25505600</v>
      </c>
    </row>
    <row r="1059" spans="1:9" x14ac:dyDescent="0.35">
      <c r="A1059" t="str">
        <f>"22038"</f>
        <v>22038</v>
      </c>
      <c r="B1059" t="s">
        <v>9</v>
      </c>
      <c r="C1059" t="s">
        <v>508</v>
      </c>
      <c r="D1059" s="5" t="s">
        <v>11</v>
      </c>
      <c r="E1059" s="5" t="s">
        <v>12</v>
      </c>
      <c r="F1059" s="3" t="s">
        <v>13</v>
      </c>
      <c r="G1059" s="3" t="s">
        <v>13</v>
      </c>
      <c r="H1059" s="3" t="s">
        <v>13</v>
      </c>
      <c r="I1059" s="3">
        <v>46523200</v>
      </c>
    </row>
    <row r="1060" spans="1:9" x14ac:dyDescent="0.35">
      <c r="A1060" t="str">
        <f>"22040"</f>
        <v>22040</v>
      </c>
      <c r="B1060" t="s">
        <v>9</v>
      </c>
      <c r="C1060" t="s">
        <v>509</v>
      </c>
      <c r="D1060" s="5" t="s">
        <v>11</v>
      </c>
      <c r="E1060" s="5" t="s">
        <v>12</v>
      </c>
      <c r="F1060" s="3" t="s">
        <v>13</v>
      </c>
      <c r="G1060" s="3" t="s">
        <v>13</v>
      </c>
      <c r="H1060" s="3" t="s">
        <v>13</v>
      </c>
      <c r="I1060" s="3">
        <v>66133800</v>
      </c>
    </row>
    <row r="1061" spans="1:9" x14ac:dyDescent="0.35">
      <c r="A1061" t="str">
        <f>"22042"</f>
        <v>22042</v>
      </c>
      <c r="B1061" t="s">
        <v>9</v>
      </c>
      <c r="C1061" t="s">
        <v>510</v>
      </c>
      <c r="D1061" s="5" t="s">
        <v>11</v>
      </c>
      <c r="E1061" s="5" t="s">
        <v>12</v>
      </c>
      <c r="F1061" s="3" t="s">
        <v>13</v>
      </c>
      <c r="G1061" s="3" t="s">
        <v>13</v>
      </c>
      <c r="H1061" s="3" t="s">
        <v>13</v>
      </c>
      <c r="I1061" s="3">
        <v>122938800</v>
      </c>
    </row>
    <row r="1062" spans="1:9" x14ac:dyDescent="0.35">
      <c r="A1062" t="str">
        <f>"22044"</f>
        <v>22044</v>
      </c>
      <c r="B1062" t="s">
        <v>9</v>
      </c>
      <c r="C1062" t="s">
        <v>511</v>
      </c>
      <c r="D1062" s="5" t="s">
        <v>11</v>
      </c>
      <c r="E1062" s="5" t="s">
        <v>12</v>
      </c>
      <c r="F1062" s="3" t="s">
        <v>13</v>
      </c>
      <c r="G1062" s="3" t="s">
        <v>13</v>
      </c>
      <c r="H1062" s="3" t="s">
        <v>13</v>
      </c>
      <c r="I1062" s="3">
        <v>91850300</v>
      </c>
    </row>
    <row r="1063" spans="1:9" x14ac:dyDescent="0.35">
      <c r="A1063" t="str">
        <f>"22046"</f>
        <v>22046</v>
      </c>
      <c r="B1063" t="s">
        <v>9</v>
      </c>
      <c r="C1063" t="s">
        <v>512</v>
      </c>
      <c r="D1063" s="5" t="s">
        <v>11</v>
      </c>
      <c r="E1063" s="5" t="s">
        <v>12</v>
      </c>
      <c r="F1063" s="3" t="s">
        <v>13</v>
      </c>
      <c r="G1063" s="3" t="s">
        <v>13</v>
      </c>
      <c r="H1063" s="3" t="s">
        <v>13</v>
      </c>
      <c r="I1063" s="3">
        <v>123774900</v>
      </c>
    </row>
    <row r="1064" spans="1:9" x14ac:dyDescent="0.35">
      <c r="A1064" t="str">
        <f>"22048"</f>
        <v>22048</v>
      </c>
      <c r="B1064" t="s">
        <v>9</v>
      </c>
      <c r="C1064" t="s">
        <v>513</v>
      </c>
      <c r="D1064" s="5" t="s">
        <v>11</v>
      </c>
      <c r="E1064" s="5" t="s">
        <v>12</v>
      </c>
      <c r="F1064" s="3" t="s">
        <v>13</v>
      </c>
      <c r="G1064" s="3" t="s">
        <v>13</v>
      </c>
      <c r="H1064" s="3" t="s">
        <v>13</v>
      </c>
      <c r="I1064" s="3">
        <v>51849100</v>
      </c>
    </row>
    <row r="1065" spans="1:9" x14ac:dyDescent="0.35">
      <c r="A1065" t="str">
        <f>"22050"</f>
        <v>22050</v>
      </c>
      <c r="B1065" t="s">
        <v>9</v>
      </c>
      <c r="C1065" t="s">
        <v>514</v>
      </c>
      <c r="D1065" s="5" t="s">
        <v>11</v>
      </c>
      <c r="E1065" s="5" t="s">
        <v>12</v>
      </c>
      <c r="F1065" s="3" t="s">
        <v>13</v>
      </c>
      <c r="G1065" s="3" t="s">
        <v>13</v>
      </c>
      <c r="H1065" s="3" t="s">
        <v>13</v>
      </c>
      <c r="I1065" s="3">
        <v>229694800</v>
      </c>
    </row>
    <row r="1066" spans="1:9" x14ac:dyDescent="0.35">
      <c r="A1066" t="str">
        <f>"22052"</f>
        <v>22052</v>
      </c>
      <c r="B1066" t="s">
        <v>9</v>
      </c>
      <c r="C1066" t="s">
        <v>515</v>
      </c>
      <c r="D1066" s="5" t="s">
        <v>11</v>
      </c>
      <c r="E1066" s="5" t="s">
        <v>12</v>
      </c>
      <c r="F1066" s="3" t="s">
        <v>13</v>
      </c>
      <c r="G1066" s="3" t="s">
        <v>13</v>
      </c>
      <c r="H1066" s="3" t="s">
        <v>13</v>
      </c>
      <c r="I1066" s="3">
        <v>133380400</v>
      </c>
    </row>
    <row r="1067" spans="1:9" x14ac:dyDescent="0.35">
      <c r="A1067" t="str">
        <f>"22054"</f>
        <v>22054</v>
      </c>
      <c r="B1067" t="s">
        <v>9</v>
      </c>
      <c r="C1067" t="s">
        <v>516</v>
      </c>
      <c r="D1067" s="5" t="s">
        <v>11</v>
      </c>
      <c r="E1067" s="5" t="s">
        <v>12</v>
      </c>
      <c r="F1067" s="3" t="s">
        <v>13</v>
      </c>
      <c r="G1067" s="3" t="s">
        <v>13</v>
      </c>
      <c r="H1067" s="3" t="s">
        <v>13</v>
      </c>
      <c r="I1067" s="3">
        <v>120814800</v>
      </c>
    </row>
    <row r="1068" spans="1:9" x14ac:dyDescent="0.35">
      <c r="A1068" t="str">
        <f>"22056"</f>
        <v>22056</v>
      </c>
      <c r="B1068" t="s">
        <v>9</v>
      </c>
      <c r="C1068" t="s">
        <v>517</v>
      </c>
      <c r="D1068" s="5" t="s">
        <v>11</v>
      </c>
      <c r="E1068" s="5" t="s">
        <v>12</v>
      </c>
      <c r="F1068" s="3" t="s">
        <v>13</v>
      </c>
      <c r="G1068" s="3" t="s">
        <v>13</v>
      </c>
      <c r="H1068" s="3" t="s">
        <v>13</v>
      </c>
      <c r="I1068" s="3">
        <v>113137200</v>
      </c>
    </row>
    <row r="1069" spans="1:9" x14ac:dyDescent="0.35">
      <c r="A1069" t="str">
        <f>"22058"</f>
        <v>22058</v>
      </c>
      <c r="B1069" t="s">
        <v>9</v>
      </c>
      <c r="C1069" t="s">
        <v>518</v>
      </c>
      <c r="D1069" s="5" t="s">
        <v>11</v>
      </c>
      <c r="E1069" s="5" t="s">
        <v>12</v>
      </c>
      <c r="F1069" s="3" t="s">
        <v>13</v>
      </c>
      <c r="G1069" s="3" t="s">
        <v>13</v>
      </c>
      <c r="H1069" s="3" t="s">
        <v>13</v>
      </c>
      <c r="I1069" s="3">
        <v>112680200</v>
      </c>
    </row>
    <row r="1070" spans="1:9" x14ac:dyDescent="0.35">
      <c r="A1070" t="str">
        <f>"22060"</f>
        <v>22060</v>
      </c>
      <c r="B1070" t="s">
        <v>9</v>
      </c>
      <c r="C1070" t="s">
        <v>519</v>
      </c>
      <c r="D1070" s="5" t="s">
        <v>11</v>
      </c>
      <c r="E1070" s="5" t="s">
        <v>12</v>
      </c>
      <c r="F1070" s="3" t="s">
        <v>13</v>
      </c>
      <c r="G1070" s="3" t="s">
        <v>13</v>
      </c>
      <c r="H1070" s="3" t="s">
        <v>13</v>
      </c>
      <c r="I1070" s="3">
        <v>66632500</v>
      </c>
    </row>
    <row r="1071" spans="1:9" x14ac:dyDescent="0.35">
      <c r="A1071" t="str">
        <f>"22062"</f>
        <v>22062</v>
      </c>
      <c r="B1071" t="s">
        <v>9</v>
      </c>
      <c r="C1071" t="s">
        <v>520</v>
      </c>
      <c r="D1071" s="5" t="s">
        <v>11</v>
      </c>
      <c r="E1071" s="5" t="s">
        <v>12</v>
      </c>
      <c r="F1071" s="3" t="s">
        <v>13</v>
      </c>
      <c r="G1071" s="3" t="s">
        <v>13</v>
      </c>
      <c r="H1071" s="3" t="s">
        <v>13</v>
      </c>
      <c r="I1071" s="3">
        <v>69147200</v>
      </c>
    </row>
    <row r="1072" spans="1:9" x14ac:dyDescent="0.35">
      <c r="A1072" t="str">
        <f>"22064"</f>
        <v>22064</v>
      </c>
      <c r="B1072" t="s">
        <v>9</v>
      </c>
      <c r="C1072" t="s">
        <v>521</v>
      </c>
      <c r="D1072" s="5" t="s">
        <v>11</v>
      </c>
      <c r="E1072" s="5" t="s">
        <v>12</v>
      </c>
      <c r="F1072" s="3" t="s">
        <v>13</v>
      </c>
      <c r="G1072" s="3" t="s">
        <v>13</v>
      </c>
      <c r="H1072" s="3" t="s">
        <v>13</v>
      </c>
      <c r="I1072" s="3">
        <v>42385600</v>
      </c>
    </row>
    <row r="1073" spans="1:9" x14ac:dyDescent="0.35">
      <c r="A1073" t="str">
        <f>"22066"</f>
        <v>22066</v>
      </c>
      <c r="B1073" t="s">
        <v>9</v>
      </c>
      <c r="C1073" t="s">
        <v>522</v>
      </c>
      <c r="D1073" s="5" t="s">
        <v>11</v>
      </c>
      <c r="E1073" s="5" t="s">
        <v>12</v>
      </c>
      <c r="F1073" s="3" t="s">
        <v>13</v>
      </c>
      <c r="G1073" s="3" t="s">
        <v>13</v>
      </c>
      <c r="H1073" s="3" t="s">
        <v>13</v>
      </c>
      <c r="I1073" s="3">
        <v>67766800</v>
      </c>
    </row>
    <row r="1074" spans="1:9" x14ac:dyDescent="0.35">
      <c r="A1074" t="s">
        <v>30</v>
      </c>
      <c r="B1074" t="s">
        <v>31</v>
      </c>
      <c r="C1074" t="s">
        <v>32</v>
      </c>
      <c r="D1074" s="5" t="s">
        <v>11</v>
      </c>
      <c r="E1074" s="5" t="s">
        <v>12</v>
      </c>
      <c r="F1074" s="3" t="s">
        <v>13</v>
      </c>
      <c r="G1074" s="3" t="s">
        <v>13</v>
      </c>
      <c r="H1074" s="3" t="s">
        <v>13</v>
      </c>
      <c r="I1074" s="3">
        <v>3135171300</v>
      </c>
    </row>
    <row r="1075" spans="1:9" x14ac:dyDescent="0.35">
      <c r="A1075" t="str">
        <f>"22106"</f>
        <v>22106</v>
      </c>
      <c r="B1075" t="s">
        <v>33</v>
      </c>
      <c r="C1075" t="s">
        <v>523</v>
      </c>
      <c r="D1075" s="5" t="s">
        <v>11</v>
      </c>
      <c r="E1075" s="5" t="s">
        <v>12</v>
      </c>
      <c r="F1075" s="3" t="s">
        <v>13</v>
      </c>
      <c r="G1075" s="3" t="s">
        <v>13</v>
      </c>
      <c r="H1075" s="3" t="s">
        <v>13</v>
      </c>
      <c r="I1075" s="3">
        <v>41934400</v>
      </c>
    </row>
    <row r="1076" spans="1:9" x14ac:dyDescent="0.35">
      <c r="A1076" t="str">
        <f>"22107"</f>
        <v>22107</v>
      </c>
      <c r="B1076" t="s">
        <v>33</v>
      </c>
      <c r="C1076" t="s">
        <v>492</v>
      </c>
      <c r="D1076" s="5" t="s">
        <v>11</v>
      </c>
      <c r="E1076" s="5" t="s">
        <v>12</v>
      </c>
      <c r="F1076" s="3" t="s">
        <v>13</v>
      </c>
      <c r="G1076" s="3" t="s">
        <v>13</v>
      </c>
      <c r="H1076" s="3" t="s">
        <v>13</v>
      </c>
      <c r="I1076" s="3">
        <v>56580200</v>
      </c>
    </row>
    <row r="1077" spans="1:9" x14ac:dyDescent="0.35">
      <c r="A1077" t="str">
        <f>"22108"</f>
        <v>22108</v>
      </c>
      <c r="B1077" t="s">
        <v>33</v>
      </c>
      <c r="C1077" t="s">
        <v>524</v>
      </c>
      <c r="D1077" s="5" t="s">
        <v>11</v>
      </c>
      <c r="E1077" s="5" t="s">
        <v>12</v>
      </c>
      <c r="F1077" s="3" t="s">
        <v>13</v>
      </c>
      <c r="G1077" s="3" t="s">
        <v>13</v>
      </c>
      <c r="H1077" s="3" t="s">
        <v>13</v>
      </c>
      <c r="I1077" s="3">
        <v>28968700</v>
      </c>
    </row>
    <row r="1078" spans="1:9" x14ac:dyDescent="0.35">
      <c r="A1078" t="str">
        <f>"22111"</f>
        <v>22111</v>
      </c>
      <c r="B1078" t="s">
        <v>33</v>
      </c>
      <c r="C1078" t="s">
        <v>494</v>
      </c>
      <c r="D1078" s="5" t="s">
        <v>11</v>
      </c>
      <c r="E1078" s="5" t="s">
        <v>12</v>
      </c>
      <c r="F1078" s="3" t="s">
        <v>13</v>
      </c>
      <c r="G1078" s="3" t="s">
        <v>13</v>
      </c>
      <c r="H1078" s="3" t="s">
        <v>13</v>
      </c>
      <c r="I1078" s="3">
        <v>98502700</v>
      </c>
    </row>
    <row r="1079" spans="1:9" x14ac:dyDescent="0.35">
      <c r="A1079" t="str">
        <f>"22116"</f>
        <v>22116</v>
      </c>
      <c r="B1079" t="s">
        <v>33</v>
      </c>
      <c r="C1079" t="s">
        <v>525</v>
      </c>
      <c r="D1079" s="5" t="str">
        <f>"001"</f>
        <v>001</v>
      </c>
      <c r="E1079" s="5">
        <v>2014</v>
      </c>
      <c r="F1079" s="3">
        <v>1550700</v>
      </c>
      <c r="G1079" s="3">
        <v>19045400</v>
      </c>
      <c r="H1079" s="3">
        <v>17494700</v>
      </c>
    </row>
    <row r="1080" spans="1:9" x14ac:dyDescent="0.35">
      <c r="A1080" t="str">
        <f>"22116"</f>
        <v>22116</v>
      </c>
      <c r="B1080" t="s">
        <v>33</v>
      </c>
      <c r="C1080" t="s">
        <v>525</v>
      </c>
      <c r="D1080" s="5" t="str">
        <f>"002"</f>
        <v>002</v>
      </c>
      <c r="E1080" s="5">
        <v>2023</v>
      </c>
      <c r="F1080" s="3">
        <v>1039000</v>
      </c>
      <c r="G1080" s="3">
        <v>87901300</v>
      </c>
      <c r="H1080" s="3">
        <v>86862300</v>
      </c>
    </row>
    <row r="1081" spans="1:9" x14ac:dyDescent="0.35">
      <c r="A1081" t="str">
        <f>"22116"</f>
        <v>22116</v>
      </c>
      <c r="B1081" t="s">
        <v>33</v>
      </c>
      <c r="C1081" t="s">
        <v>525</v>
      </c>
      <c r="D1081" s="5" t="s">
        <v>11</v>
      </c>
      <c r="E1081" s="5" t="s">
        <v>12</v>
      </c>
      <c r="F1081" s="3" t="s">
        <v>13</v>
      </c>
      <c r="G1081" s="3" t="s">
        <v>13</v>
      </c>
      <c r="H1081" s="3" t="s">
        <v>13</v>
      </c>
      <c r="I1081" s="3">
        <v>108990700</v>
      </c>
    </row>
    <row r="1082" spans="1:9" x14ac:dyDescent="0.35">
      <c r="A1082" t="str">
        <f>"22136"</f>
        <v>22136</v>
      </c>
      <c r="B1082" t="s">
        <v>33</v>
      </c>
      <c r="C1082" t="s">
        <v>500</v>
      </c>
      <c r="D1082" s="5" t="s">
        <v>11</v>
      </c>
      <c r="E1082" s="5" t="s">
        <v>12</v>
      </c>
      <c r="F1082" s="3" t="s">
        <v>13</v>
      </c>
      <c r="G1082" s="3" t="s">
        <v>13</v>
      </c>
      <c r="H1082" s="3" t="s">
        <v>13</v>
      </c>
      <c r="I1082" s="3">
        <v>108905000</v>
      </c>
    </row>
    <row r="1083" spans="1:9" x14ac:dyDescent="0.35">
      <c r="A1083" t="str">
        <f>"22147"</f>
        <v>22147</v>
      </c>
      <c r="B1083" t="s">
        <v>33</v>
      </c>
      <c r="C1083" t="s">
        <v>526</v>
      </c>
      <c r="D1083" s="5" t="s">
        <v>11</v>
      </c>
      <c r="E1083" s="5" t="s">
        <v>12</v>
      </c>
      <c r="F1083" s="3" t="s">
        <v>13</v>
      </c>
      <c r="G1083" s="3" t="s">
        <v>13</v>
      </c>
      <c r="H1083" s="3" t="s">
        <v>13</v>
      </c>
      <c r="I1083" s="3">
        <v>59766900</v>
      </c>
    </row>
    <row r="1084" spans="1:9" x14ac:dyDescent="0.35">
      <c r="A1084" t="str">
        <f>"22151"</f>
        <v>22151</v>
      </c>
      <c r="B1084" t="s">
        <v>33</v>
      </c>
      <c r="C1084" t="s">
        <v>527</v>
      </c>
      <c r="D1084" s="5" t="str">
        <f>"001"</f>
        <v>001</v>
      </c>
      <c r="E1084" s="5">
        <v>2014</v>
      </c>
      <c r="F1084" s="3">
        <v>2232500</v>
      </c>
      <c r="G1084" s="3">
        <v>4369600</v>
      </c>
      <c r="H1084" s="3">
        <v>2137100</v>
      </c>
    </row>
    <row r="1085" spans="1:9" x14ac:dyDescent="0.35">
      <c r="A1085" t="str">
        <f>"22151"</f>
        <v>22151</v>
      </c>
      <c r="B1085" t="s">
        <v>33</v>
      </c>
      <c r="C1085" t="s">
        <v>527</v>
      </c>
      <c r="D1085" s="5" t="s">
        <v>11</v>
      </c>
      <c r="E1085" s="5" t="s">
        <v>12</v>
      </c>
      <c r="F1085" s="3" t="s">
        <v>13</v>
      </c>
      <c r="G1085" s="3" t="s">
        <v>13</v>
      </c>
      <c r="H1085" s="3" t="s">
        <v>13</v>
      </c>
      <c r="I1085" s="3">
        <v>54550000</v>
      </c>
    </row>
    <row r="1086" spans="1:9" x14ac:dyDescent="0.35">
      <c r="A1086" t="str">
        <f>"22152"</f>
        <v>22152</v>
      </c>
      <c r="B1086" t="s">
        <v>33</v>
      </c>
      <c r="C1086" t="s">
        <v>508</v>
      </c>
      <c r="D1086" s="5" t="s">
        <v>11</v>
      </c>
      <c r="E1086" s="5" t="s">
        <v>12</v>
      </c>
      <c r="F1086" s="3" t="s">
        <v>13</v>
      </c>
      <c r="G1086" s="3" t="s">
        <v>13</v>
      </c>
      <c r="H1086" s="3" t="s">
        <v>13</v>
      </c>
      <c r="I1086" s="3">
        <v>13718800</v>
      </c>
    </row>
    <row r="1087" spans="1:9" x14ac:dyDescent="0.35">
      <c r="A1087" t="str">
        <f>"22153"</f>
        <v>22153</v>
      </c>
      <c r="B1087" t="s">
        <v>33</v>
      </c>
      <c r="C1087" t="s">
        <v>510</v>
      </c>
      <c r="D1087" s="5" t="str">
        <f>"004"</f>
        <v>004</v>
      </c>
      <c r="E1087" s="5">
        <v>2022</v>
      </c>
      <c r="F1087" s="3">
        <v>1371300</v>
      </c>
      <c r="G1087" s="3">
        <v>14560100</v>
      </c>
      <c r="H1087" s="3">
        <v>13188800</v>
      </c>
    </row>
    <row r="1088" spans="1:9" x14ac:dyDescent="0.35">
      <c r="A1088" t="str">
        <f>"22153"</f>
        <v>22153</v>
      </c>
      <c r="B1088" t="s">
        <v>33</v>
      </c>
      <c r="C1088" t="s">
        <v>510</v>
      </c>
      <c r="D1088" s="5" t="s">
        <v>11</v>
      </c>
      <c r="E1088" s="5" t="s">
        <v>12</v>
      </c>
      <c r="F1088" s="3" t="s">
        <v>13</v>
      </c>
      <c r="G1088" s="3" t="s">
        <v>13</v>
      </c>
      <c r="H1088" s="3" t="s">
        <v>13</v>
      </c>
      <c r="I1088" s="3">
        <v>136839300</v>
      </c>
    </row>
    <row r="1089" spans="1:9" x14ac:dyDescent="0.35">
      <c r="A1089" t="str">
        <f>"22171"</f>
        <v>22171</v>
      </c>
      <c r="B1089" t="s">
        <v>33</v>
      </c>
      <c r="C1089" t="s">
        <v>513</v>
      </c>
      <c r="D1089" s="5" t="s">
        <v>11</v>
      </c>
      <c r="E1089" s="5" t="s">
        <v>12</v>
      </c>
      <c r="F1089" s="3" t="s">
        <v>13</v>
      </c>
      <c r="G1089" s="3" t="s">
        <v>13</v>
      </c>
      <c r="H1089" s="3" t="s">
        <v>13</v>
      </c>
      <c r="I1089" s="3">
        <v>15389100</v>
      </c>
    </row>
    <row r="1090" spans="1:9" x14ac:dyDescent="0.35">
      <c r="A1090" t="str">
        <f>"22172"</f>
        <v>22172</v>
      </c>
      <c r="B1090" t="s">
        <v>33</v>
      </c>
      <c r="C1090" t="s">
        <v>515</v>
      </c>
      <c r="D1090" s="5" t="str">
        <f>"001"</f>
        <v>001</v>
      </c>
      <c r="E1090" s="5">
        <v>2021</v>
      </c>
      <c r="F1090" s="3">
        <v>3784400</v>
      </c>
      <c r="G1090" s="3">
        <v>8190100</v>
      </c>
      <c r="H1090" s="3">
        <v>4405700</v>
      </c>
    </row>
    <row r="1091" spans="1:9" x14ac:dyDescent="0.35">
      <c r="A1091" t="str">
        <f>"22172"</f>
        <v>22172</v>
      </c>
      <c r="B1091" t="s">
        <v>33</v>
      </c>
      <c r="C1091" t="s">
        <v>515</v>
      </c>
      <c r="D1091" s="5" t="s">
        <v>11</v>
      </c>
      <c r="E1091" s="5" t="s">
        <v>12</v>
      </c>
      <c r="F1091" s="3" t="s">
        <v>13</v>
      </c>
      <c r="G1091" s="3" t="s">
        <v>13</v>
      </c>
      <c r="H1091" s="3" t="s">
        <v>13</v>
      </c>
      <c r="I1091" s="3">
        <v>68317400</v>
      </c>
    </row>
    <row r="1092" spans="1:9" x14ac:dyDescent="0.35">
      <c r="A1092" t="str">
        <f>"22186"</f>
        <v>22186</v>
      </c>
      <c r="B1092" t="s">
        <v>33</v>
      </c>
      <c r="C1092" t="s">
        <v>528</v>
      </c>
      <c r="D1092" s="5" t="s">
        <v>11</v>
      </c>
      <c r="E1092" s="5" t="s">
        <v>12</v>
      </c>
      <c r="F1092" s="3" t="s">
        <v>13</v>
      </c>
      <c r="G1092" s="3" t="s">
        <v>13</v>
      </c>
      <c r="H1092" s="3" t="s">
        <v>13</v>
      </c>
      <c r="I1092" s="3">
        <v>37614100</v>
      </c>
    </row>
    <row r="1093" spans="1:9" x14ac:dyDescent="0.35">
      <c r="A1093" t="str">
        <f>"22191"</f>
        <v>22191</v>
      </c>
      <c r="B1093" t="s">
        <v>33</v>
      </c>
      <c r="C1093" t="s">
        <v>521</v>
      </c>
      <c r="D1093" s="5" t="s">
        <v>11</v>
      </c>
      <c r="E1093" s="5" t="s">
        <v>12</v>
      </c>
      <c r="F1093" s="3" t="s">
        <v>13</v>
      </c>
      <c r="G1093" s="3" t="s">
        <v>13</v>
      </c>
      <c r="H1093" s="3" t="s">
        <v>13</v>
      </c>
      <c r="I1093" s="3">
        <v>8779700</v>
      </c>
    </row>
    <row r="1094" spans="1:9" x14ac:dyDescent="0.35">
      <c r="A1094" t="s">
        <v>30</v>
      </c>
      <c r="B1094" t="s">
        <v>35</v>
      </c>
      <c r="C1094" t="s">
        <v>32</v>
      </c>
      <c r="D1094" s="5" t="s">
        <v>11</v>
      </c>
      <c r="E1094" s="5" t="s">
        <v>12</v>
      </c>
      <c r="F1094" s="3" t="s">
        <v>13</v>
      </c>
      <c r="G1094" s="3" t="s">
        <v>13</v>
      </c>
      <c r="H1094" s="3" t="s">
        <v>13</v>
      </c>
      <c r="I1094" s="3">
        <v>838857000</v>
      </c>
    </row>
    <row r="1095" spans="1:9" x14ac:dyDescent="0.35">
      <c r="A1095" t="str">
        <f>"22206"</f>
        <v>22206</v>
      </c>
      <c r="B1095" t="s">
        <v>36</v>
      </c>
      <c r="C1095" t="s">
        <v>493</v>
      </c>
      <c r="D1095" s="5" t="str">
        <f>"005"</f>
        <v>005</v>
      </c>
      <c r="E1095" s="5">
        <v>2020</v>
      </c>
      <c r="F1095" s="3">
        <v>10941500</v>
      </c>
      <c r="G1095" s="3">
        <v>24395600</v>
      </c>
      <c r="H1095" s="3">
        <v>13454100</v>
      </c>
    </row>
    <row r="1096" spans="1:9" x14ac:dyDescent="0.35">
      <c r="A1096" t="str">
        <f>"22206"</f>
        <v>22206</v>
      </c>
      <c r="B1096" t="s">
        <v>36</v>
      </c>
      <c r="C1096" t="s">
        <v>493</v>
      </c>
      <c r="D1096" s="5" t="s">
        <v>11</v>
      </c>
      <c r="E1096" s="5" t="s">
        <v>12</v>
      </c>
      <c r="F1096" s="3" t="s">
        <v>13</v>
      </c>
      <c r="G1096" s="3" t="s">
        <v>13</v>
      </c>
      <c r="H1096" s="3" t="s">
        <v>13</v>
      </c>
      <c r="I1096" s="3">
        <v>217135000</v>
      </c>
    </row>
    <row r="1097" spans="1:9" x14ac:dyDescent="0.35">
      <c r="A1097" t="str">
        <f>"22211"</f>
        <v>22211</v>
      </c>
      <c r="B1097" t="s">
        <v>36</v>
      </c>
      <c r="C1097" t="s">
        <v>529</v>
      </c>
      <c r="D1097" s="5" t="str">
        <f>"003"</f>
        <v>003</v>
      </c>
      <c r="E1097" s="5">
        <v>2012</v>
      </c>
      <c r="F1097" s="3">
        <v>2120700</v>
      </c>
      <c r="G1097" s="3">
        <v>6510100</v>
      </c>
      <c r="H1097" s="3">
        <v>4389400</v>
      </c>
    </row>
    <row r="1098" spans="1:9" x14ac:dyDescent="0.35">
      <c r="A1098" t="str">
        <f>"22211"</f>
        <v>22211</v>
      </c>
      <c r="B1098" t="s">
        <v>36</v>
      </c>
      <c r="C1098" t="s">
        <v>529</v>
      </c>
      <c r="D1098" s="5" t="str">
        <f>"004"</f>
        <v>004</v>
      </c>
      <c r="E1098" s="5">
        <v>2019</v>
      </c>
      <c r="F1098" s="3">
        <v>5419700</v>
      </c>
      <c r="G1098" s="3">
        <v>21521300</v>
      </c>
      <c r="H1098" s="3">
        <v>16101600</v>
      </c>
    </row>
    <row r="1099" spans="1:9" x14ac:dyDescent="0.35">
      <c r="A1099" t="str">
        <f>"22211"</f>
        <v>22211</v>
      </c>
      <c r="B1099" t="s">
        <v>36</v>
      </c>
      <c r="C1099" t="s">
        <v>529</v>
      </c>
      <c r="D1099" s="5" t="s">
        <v>11</v>
      </c>
      <c r="E1099" s="5" t="s">
        <v>12</v>
      </c>
      <c r="F1099" s="3" t="s">
        <v>13</v>
      </c>
      <c r="G1099" s="3" t="s">
        <v>13</v>
      </c>
      <c r="H1099" s="3" t="s">
        <v>13</v>
      </c>
      <c r="I1099" s="3">
        <v>177331300</v>
      </c>
    </row>
    <row r="1100" spans="1:9" x14ac:dyDescent="0.35">
      <c r="A1100" t="str">
        <f>"22226"</f>
        <v>22226</v>
      </c>
      <c r="B1100" t="s">
        <v>36</v>
      </c>
      <c r="C1100" t="s">
        <v>498</v>
      </c>
      <c r="D1100" s="5" t="str">
        <f>"006"</f>
        <v>006</v>
      </c>
      <c r="E1100" s="5">
        <v>2017</v>
      </c>
      <c r="F1100" s="3">
        <v>6436600</v>
      </c>
      <c r="G1100" s="3">
        <v>13841800</v>
      </c>
      <c r="H1100" s="3">
        <v>7405200</v>
      </c>
    </row>
    <row r="1101" spans="1:9" x14ac:dyDescent="0.35">
      <c r="A1101" t="str">
        <f>"22226"</f>
        <v>22226</v>
      </c>
      <c r="B1101" t="s">
        <v>36</v>
      </c>
      <c r="C1101" t="s">
        <v>498</v>
      </c>
      <c r="D1101" s="5" t="str">
        <f>"007"</f>
        <v>007</v>
      </c>
      <c r="E1101" s="5">
        <v>2024</v>
      </c>
      <c r="F1101" s="3">
        <v>2779800</v>
      </c>
      <c r="G1101" s="3">
        <v>5816600</v>
      </c>
      <c r="H1101" s="3">
        <v>3036800</v>
      </c>
    </row>
    <row r="1102" spans="1:9" x14ac:dyDescent="0.35">
      <c r="A1102" t="str">
        <f>"22226"</f>
        <v>22226</v>
      </c>
      <c r="B1102" t="s">
        <v>36</v>
      </c>
      <c r="C1102" t="s">
        <v>498</v>
      </c>
      <c r="D1102" s="5" t="s">
        <v>11</v>
      </c>
      <c r="E1102" s="5" t="s">
        <v>12</v>
      </c>
      <c r="F1102" s="3" t="s">
        <v>13</v>
      </c>
      <c r="G1102" s="3" t="s">
        <v>13</v>
      </c>
      <c r="H1102" s="3" t="s">
        <v>13</v>
      </c>
      <c r="I1102" s="3">
        <v>192114200</v>
      </c>
    </row>
    <row r="1103" spans="1:9" x14ac:dyDescent="0.35">
      <c r="A1103" t="str">
        <f t="shared" ref="A1103:A1109" si="23">"22246"</f>
        <v>22246</v>
      </c>
      <c r="B1103" t="s">
        <v>36</v>
      </c>
      <c r="C1103" t="s">
        <v>530</v>
      </c>
      <c r="D1103" s="5" t="str">
        <f>"003"</f>
        <v>003</v>
      </c>
      <c r="E1103" s="5">
        <v>2006</v>
      </c>
      <c r="F1103" s="3">
        <v>419800</v>
      </c>
      <c r="G1103" s="3">
        <v>15210400</v>
      </c>
      <c r="H1103" s="3">
        <v>14790600</v>
      </c>
    </row>
    <row r="1104" spans="1:9" x14ac:dyDescent="0.35">
      <c r="A1104" t="str">
        <f t="shared" si="23"/>
        <v>22246</v>
      </c>
      <c r="B1104" t="s">
        <v>36</v>
      </c>
      <c r="C1104" t="s">
        <v>530</v>
      </c>
      <c r="D1104" s="5" t="str">
        <f>"004"</f>
        <v>004</v>
      </c>
      <c r="E1104" s="5">
        <v>2006</v>
      </c>
      <c r="F1104" s="3">
        <v>2341900</v>
      </c>
      <c r="G1104" s="3">
        <v>9470400</v>
      </c>
      <c r="H1104" s="3">
        <v>7128500</v>
      </c>
    </row>
    <row r="1105" spans="1:9" x14ac:dyDescent="0.35">
      <c r="A1105" t="str">
        <f t="shared" si="23"/>
        <v>22246</v>
      </c>
      <c r="B1105" t="s">
        <v>36</v>
      </c>
      <c r="C1105" t="s">
        <v>530</v>
      </c>
      <c r="D1105" s="5" t="str">
        <f>"005"</f>
        <v>005</v>
      </c>
      <c r="E1105" s="5">
        <v>2018</v>
      </c>
      <c r="F1105" s="3">
        <v>0</v>
      </c>
      <c r="G1105" s="3">
        <v>4218100</v>
      </c>
      <c r="H1105" s="3">
        <v>4218100</v>
      </c>
    </row>
    <row r="1106" spans="1:9" x14ac:dyDescent="0.35">
      <c r="A1106" t="str">
        <f t="shared" si="23"/>
        <v>22246</v>
      </c>
      <c r="B1106" t="s">
        <v>36</v>
      </c>
      <c r="C1106" t="s">
        <v>530</v>
      </c>
      <c r="D1106" s="5" t="str">
        <f>"006"</f>
        <v>006</v>
      </c>
      <c r="E1106" s="5">
        <v>2020</v>
      </c>
      <c r="F1106" s="3">
        <v>0</v>
      </c>
      <c r="G1106" s="3">
        <v>5235200</v>
      </c>
      <c r="H1106" s="3">
        <v>5235200</v>
      </c>
    </row>
    <row r="1107" spans="1:9" x14ac:dyDescent="0.35">
      <c r="A1107" t="str">
        <f t="shared" si="23"/>
        <v>22246</v>
      </c>
      <c r="B1107" t="s">
        <v>36</v>
      </c>
      <c r="C1107" t="s">
        <v>530</v>
      </c>
      <c r="D1107" s="5" t="str">
        <f>"007"</f>
        <v>007</v>
      </c>
      <c r="E1107" s="5">
        <v>2021</v>
      </c>
      <c r="F1107" s="3">
        <v>2464000</v>
      </c>
      <c r="G1107" s="3">
        <v>17688000</v>
      </c>
      <c r="H1107" s="3">
        <v>15224000</v>
      </c>
    </row>
    <row r="1108" spans="1:9" x14ac:dyDescent="0.35">
      <c r="A1108" t="str">
        <f t="shared" si="23"/>
        <v>22246</v>
      </c>
      <c r="B1108" t="s">
        <v>36</v>
      </c>
      <c r="C1108" t="s">
        <v>530</v>
      </c>
      <c r="D1108" s="5" t="str">
        <f>"008"</f>
        <v>008</v>
      </c>
      <c r="E1108" s="5">
        <v>2023</v>
      </c>
      <c r="F1108" s="3">
        <v>2852700</v>
      </c>
      <c r="G1108" s="3">
        <v>6236600</v>
      </c>
      <c r="H1108" s="3">
        <v>3383900</v>
      </c>
    </row>
    <row r="1109" spans="1:9" x14ac:dyDescent="0.35">
      <c r="A1109" t="str">
        <f t="shared" si="23"/>
        <v>22246</v>
      </c>
      <c r="B1109" t="s">
        <v>36</v>
      </c>
      <c r="C1109" t="s">
        <v>530</v>
      </c>
      <c r="D1109" s="5" t="s">
        <v>11</v>
      </c>
      <c r="E1109" s="5" t="s">
        <v>12</v>
      </c>
      <c r="F1109" s="3" t="s">
        <v>13</v>
      </c>
      <c r="G1109" s="3" t="s">
        <v>13</v>
      </c>
      <c r="H1109" s="3" t="s">
        <v>13</v>
      </c>
      <c r="I1109" s="3">
        <v>381037200</v>
      </c>
    </row>
    <row r="1110" spans="1:9" x14ac:dyDescent="0.35">
      <c r="A1110" t="str">
        <f>"22271"</f>
        <v>22271</v>
      </c>
      <c r="B1110" t="s">
        <v>36</v>
      </c>
      <c r="C1110" t="s">
        <v>514</v>
      </c>
      <c r="D1110" s="5" t="str">
        <f>"006"</f>
        <v>006</v>
      </c>
      <c r="E1110" s="5">
        <v>2006</v>
      </c>
      <c r="F1110" s="3">
        <v>7650000</v>
      </c>
      <c r="G1110" s="3">
        <v>45712900</v>
      </c>
      <c r="H1110" s="3">
        <v>38062900</v>
      </c>
    </row>
    <row r="1111" spans="1:9" x14ac:dyDescent="0.35">
      <c r="A1111" t="str">
        <f>"22271"</f>
        <v>22271</v>
      </c>
      <c r="B1111" t="s">
        <v>36</v>
      </c>
      <c r="C1111" t="s">
        <v>514</v>
      </c>
      <c r="D1111" s="5" t="str">
        <f>"007"</f>
        <v>007</v>
      </c>
      <c r="E1111" s="5">
        <v>2006</v>
      </c>
      <c r="F1111" s="3">
        <v>27588500</v>
      </c>
      <c r="G1111" s="3">
        <v>67258600</v>
      </c>
      <c r="H1111" s="3">
        <v>39670100</v>
      </c>
    </row>
    <row r="1112" spans="1:9" x14ac:dyDescent="0.35">
      <c r="A1112" t="str">
        <f>"22271"</f>
        <v>22271</v>
      </c>
      <c r="B1112" t="s">
        <v>36</v>
      </c>
      <c r="C1112" t="s">
        <v>514</v>
      </c>
      <c r="D1112" s="5" t="str">
        <f>"009"</f>
        <v>009</v>
      </c>
      <c r="E1112" s="5">
        <v>2023</v>
      </c>
      <c r="F1112" s="3">
        <v>5803800</v>
      </c>
      <c r="G1112" s="3">
        <v>13999100</v>
      </c>
      <c r="H1112" s="3">
        <v>8195300</v>
      </c>
    </row>
    <row r="1113" spans="1:9" x14ac:dyDescent="0.35">
      <c r="A1113" t="str">
        <f>"22271"</f>
        <v>22271</v>
      </c>
      <c r="B1113" t="s">
        <v>36</v>
      </c>
      <c r="C1113" t="s">
        <v>514</v>
      </c>
      <c r="D1113" s="5" t="s">
        <v>11</v>
      </c>
      <c r="E1113" s="5" t="s">
        <v>12</v>
      </c>
      <c r="F1113" s="3" t="s">
        <v>13</v>
      </c>
      <c r="G1113" s="3" t="s">
        <v>13</v>
      </c>
      <c r="H1113" s="3" t="s">
        <v>13</v>
      </c>
      <c r="I1113" s="3">
        <v>969676000</v>
      </c>
    </row>
    <row r="1114" spans="1:9" x14ac:dyDescent="0.35">
      <c r="A1114" t="s">
        <v>30</v>
      </c>
      <c r="B1114" t="s">
        <v>38</v>
      </c>
      <c r="C1114" t="s">
        <v>32</v>
      </c>
      <c r="D1114" s="5" t="s">
        <v>11</v>
      </c>
      <c r="E1114" s="5" t="s">
        <v>12</v>
      </c>
      <c r="F1114" s="3" t="s">
        <v>13</v>
      </c>
      <c r="G1114" s="3" t="s">
        <v>13</v>
      </c>
      <c r="H1114" s="3" t="s">
        <v>13</v>
      </c>
      <c r="I1114" s="3">
        <v>1937293700</v>
      </c>
    </row>
    <row r="1115" spans="1:9" x14ac:dyDescent="0.35">
      <c r="A1115" t="s">
        <v>30</v>
      </c>
      <c r="B1115" t="s">
        <v>39</v>
      </c>
      <c r="C1115" t="s">
        <v>220</v>
      </c>
      <c r="D1115" s="5" t="s">
        <v>11</v>
      </c>
      <c r="E1115" s="5" t="s">
        <v>12</v>
      </c>
      <c r="F1115" s="3" t="s">
        <v>13</v>
      </c>
      <c r="G1115" s="3" t="s">
        <v>13</v>
      </c>
      <c r="H1115" s="3" t="s">
        <v>13</v>
      </c>
      <c r="I1115" s="3">
        <v>5911322000</v>
      </c>
    </row>
    <row r="1116" spans="1:9" x14ac:dyDescent="0.35">
      <c r="A1116" t="str">
        <f>"23002"</f>
        <v>23002</v>
      </c>
      <c r="B1116" t="s">
        <v>9</v>
      </c>
      <c r="C1116" t="s">
        <v>10</v>
      </c>
      <c r="D1116" s="5" t="s">
        <v>11</v>
      </c>
      <c r="E1116" s="5" t="s">
        <v>12</v>
      </c>
      <c r="F1116" s="3" t="s">
        <v>13</v>
      </c>
      <c r="G1116" s="3" t="s">
        <v>13</v>
      </c>
      <c r="H1116" s="3" t="s">
        <v>13</v>
      </c>
      <c r="I1116" s="3">
        <v>113264700</v>
      </c>
    </row>
    <row r="1117" spans="1:9" x14ac:dyDescent="0.35">
      <c r="A1117" t="str">
        <f>"23004"</f>
        <v>23004</v>
      </c>
      <c r="B1117" t="s">
        <v>9</v>
      </c>
      <c r="C1117" t="s">
        <v>531</v>
      </c>
      <c r="D1117" s="5" t="s">
        <v>11</v>
      </c>
      <c r="E1117" s="5" t="s">
        <v>12</v>
      </c>
      <c r="F1117" s="3" t="s">
        <v>13</v>
      </c>
      <c r="G1117" s="3" t="s">
        <v>13</v>
      </c>
      <c r="H1117" s="3" t="s">
        <v>13</v>
      </c>
      <c r="I1117" s="3">
        <v>230563300</v>
      </c>
    </row>
    <row r="1118" spans="1:9" x14ac:dyDescent="0.35">
      <c r="A1118" t="str">
        <f>"23006"</f>
        <v>23006</v>
      </c>
      <c r="B1118" t="s">
        <v>9</v>
      </c>
      <c r="C1118" t="s">
        <v>332</v>
      </c>
      <c r="D1118" s="5" t="s">
        <v>11</v>
      </c>
      <c r="E1118" s="5" t="s">
        <v>12</v>
      </c>
      <c r="F1118" s="3" t="s">
        <v>13</v>
      </c>
      <c r="G1118" s="3" t="s">
        <v>13</v>
      </c>
      <c r="H1118" s="3" t="s">
        <v>13</v>
      </c>
      <c r="I1118" s="3">
        <v>265717800</v>
      </c>
    </row>
    <row r="1119" spans="1:9" x14ac:dyDescent="0.35">
      <c r="A1119" t="str">
        <f>"23008"</f>
        <v>23008</v>
      </c>
      <c r="B1119" t="s">
        <v>9</v>
      </c>
      <c r="C1119" t="s">
        <v>532</v>
      </c>
      <c r="D1119" s="5" t="s">
        <v>11</v>
      </c>
      <c r="E1119" s="5" t="s">
        <v>12</v>
      </c>
      <c r="F1119" s="3" t="s">
        <v>13</v>
      </c>
      <c r="G1119" s="3" t="s">
        <v>13</v>
      </c>
      <c r="H1119" s="3" t="s">
        <v>13</v>
      </c>
      <c r="I1119" s="3">
        <v>122600400</v>
      </c>
    </row>
    <row r="1120" spans="1:9" x14ac:dyDescent="0.35">
      <c r="A1120" t="str">
        <f>"23010"</f>
        <v>23010</v>
      </c>
      <c r="B1120" t="s">
        <v>9</v>
      </c>
      <c r="C1120" t="s">
        <v>533</v>
      </c>
      <c r="D1120" s="5" t="s">
        <v>11</v>
      </c>
      <c r="E1120" s="5" t="s">
        <v>12</v>
      </c>
      <c r="F1120" s="3" t="s">
        <v>13</v>
      </c>
      <c r="G1120" s="3" t="s">
        <v>13</v>
      </c>
      <c r="H1120" s="3" t="s">
        <v>13</v>
      </c>
      <c r="I1120" s="3">
        <v>181348100</v>
      </c>
    </row>
    <row r="1121" spans="1:9" x14ac:dyDescent="0.35">
      <c r="A1121" t="str">
        <f>"23012"</f>
        <v>23012</v>
      </c>
      <c r="B1121" t="s">
        <v>9</v>
      </c>
      <c r="C1121" t="s">
        <v>534</v>
      </c>
      <c r="D1121" s="5" t="s">
        <v>11</v>
      </c>
      <c r="E1121" s="5" t="s">
        <v>12</v>
      </c>
      <c r="F1121" s="3" t="s">
        <v>13</v>
      </c>
      <c r="G1121" s="3" t="s">
        <v>13</v>
      </c>
      <c r="H1121" s="3" t="s">
        <v>13</v>
      </c>
      <c r="I1121" s="3">
        <v>316890600</v>
      </c>
    </row>
    <row r="1122" spans="1:9" x14ac:dyDescent="0.35">
      <c r="A1122" t="str">
        <f>"23014"</f>
        <v>23014</v>
      </c>
      <c r="B1122" t="s">
        <v>9</v>
      </c>
      <c r="C1122" t="s">
        <v>535</v>
      </c>
      <c r="D1122" s="5" t="s">
        <v>11</v>
      </c>
      <c r="E1122" s="5" t="s">
        <v>12</v>
      </c>
      <c r="F1122" s="3" t="s">
        <v>13</v>
      </c>
      <c r="G1122" s="3" t="s">
        <v>13</v>
      </c>
      <c r="H1122" s="3" t="s">
        <v>13</v>
      </c>
      <c r="I1122" s="3">
        <v>454761800</v>
      </c>
    </row>
    <row r="1123" spans="1:9" x14ac:dyDescent="0.35">
      <c r="A1123" t="str">
        <f>"23016"</f>
        <v>23016</v>
      </c>
      <c r="B1123" t="s">
        <v>9</v>
      </c>
      <c r="C1123" t="s">
        <v>536</v>
      </c>
      <c r="D1123" s="5" t="s">
        <v>11</v>
      </c>
      <c r="E1123" s="5" t="s">
        <v>12</v>
      </c>
      <c r="F1123" s="3" t="s">
        <v>13</v>
      </c>
      <c r="G1123" s="3" t="s">
        <v>13</v>
      </c>
      <c r="H1123" s="3" t="s">
        <v>13</v>
      </c>
      <c r="I1123" s="3">
        <v>178317400</v>
      </c>
    </row>
    <row r="1124" spans="1:9" x14ac:dyDescent="0.35">
      <c r="A1124" t="str">
        <f>"23018"</f>
        <v>23018</v>
      </c>
      <c r="B1124" t="s">
        <v>9</v>
      </c>
      <c r="C1124" t="s">
        <v>537</v>
      </c>
      <c r="D1124" s="5" t="s">
        <v>11</v>
      </c>
      <c r="E1124" s="5" t="s">
        <v>12</v>
      </c>
      <c r="F1124" s="3" t="s">
        <v>13</v>
      </c>
      <c r="G1124" s="3" t="s">
        <v>13</v>
      </c>
      <c r="H1124" s="3" t="s">
        <v>13</v>
      </c>
      <c r="I1124" s="3">
        <v>145701200</v>
      </c>
    </row>
    <row r="1125" spans="1:9" x14ac:dyDescent="0.35">
      <c r="A1125" t="str">
        <f>"23020"</f>
        <v>23020</v>
      </c>
      <c r="B1125" t="s">
        <v>9</v>
      </c>
      <c r="C1125" t="s">
        <v>21</v>
      </c>
      <c r="D1125" s="5" t="s">
        <v>11</v>
      </c>
      <c r="E1125" s="5" t="s">
        <v>12</v>
      </c>
      <c r="F1125" s="3" t="s">
        <v>13</v>
      </c>
      <c r="G1125" s="3" t="s">
        <v>13</v>
      </c>
      <c r="H1125" s="3" t="s">
        <v>13</v>
      </c>
      <c r="I1125" s="3">
        <v>251635000</v>
      </c>
    </row>
    <row r="1126" spans="1:9" x14ac:dyDescent="0.35">
      <c r="A1126" t="str">
        <f>"23022"</f>
        <v>23022</v>
      </c>
      <c r="B1126" t="s">
        <v>9</v>
      </c>
      <c r="C1126" t="s">
        <v>538</v>
      </c>
      <c r="D1126" s="5" t="s">
        <v>11</v>
      </c>
      <c r="E1126" s="5" t="s">
        <v>12</v>
      </c>
      <c r="F1126" s="3" t="s">
        <v>13</v>
      </c>
      <c r="G1126" s="3" t="s">
        <v>13</v>
      </c>
      <c r="H1126" s="3" t="s">
        <v>13</v>
      </c>
      <c r="I1126" s="3">
        <v>127986500</v>
      </c>
    </row>
    <row r="1127" spans="1:9" x14ac:dyDescent="0.35">
      <c r="A1127" t="str">
        <f>"23024"</f>
        <v>23024</v>
      </c>
      <c r="B1127" t="s">
        <v>9</v>
      </c>
      <c r="C1127" t="s">
        <v>539</v>
      </c>
      <c r="D1127" s="5" t="s">
        <v>11</v>
      </c>
      <c r="E1127" s="5" t="s">
        <v>12</v>
      </c>
      <c r="F1127" s="3" t="s">
        <v>13</v>
      </c>
      <c r="G1127" s="3" t="s">
        <v>13</v>
      </c>
      <c r="H1127" s="3" t="s">
        <v>13</v>
      </c>
      <c r="I1127" s="3">
        <v>373581400</v>
      </c>
    </row>
    <row r="1128" spans="1:9" x14ac:dyDescent="0.35">
      <c r="A1128" t="str">
        <f>"23026"</f>
        <v>23026</v>
      </c>
      <c r="B1128" t="s">
        <v>9</v>
      </c>
      <c r="C1128" t="s">
        <v>540</v>
      </c>
      <c r="D1128" s="5" t="s">
        <v>11</v>
      </c>
      <c r="E1128" s="5" t="s">
        <v>12</v>
      </c>
      <c r="F1128" s="3" t="s">
        <v>13</v>
      </c>
      <c r="G1128" s="3" t="s">
        <v>13</v>
      </c>
      <c r="H1128" s="3" t="s">
        <v>13</v>
      </c>
      <c r="I1128" s="3">
        <v>172317700</v>
      </c>
    </row>
    <row r="1129" spans="1:9" x14ac:dyDescent="0.35">
      <c r="A1129" t="str">
        <f>"23028"</f>
        <v>23028</v>
      </c>
      <c r="B1129" t="s">
        <v>9</v>
      </c>
      <c r="C1129" t="s">
        <v>541</v>
      </c>
      <c r="D1129" s="5" t="s">
        <v>11</v>
      </c>
      <c r="E1129" s="5" t="s">
        <v>12</v>
      </c>
      <c r="F1129" s="3" t="s">
        <v>13</v>
      </c>
      <c r="G1129" s="3" t="s">
        <v>13</v>
      </c>
      <c r="H1129" s="3" t="s">
        <v>13</v>
      </c>
      <c r="I1129" s="3">
        <v>237452000</v>
      </c>
    </row>
    <row r="1130" spans="1:9" x14ac:dyDescent="0.35">
      <c r="A1130" t="str">
        <f>"23030"</f>
        <v>23030</v>
      </c>
      <c r="B1130" t="s">
        <v>9</v>
      </c>
      <c r="C1130" t="s">
        <v>392</v>
      </c>
      <c r="D1130" s="5" t="s">
        <v>11</v>
      </c>
      <c r="E1130" s="5" t="s">
        <v>12</v>
      </c>
      <c r="F1130" s="3" t="s">
        <v>13</v>
      </c>
      <c r="G1130" s="3" t="s">
        <v>13</v>
      </c>
      <c r="H1130" s="3" t="s">
        <v>13</v>
      </c>
      <c r="I1130" s="3">
        <v>164600400</v>
      </c>
    </row>
    <row r="1131" spans="1:9" x14ac:dyDescent="0.35">
      <c r="A1131" t="str">
        <f>"23032"</f>
        <v>23032</v>
      </c>
      <c r="B1131" t="s">
        <v>9</v>
      </c>
      <c r="C1131" t="s">
        <v>243</v>
      </c>
      <c r="D1131" s="5" t="s">
        <v>11</v>
      </c>
      <c r="E1131" s="5" t="s">
        <v>12</v>
      </c>
      <c r="F1131" s="3" t="s">
        <v>13</v>
      </c>
      <c r="G1131" s="3" t="s">
        <v>13</v>
      </c>
      <c r="H1131" s="3" t="s">
        <v>13</v>
      </c>
      <c r="I1131" s="3">
        <v>230797200</v>
      </c>
    </row>
    <row r="1132" spans="1:9" x14ac:dyDescent="0.35">
      <c r="A1132" t="s">
        <v>30</v>
      </c>
      <c r="B1132" t="s">
        <v>31</v>
      </c>
      <c r="C1132" t="s">
        <v>32</v>
      </c>
      <c r="D1132" s="5" t="s">
        <v>11</v>
      </c>
      <c r="E1132" s="5" t="s">
        <v>12</v>
      </c>
      <c r="F1132" s="3" t="s">
        <v>13</v>
      </c>
      <c r="G1132" s="3" t="s">
        <v>13</v>
      </c>
      <c r="H1132" s="3" t="s">
        <v>13</v>
      </c>
      <c r="I1132" s="3">
        <v>3567535500</v>
      </c>
    </row>
    <row r="1133" spans="1:9" x14ac:dyDescent="0.35">
      <c r="A1133" t="str">
        <f>"23101"</f>
        <v>23101</v>
      </c>
      <c r="B1133" t="s">
        <v>33</v>
      </c>
      <c r="C1133" t="s">
        <v>531</v>
      </c>
      <c r="D1133" s="5" t="str">
        <f>"003"</f>
        <v>003</v>
      </c>
      <c r="E1133" s="5">
        <v>2025</v>
      </c>
      <c r="F1133" s="3">
        <v>2450300</v>
      </c>
      <c r="G1133" s="3">
        <v>3067600</v>
      </c>
      <c r="H1133" s="3">
        <v>617300</v>
      </c>
    </row>
    <row r="1134" spans="1:9" x14ac:dyDescent="0.35">
      <c r="A1134" t="str">
        <f>"23101"</f>
        <v>23101</v>
      </c>
      <c r="B1134" t="s">
        <v>33</v>
      </c>
      <c r="C1134" t="s">
        <v>531</v>
      </c>
      <c r="D1134" s="5" t="s">
        <v>11</v>
      </c>
      <c r="E1134" s="5" t="s">
        <v>12</v>
      </c>
      <c r="F1134" s="3" t="s">
        <v>13</v>
      </c>
      <c r="G1134" s="3" t="s">
        <v>13</v>
      </c>
      <c r="H1134" s="3" t="s">
        <v>13</v>
      </c>
      <c r="I1134" s="3">
        <v>107258300</v>
      </c>
    </row>
    <row r="1135" spans="1:9" x14ac:dyDescent="0.35">
      <c r="A1135" t="str">
        <f>"23106"</f>
        <v>23106</v>
      </c>
      <c r="B1135" t="s">
        <v>33</v>
      </c>
      <c r="C1135" t="s">
        <v>331</v>
      </c>
      <c r="D1135" s="5" t="str">
        <f>"005"</f>
        <v>005</v>
      </c>
      <c r="E1135" s="5">
        <v>2009</v>
      </c>
      <c r="F1135" s="3">
        <v>368800</v>
      </c>
      <c r="G1135" s="3">
        <v>339500</v>
      </c>
      <c r="H1135" s="3">
        <v>0</v>
      </c>
    </row>
    <row r="1136" spans="1:9" x14ac:dyDescent="0.35">
      <c r="A1136" t="str">
        <f>"23106"</f>
        <v>23106</v>
      </c>
      <c r="B1136" t="s">
        <v>33</v>
      </c>
      <c r="C1136" t="s">
        <v>331</v>
      </c>
      <c r="D1136" s="5" t="s">
        <v>11</v>
      </c>
      <c r="E1136" s="5" t="s">
        <v>12</v>
      </c>
      <c r="F1136" s="3" t="s">
        <v>13</v>
      </c>
      <c r="G1136" s="3" t="s">
        <v>13</v>
      </c>
      <c r="H1136" s="3" t="s">
        <v>13</v>
      </c>
      <c r="I1136" s="3">
        <v>72996800</v>
      </c>
    </row>
    <row r="1137" spans="1:9" x14ac:dyDescent="0.35">
      <c r="A1137" t="str">
        <f>"23109"</f>
        <v>23109</v>
      </c>
      <c r="B1137" t="s">
        <v>33</v>
      </c>
      <c r="C1137" t="s">
        <v>332</v>
      </c>
      <c r="D1137" s="5" t="s">
        <v>11</v>
      </c>
      <c r="E1137" s="5" t="s">
        <v>12</v>
      </c>
      <c r="F1137" s="3" t="s">
        <v>13</v>
      </c>
      <c r="G1137" s="3" t="s">
        <v>13</v>
      </c>
      <c r="H1137" s="3" t="s">
        <v>13</v>
      </c>
      <c r="I1137" s="3">
        <v>48587000</v>
      </c>
    </row>
    <row r="1138" spans="1:9" x14ac:dyDescent="0.35">
      <c r="A1138" t="str">
        <f>"23110"</f>
        <v>23110</v>
      </c>
      <c r="B1138" t="s">
        <v>33</v>
      </c>
      <c r="C1138" t="s">
        <v>542</v>
      </c>
      <c r="D1138" s="5" t="s">
        <v>11</v>
      </c>
      <c r="E1138" s="5" t="s">
        <v>12</v>
      </c>
      <c r="F1138" s="3" t="s">
        <v>13</v>
      </c>
      <c r="G1138" s="3" t="s">
        <v>13</v>
      </c>
      <c r="H1138" s="3" t="s">
        <v>13</v>
      </c>
      <c r="I1138" s="3">
        <v>24217400</v>
      </c>
    </row>
    <row r="1139" spans="1:9" x14ac:dyDescent="0.35">
      <c r="A1139" t="str">
        <f>"23151"</f>
        <v>23151</v>
      </c>
      <c r="B1139" t="s">
        <v>33</v>
      </c>
      <c r="C1139" t="s">
        <v>543</v>
      </c>
      <c r="D1139" s="5" t="str">
        <f>"002"</f>
        <v>002</v>
      </c>
      <c r="E1139" s="5">
        <v>2024</v>
      </c>
      <c r="F1139" s="3">
        <v>16445900</v>
      </c>
      <c r="G1139" s="3">
        <v>17846800</v>
      </c>
      <c r="H1139" s="3">
        <v>1400900</v>
      </c>
    </row>
    <row r="1140" spans="1:9" x14ac:dyDescent="0.35">
      <c r="A1140" t="str">
        <f>"23151"</f>
        <v>23151</v>
      </c>
      <c r="B1140" t="s">
        <v>33</v>
      </c>
      <c r="C1140" t="s">
        <v>543</v>
      </c>
      <c r="D1140" s="5" t="s">
        <v>11</v>
      </c>
      <c r="E1140" s="5" t="s">
        <v>12</v>
      </c>
      <c r="F1140" s="3" t="s">
        <v>13</v>
      </c>
      <c r="G1140" s="3" t="s">
        <v>13</v>
      </c>
      <c r="H1140" s="3" t="s">
        <v>13</v>
      </c>
      <c r="I1140" s="3">
        <v>173969800</v>
      </c>
    </row>
    <row r="1141" spans="1:9" x14ac:dyDescent="0.35">
      <c r="A1141" t="str">
        <f>"23161"</f>
        <v>23161</v>
      </c>
      <c r="B1141" t="s">
        <v>33</v>
      </c>
      <c r="C1141" t="s">
        <v>539</v>
      </c>
      <c r="D1141" s="5" t="str">
        <f>"004"</f>
        <v>004</v>
      </c>
      <c r="E1141" s="5">
        <v>2015</v>
      </c>
      <c r="F1141" s="3">
        <v>14109000</v>
      </c>
      <c r="G1141" s="3">
        <v>31553900</v>
      </c>
      <c r="H1141" s="3">
        <v>17444900</v>
      </c>
    </row>
    <row r="1142" spans="1:9" x14ac:dyDescent="0.35">
      <c r="A1142" t="str">
        <f>"23161"</f>
        <v>23161</v>
      </c>
      <c r="B1142" t="s">
        <v>33</v>
      </c>
      <c r="C1142" t="s">
        <v>539</v>
      </c>
      <c r="D1142" s="5" t="str">
        <f>"005"</f>
        <v>005</v>
      </c>
      <c r="E1142" s="5">
        <v>2024</v>
      </c>
      <c r="F1142" s="3">
        <v>13667200</v>
      </c>
      <c r="G1142" s="3">
        <v>15414000</v>
      </c>
      <c r="H1142" s="3">
        <v>1746800</v>
      </c>
    </row>
    <row r="1143" spans="1:9" x14ac:dyDescent="0.35">
      <c r="A1143" t="str">
        <f>"23161"</f>
        <v>23161</v>
      </c>
      <c r="B1143" t="s">
        <v>33</v>
      </c>
      <c r="C1143" t="s">
        <v>539</v>
      </c>
      <c r="D1143" s="5" t="s">
        <v>11</v>
      </c>
      <c r="E1143" s="5" t="s">
        <v>12</v>
      </c>
      <c r="F1143" s="3" t="s">
        <v>13</v>
      </c>
      <c r="G1143" s="3" t="s">
        <v>13</v>
      </c>
      <c r="H1143" s="3" t="s">
        <v>13</v>
      </c>
      <c r="I1143" s="3">
        <v>345404100</v>
      </c>
    </row>
    <row r="1144" spans="1:9" x14ac:dyDescent="0.35">
      <c r="A1144" t="s">
        <v>30</v>
      </c>
      <c r="B1144" t="s">
        <v>35</v>
      </c>
      <c r="C1144" t="s">
        <v>32</v>
      </c>
      <c r="D1144" s="5" t="s">
        <v>11</v>
      </c>
      <c r="E1144" s="5" t="s">
        <v>12</v>
      </c>
      <c r="F1144" s="3" t="s">
        <v>13</v>
      </c>
      <c r="G1144" s="3" t="s">
        <v>13</v>
      </c>
      <c r="H1144" s="3" t="s">
        <v>13</v>
      </c>
      <c r="I1144" s="3">
        <v>772433400</v>
      </c>
    </row>
    <row r="1145" spans="1:9" x14ac:dyDescent="0.35">
      <c r="A1145" t="str">
        <f>"23206"</f>
        <v>23206</v>
      </c>
      <c r="B1145" t="s">
        <v>36</v>
      </c>
      <c r="C1145" t="s">
        <v>544</v>
      </c>
      <c r="D1145" s="5" t="str">
        <f>"005"</f>
        <v>005</v>
      </c>
      <c r="E1145" s="5">
        <v>2005</v>
      </c>
      <c r="F1145" s="3">
        <v>1418600</v>
      </c>
      <c r="G1145" s="3">
        <v>3129600</v>
      </c>
      <c r="H1145" s="3">
        <v>1711000</v>
      </c>
    </row>
    <row r="1146" spans="1:9" x14ac:dyDescent="0.35">
      <c r="A1146" t="str">
        <f>"23206"</f>
        <v>23206</v>
      </c>
      <c r="B1146" t="s">
        <v>36</v>
      </c>
      <c r="C1146" t="s">
        <v>544</v>
      </c>
      <c r="D1146" s="5" t="str">
        <f>"006"</f>
        <v>006</v>
      </c>
      <c r="E1146" s="5">
        <v>2006</v>
      </c>
      <c r="F1146" s="3">
        <v>1170300</v>
      </c>
      <c r="G1146" s="3">
        <v>3895200</v>
      </c>
      <c r="H1146" s="3">
        <v>2724900</v>
      </c>
    </row>
    <row r="1147" spans="1:9" x14ac:dyDescent="0.35">
      <c r="A1147" t="str">
        <f>"23206"</f>
        <v>23206</v>
      </c>
      <c r="B1147" t="s">
        <v>36</v>
      </c>
      <c r="C1147" t="s">
        <v>544</v>
      </c>
      <c r="D1147" s="5" t="str">
        <f>"007"</f>
        <v>007</v>
      </c>
      <c r="E1147" s="5">
        <v>2013</v>
      </c>
      <c r="F1147" s="3">
        <v>3897000</v>
      </c>
      <c r="G1147" s="3">
        <v>9451000</v>
      </c>
      <c r="H1147" s="3">
        <v>5554000</v>
      </c>
    </row>
    <row r="1148" spans="1:9" x14ac:dyDescent="0.35">
      <c r="A1148" t="str">
        <f>"23206"</f>
        <v>23206</v>
      </c>
      <c r="B1148" t="s">
        <v>36</v>
      </c>
      <c r="C1148" t="s">
        <v>544</v>
      </c>
      <c r="D1148" s="5" t="str">
        <f>"008"</f>
        <v>008</v>
      </c>
      <c r="E1148" s="5">
        <v>2021</v>
      </c>
      <c r="F1148" s="3">
        <v>3596500</v>
      </c>
      <c r="G1148" s="3">
        <v>8833200</v>
      </c>
      <c r="H1148" s="3">
        <v>5236700</v>
      </c>
    </row>
    <row r="1149" spans="1:9" x14ac:dyDescent="0.35">
      <c r="A1149" t="str">
        <f>"23206"</f>
        <v>23206</v>
      </c>
      <c r="B1149" t="s">
        <v>36</v>
      </c>
      <c r="C1149" t="s">
        <v>544</v>
      </c>
      <c r="D1149" s="5" t="s">
        <v>11</v>
      </c>
      <c r="E1149" s="5" t="s">
        <v>12</v>
      </c>
      <c r="F1149" s="3" t="s">
        <v>13</v>
      </c>
      <c r="G1149" s="3" t="s">
        <v>13</v>
      </c>
      <c r="H1149" s="3" t="s">
        <v>13</v>
      </c>
      <c r="I1149" s="3">
        <v>318847300</v>
      </c>
    </row>
    <row r="1150" spans="1:9" x14ac:dyDescent="0.35">
      <c r="A1150" t="str">
        <f t="shared" ref="A1150:A1156" si="24">"23251"</f>
        <v>23251</v>
      </c>
      <c r="B1150" t="s">
        <v>36</v>
      </c>
      <c r="C1150" t="s">
        <v>21</v>
      </c>
      <c r="D1150" s="5" t="str">
        <f>"007"</f>
        <v>007</v>
      </c>
      <c r="E1150" s="5">
        <v>2005</v>
      </c>
      <c r="F1150" s="3">
        <v>29828900</v>
      </c>
      <c r="G1150" s="3">
        <v>66672200</v>
      </c>
      <c r="H1150" s="3">
        <v>36843300</v>
      </c>
    </row>
    <row r="1151" spans="1:9" x14ac:dyDescent="0.35">
      <c r="A1151" t="str">
        <f t="shared" si="24"/>
        <v>23251</v>
      </c>
      <c r="B1151" t="s">
        <v>36</v>
      </c>
      <c r="C1151" t="s">
        <v>21</v>
      </c>
      <c r="D1151" s="5" t="str">
        <f>"008"</f>
        <v>008</v>
      </c>
      <c r="E1151" s="5">
        <v>2007</v>
      </c>
      <c r="F1151" s="3">
        <v>2310200</v>
      </c>
      <c r="G1151" s="3">
        <v>7387700</v>
      </c>
      <c r="H1151" s="3">
        <v>5077500</v>
      </c>
    </row>
    <row r="1152" spans="1:9" x14ac:dyDescent="0.35">
      <c r="A1152" t="str">
        <f t="shared" si="24"/>
        <v>23251</v>
      </c>
      <c r="B1152" t="s">
        <v>36</v>
      </c>
      <c r="C1152" t="s">
        <v>21</v>
      </c>
      <c r="D1152" s="5" t="str">
        <f>"009"</f>
        <v>009</v>
      </c>
      <c r="E1152" s="5">
        <v>2018</v>
      </c>
      <c r="F1152" s="3">
        <v>17768100</v>
      </c>
      <c r="G1152" s="3">
        <v>30770600</v>
      </c>
      <c r="H1152" s="3">
        <v>13002500</v>
      </c>
    </row>
    <row r="1153" spans="1:9" x14ac:dyDescent="0.35">
      <c r="A1153" t="str">
        <f t="shared" si="24"/>
        <v>23251</v>
      </c>
      <c r="B1153" t="s">
        <v>36</v>
      </c>
      <c r="C1153" t="s">
        <v>21</v>
      </c>
      <c r="D1153" s="5" t="str">
        <f>"010"</f>
        <v>010</v>
      </c>
      <c r="E1153" s="5">
        <v>2017</v>
      </c>
      <c r="F1153" s="3">
        <v>15551400</v>
      </c>
      <c r="G1153" s="3">
        <v>27582800</v>
      </c>
      <c r="H1153" s="3">
        <v>12031400</v>
      </c>
    </row>
    <row r="1154" spans="1:9" x14ac:dyDescent="0.35">
      <c r="A1154" t="str">
        <f t="shared" si="24"/>
        <v>23251</v>
      </c>
      <c r="B1154" t="s">
        <v>36</v>
      </c>
      <c r="C1154" t="s">
        <v>21</v>
      </c>
      <c r="D1154" s="5" t="str">
        <f>"011"</f>
        <v>011</v>
      </c>
      <c r="E1154" s="5">
        <v>2021</v>
      </c>
      <c r="F1154" s="3">
        <v>20055100</v>
      </c>
      <c r="G1154" s="3">
        <v>29173200</v>
      </c>
      <c r="H1154" s="3">
        <v>9118100</v>
      </c>
    </row>
    <row r="1155" spans="1:9" x14ac:dyDescent="0.35">
      <c r="A1155" t="str">
        <f t="shared" si="24"/>
        <v>23251</v>
      </c>
      <c r="B1155" t="s">
        <v>36</v>
      </c>
      <c r="C1155" t="s">
        <v>21</v>
      </c>
      <c r="D1155" s="5" t="str">
        <f>"012"</f>
        <v>012</v>
      </c>
      <c r="E1155" s="5">
        <v>2025</v>
      </c>
      <c r="F1155" s="3">
        <v>3950900</v>
      </c>
      <c r="G1155" s="3">
        <v>9625900</v>
      </c>
      <c r="H1155" s="3">
        <v>5675000</v>
      </c>
    </row>
    <row r="1156" spans="1:9" x14ac:dyDescent="0.35">
      <c r="A1156" t="str">
        <f t="shared" si="24"/>
        <v>23251</v>
      </c>
      <c r="B1156" t="s">
        <v>36</v>
      </c>
      <c r="C1156" t="s">
        <v>21</v>
      </c>
      <c r="D1156" s="5" t="s">
        <v>11</v>
      </c>
      <c r="E1156" s="5" t="s">
        <v>12</v>
      </c>
      <c r="F1156" s="3" t="s">
        <v>13</v>
      </c>
      <c r="G1156" s="3" t="s">
        <v>13</v>
      </c>
      <c r="H1156" s="3" t="s">
        <v>13</v>
      </c>
      <c r="I1156" s="3">
        <v>1234822700</v>
      </c>
    </row>
    <row r="1157" spans="1:9" x14ac:dyDescent="0.35">
      <c r="A1157" t="s">
        <v>30</v>
      </c>
      <c r="B1157" t="s">
        <v>38</v>
      </c>
      <c r="C1157" t="s">
        <v>32</v>
      </c>
      <c r="D1157" s="5" t="s">
        <v>11</v>
      </c>
      <c r="E1157" s="5" t="s">
        <v>12</v>
      </c>
      <c r="F1157" s="3" t="s">
        <v>13</v>
      </c>
      <c r="G1157" s="3" t="s">
        <v>13</v>
      </c>
      <c r="H1157" s="3" t="s">
        <v>13</v>
      </c>
      <c r="I1157" s="3">
        <v>1553670000</v>
      </c>
    </row>
    <row r="1158" spans="1:9" x14ac:dyDescent="0.35">
      <c r="A1158" t="s">
        <v>30</v>
      </c>
      <c r="B1158" t="s">
        <v>39</v>
      </c>
      <c r="C1158" t="s">
        <v>545</v>
      </c>
      <c r="D1158" s="5" t="s">
        <v>11</v>
      </c>
      <c r="E1158" s="5" t="s">
        <v>12</v>
      </c>
      <c r="F1158" s="3" t="s">
        <v>13</v>
      </c>
      <c r="G1158" s="3" t="s">
        <v>13</v>
      </c>
      <c r="H1158" s="3" t="s">
        <v>13</v>
      </c>
      <c r="I1158" s="3">
        <v>5893638900</v>
      </c>
    </row>
    <row r="1159" spans="1:9" x14ac:dyDescent="0.35">
      <c r="A1159" t="str">
        <f>"24002"</f>
        <v>24002</v>
      </c>
      <c r="B1159" t="s">
        <v>9</v>
      </c>
      <c r="C1159" t="s">
        <v>546</v>
      </c>
      <c r="D1159" s="5" t="s">
        <v>11</v>
      </c>
      <c r="E1159" s="5" t="s">
        <v>12</v>
      </c>
      <c r="F1159" s="3" t="s">
        <v>13</v>
      </c>
      <c r="G1159" s="3" t="s">
        <v>13</v>
      </c>
      <c r="H1159" s="3" t="s">
        <v>13</v>
      </c>
      <c r="I1159" s="3">
        <v>230715400</v>
      </c>
    </row>
    <row r="1160" spans="1:9" x14ac:dyDescent="0.35">
      <c r="A1160" t="str">
        <f>"24004"</f>
        <v>24004</v>
      </c>
      <c r="B1160" t="s">
        <v>9</v>
      </c>
      <c r="C1160" t="s">
        <v>332</v>
      </c>
      <c r="D1160" s="5" t="s">
        <v>11</v>
      </c>
      <c r="E1160" s="5" t="s">
        <v>12</v>
      </c>
      <c r="F1160" s="3" t="s">
        <v>13</v>
      </c>
      <c r="G1160" s="3" t="s">
        <v>13</v>
      </c>
      <c r="H1160" s="3" t="s">
        <v>13</v>
      </c>
      <c r="I1160" s="3">
        <v>1023589300</v>
      </c>
    </row>
    <row r="1161" spans="1:9" x14ac:dyDescent="0.35">
      <c r="A1161" t="str">
        <f>"24006"</f>
        <v>24006</v>
      </c>
      <c r="B1161" t="s">
        <v>9</v>
      </c>
      <c r="C1161" t="s">
        <v>547</v>
      </c>
      <c r="D1161" s="5" t="s">
        <v>11</v>
      </c>
      <c r="E1161" s="5" t="s">
        <v>12</v>
      </c>
      <c r="F1161" s="3" t="s">
        <v>13</v>
      </c>
      <c r="G1161" s="3" t="s">
        <v>13</v>
      </c>
      <c r="H1161" s="3" t="s">
        <v>13</v>
      </c>
      <c r="I1161" s="3">
        <v>1058450300</v>
      </c>
    </row>
    <row r="1162" spans="1:9" x14ac:dyDescent="0.35">
      <c r="A1162" t="str">
        <f>"24008"</f>
        <v>24008</v>
      </c>
      <c r="B1162" t="s">
        <v>9</v>
      </c>
      <c r="C1162" t="s">
        <v>548</v>
      </c>
      <c r="D1162" s="5" t="s">
        <v>11</v>
      </c>
      <c r="E1162" s="5" t="s">
        <v>12</v>
      </c>
      <c r="F1162" s="3" t="s">
        <v>13</v>
      </c>
      <c r="G1162" s="3" t="s">
        <v>13</v>
      </c>
      <c r="H1162" s="3" t="s">
        <v>13</v>
      </c>
      <c r="I1162" s="3">
        <v>151021300</v>
      </c>
    </row>
    <row r="1163" spans="1:9" x14ac:dyDescent="0.35">
      <c r="A1163" t="str">
        <f>"24010"</f>
        <v>24010</v>
      </c>
      <c r="B1163" t="s">
        <v>9</v>
      </c>
      <c r="C1163" t="s">
        <v>549</v>
      </c>
      <c r="D1163" s="5" t="s">
        <v>11</v>
      </c>
      <c r="E1163" s="5" t="s">
        <v>12</v>
      </c>
      <c r="F1163" s="3" t="s">
        <v>13</v>
      </c>
      <c r="G1163" s="3" t="s">
        <v>13</v>
      </c>
      <c r="H1163" s="3" t="s">
        <v>13</v>
      </c>
      <c r="I1163" s="3">
        <v>107262100</v>
      </c>
    </row>
    <row r="1164" spans="1:9" x14ac:dyDescent="0.35">
      <c r="A1164" t="str">
        <f>"24012"</f>
        <v>24012</v>
      </c>
      <c r="B1164" t="s">
        <v>9</v>
      </c>
      <c r="C1164" t="s">
        <v>550</v>
      </c>
      <c r="D1164" s="5" t="s">
        <v>11</v>
      </c>
      <c r="E1164" s="5" t="s">
        <v>12</v>
      </c>
      <c r="F1164" s="3" t="s">
        <v>13</v>
      </c>
      <c r="G1164" s="3" t="s">
        <v>13</v>
      </c>
      <c r="H1164" s="3" t="s">
        <v>13</v>
      </c>
      <c r="I1164" s="3">
        <v>131868600</v>
      </c>
    </row>
    <row r="1165" spans="1:9" x14ac:dyDescent="0.35">
      <c r="A1165" t="str">
        <f>"24014"</f>
        <v>24014</v>
      </c>
      <c r="B1165" t="s">
        <v>9</v>
      </c>
      <c r="C1165" t="s">
        <v>551</v>
      </c>
      <c r="D1165" s="5" t="s">
        <v>11</v>
      </c>
      <c r="E1165" s="5" t="s">
        <v>12</v>
      </c>
      <c r="F1165" s="3" t="s">
        <v>13</v>
      </c>
      <c r="G1165" s="3" t="s">
        <v>13</v>
      </c>
      <c r="H1165" s="3" t="s">
        <v>13</v>
      </c>
      <c r="I1165" s="3">
        <v>159814800</v>
      </c>
    </row>
    <row r="1166" spans="1:9" x14ac:dyDescent="0.35">
      <c r="A1166" t="str">
        <f>"24016"</f>
        <v>24016</v>
      </c>
      <c r="B1166" t="s">
        <v>9</v>
      </c>
      <c r="C1166" t="s">
        <v>552</v>
      </c>
      <c r="D1166" s="5" t="s">
        <v>11</v>
      </c>
      <c r="E1166" s="5" t="s">
        <v>12</v>
      </c>
      <c r="F1166" s="3" t="s">
        <v>13</v>
      </c>
      <c r="G1166" s="3" t="s">
        <v>13</v>
      </c>
      <c r="H1166" s="3" t="s">
        <v>13</v>
      </c>
      <c r="I1166" s="3">
        <v>668652500</v>
      </c>
    </row>
    <row r="1167" spans="1:9" x14ac:dyDescent="0.35">
      <c r="A1167" t="str">
        <f>"24018"</f>
        <v>24018</v>
      </c>
      <c r="B1167" t="s">
        <v>9</v>
      </c>
      <c r="C1167" t="s">
        <v>553</v>
      </c>
      <c r="D1167" s="5" t="s">
        <v>11</v>
      </c>
      <c r="E1167" s="5" t="s">
        <v>12</v>
      </c>
      <c r="F1167" s="3" t="s">
        <v>13</v>
      </c>
      <c r="G1167" s="3" t="s">
        <v>13</v>
      </c>
      <c r="H1167" s="3" t="s">
        <v>13</v>
      </c>
      <c r="I1167" s="3">
        <v>81043000</v>
      </c>
    </row>
    <row r="1168" spans="1:9" x14ac:dyDescent="0.35">
      <c r="A1168" t="str">
        <f>"24020"</f>
        <v>24020</v>
      </c>
      <c r="B1168" t="s">
        <v>9</v>
      </c>
      <c r="C1168" t="s">
        <v>288</v>
      </c>
      <c r="D1168" s="5" t="s">
        <v>11</v>
      </c>
      <c r="E1168" s="5" t="s">
        <v>12</v>
      </c>
      <c r="F1168" s="3" t="s">
        <v>13</v>
      </c>
      <c r="G1168" s="3" t="s">
        <v>13</v>
      </c>
      <c r="H1168" s="3" t="s">
        <v>13</v>
      </c>
      <c r="I1168" s="3">
        <v>75720100</v>
      </c>
    </row>
    <row r="1169" spans="1:9" x14ac:dyDescent="0.35">
      <c r="A1169" t="s">
        <v>30</v>
      </c>
      <c r="B1169" t="s">
        <v>31</v>
      </c>
      <c r="C1169" t="s">
        <v>32</v>
      </c>
      <c r="D1169" s="5" t="s">
        <v>11</v>
      </c>
      <c r="E1169" s="5" t="s">
        <v>12</v>
      </c>
      <c r="F1169" s="3" t="s">
        <v>13</v>
      </c>
      <c r="G1169" s="3" t="s">
        <v>13</v>
      </c>
      <c r="H1169" s="3" t="s">
        <v>13</v>
      </c>
      <c r="I1169" s="3">
        <v>3688137400</v>
      </c>
    </row>
    <row r="1170" spans="1:9" x14ac:dyDescent="0.35">
      <c r="A1170" t="str">
        <f>"24141"</f>
        <v>24141</v>
      </c>
      <c r="B1170" t="s">
        <v>33</v>
      </c>
      <c r="C1170" t="s">
        <v>548</v>
      </c>
      <c r="D1170" s="5" t="s">
        <v>11</v>
      </c>
      <c r="E1170" s="5" t="s">
        <v>12</v>
      </c>
      <c r="F1170" s="3" t="s">
        <v>13</v>
      </c>
      <c r="G1170" s="3" t="s">
        <v>13</v>
      </c>
      <c r="H1170" s="3" t="s">
        <v>13</v>
      </c>
      <c r="I1170" s="3">
        <v>31166500</v>
      </c>
    </row>
    <row r="1171" spans="1:9" x14ac:dyDescent="0.35">
      <c r="A1171" t="str">
        <f>"24154"</f>
        <v>24154</v>
      </c>
      <c r="B1171" t="s">
        <v>33</v>
      </c>
      <c r="C1171" t="s">
        <v>551</v>
      </c>
      <c r="D1171" s="5" t="s">
        <v>11</v>
      </c>
      <c r="E1171" s="5" t="s">
        <v>12</v>
      </c>
      <c r="F1171" s="3" t="s">
        <v>13</v>
      </c>
      <c r="G1171" s="3" t="s">
        <v>13</v>
      </c>
      <c r="H1171" s="3" t="s">
        <v>13</v>
      </c>
      <c r="I1171" s="3">
        <v>31626700</v>
      </c>
    </row>
    <row r="1172" spans="1:9" x14ac:dyDescent="0.35">
      <c r="A1172" t="s">
        <v>30</v>
      </c>
      <c r="B1172" t="s">
        <v>35</v>
      </c>
      <c r="C1172" t="s">
        <v>32</v>
      </c>
      <c r="D1172" s="5" t="s">
        <v>11</v>
      </c>
      <c r="E1172" s="5" t="s">
        <v>12</v>
      </c>
      <c r="F1172" s="3" t="s">
        <v>13</v>
      </c>
      <c r="G1172" s="3" t="s">
        <v>13</v>
      </c>
      <c r="H1172" s="3" t="s">
        <v>13</v>
      </c>
      <c r="I1172" s="3">
        <v>62793200</v>
      </c>
    </row>
    <row r="1173" spans="1:9" x14ac:dyDescent="0.35">
      <c r="A1173" t="str">
        <f t="shared" ref="A1173:A1178" si="25">"24206"</f>
        <v>24206</v>
      </c>
      <c r="B1173" t="s">
        <v>36</v>
      </c>
      <c r="C1173" t="s">
        <v>546</v>
      </c>
      <c r="D1173" s="5" t="str">
        <f>"001E"</f>
        <v>001E</v>
      </c>
      <c r="E1173" s="5">
        <v>2003</v>
      </c>
      <c r="F1173" s="3">
        <v>615300</v>
      </c>
      <c r="G1173" s="3">
        <v>1779700</v>
      </c>
      <c r="H1173" s="3">
        <v>1164400</v>
      </c>
    </row>
    <row r="1174" spans="1:9" x14ac:dyDescent="0.35">
      <c r="A1174" t="str">
        <f t="shared" si="25"/>
        <v>24206</v>
      </c>
      <c r="B1174" t="s">
        <v>36</v>
      </c>
      <c r="C1174" t="s">
        <v>546</v>
      </c>
      <c r="D1174" s="5" t="str">
        <f>"002E"</f>
        <v>002E</v>
      </c>
      <c r="E1174" s="5">
        <v>2007</v>
      </c>
      <c r="F1174" s="3">
        <v>105000</v>
      </c>
      <c r="G1174" s="3">
        <v>365700</v>
      </c>
      <c r="H1174" s="3">
        <v>260700</v>
      </c>
    </row>
    <row r="1175" spans="1:9" x14ac:dyDescent="0.35">
      <c r="A1175" t="str">
        <f t="shared" si="25"/>
        <v>24206</v>
      </c>
      <c r="B1175" t="s">
        <v>36</v>
      </c>
      <c r="C1175" t="s">
        <v>546</v>
      </c>
      <c r="D1175" s="5" t="str">
        <f>"015"</f>
        <v>015</v>
      </c>
      <c r="E1175" s="5">
        <v>2008</v>
      </c>
      <c r="F1175" s="3">
        <v>12491500</v>
      </c>
      <c r="G1175" s="3">
        <v>12491500</v>
      </c>
      <c r="H1175" s="3">
        <v>0</v>
      </c>
    </row>
    <row r="1176" spans="1:9" x14ac:dyDescent="0.35">
      <c r="A1176" t="str">
        <f t="shared" si="25"/>
        <v>24206</v>
      </c>
      <c r="B1176" t="s">
        <v>36</v>
      </c>
      <c r="C1176" t="s">
        <v>546</v>
      </c>
      <c r="D1176" s="5" t="str">
        <f>"016"</f>
        <v>016</v>
      </c>
      <c r="E1176" s="5">
        <v>2024</v>
      </c>
      <c r="F1176" s="3">
        <v>2387500</v>
      </c>
      <c r="G1176" s="3">
        <v>3669500</v>
      </c>
      <c r="H1176" s="3">
        <v>1282000</v>
      </c>
    </row>
    <row r="1177" spans="1:9" x14ac:dyDescent="0.35">
      <c r="A1177" t="str">
        <f t="shared" si="25"/>
        <v>24206</v>
      </c>
      <c r="B1177" t="s">
        <v>36</v>
      </c>
      <c r="C1177" t="s">
        <v>546</v>
      </c>
      <c r="D1177" s="5" t="str">
        <f>"017"</f>
        <v>017</v>
      </c>
      <c r="E1177" s="5">
        <v>2025</v>
      </c>
      <c r="F1177" s="3">
        <v>3650400</v>
      </c>
      <c r="G1177" s="3">
        <v>4736100</v>
      </c>
      <c r="H1177" s="3">
        <v>1085700</v>
      </c>
    </row>
    <row r="1178" spans="1:9" x14ac:dyDescent="0.35">
      <c r="A1178" t="str">
        <f t="shared" si="25"/>
        <v>24206</v>
      </c>
      <c r="B1178" t="s">
        <v>36</v>
      </c>
      <c r="C1178" t="s">
        <v>546</v>
      </c>
      <c r="D1178" s="5" t="s">
        <v>11</v>
      </c>
      <c r="E1178" s="5" t="s">
        <v>12</v>
      </c>
      <c r="F1178" s="3" t="s">
        <v>13</v>
      </c>
      <c r="G1178" s="3" t="s">
        <v>13</v>
      </c>
      <c r="H1178" s="3" t="s">
        <v>13</v>
      </c>
      <c r="I1178" s="3">
        <v>495557800</v>
      </c>
    </row>
    <row r="1179" spans="1:9" x14ac:dyDescent="0.35">
      <c r="A1179" t="str">
        <f t="shared" ref="A1179:A1185" si="26">"24231"</f>
        <v>24231</v>
      </c>
      <c r="B1179" t="s">
        <v>36</v>
      </c>
      <c r="C1179" t="s">
        <v>547</v>
      </c>
      <c r="D1179" s="5" t="str">
        <f>"003"</f>
        <v>003</v>
      </c>
      <c r="E1179" s="5">
        <v>2005</v>
      </c>
      <c r="F1179" s="3">
        <v>8369500</v>
      </c>
      <c r="G1179" s="3">
        <v>45017200</v>
      </c>
      <c r="H1179" s="3">
        <v>36647700</v>
      </c>
    </row>
    <row r="1180" spans="1:9" x14ac:dyDescent="0.35">
      <c r="A1180" t="str">
        <f t="shared" si="26"/>
        <v>24231</v>
      </c>
      <c r="B1180" t="s">
        <v>36</v>
      </c>
      <c r="C1180" t="s">
        <v>547</v>
      </c>
      <c r="D1180" s="5" t="str">
        <f>"004"</f>
        <v>004</v>
      </c>
      <c r="E1180" s="5">
        <v>2009</v>
      </c>
      <c r="F1180" s="3">
        <v>237700</v>
      </c>
      <c r="G1180" s="3">
        <v>627600</v>
      </c>
      <c r="H1180" s="3">
        <v>389900</v>
      </c>
    </row>
    <row r="1181" spans="1:9" x14ac:dyDescent="0.35">
      <c r="A1181" t="str">
        <f t="shared" si="26"/>
        <v>24231</v>
      </c>
      <c r="B1181" t="s">
        <v>36</v>
      </c>
      <c r="C1181" t="s">
        <v>547</v>
      </c>
      <c r="D1181" s="5" t="str">
        <f>"005"</f>
        <v>005</v>
      </c>
      <c r="E1181" s="5">
        <v>2020</v>
      </c>
      <c r="F1181" s="3">
        <v>5673600</v>
      </c>
      <c r="G1181" s="3">
        <v>19130300</v>
      </c>
      <c r="H1181" s="3">
        <v>13456700</v>
      </c>
    </row>
    <row r="1182" spans="1:9" x14ac:dyDescent="0.35">
      <c r="A1182" t="str">
        <f t="shared" si="26"/>
        <v>24231</v>
      </c>
      <c r="B1182" t="s">
        <v>36</v>
      </c>
      <c r="C1182" t="s">
        <v>547</v>
      </c>
      <c r="D1182" s="5" t="str">
        <f>"006"</f>
        <v>006</v>
      </c>
      <c r="E1182" s="5">
        <v>2021</v>
      </c>
      <c r="F1182" s="3">
        <v>628700</v>
      </c>
      <c r="G1182" s="3">
        <v>3116200</v>
      </c>
      <c r="H1182" s="3">
        <v>2487500</v>
      </c>
    </row>
    <row r="1183" spans="1:9" x14ac:dyDescent="0.35">
      <c r="A1183" t="str">
        <f t="shared" si="26"/>
        <v>24231</v>
      </c>
      <c r="B1183" t="s">
        <v>36</v>
      </c>
      <c r="C1183" t="s">
        <v>547</v>
      </c>
      <c r="D1183" s="5" t="str">
        <f>"007"</f>
        <v>007</v>
      </c>
      <c r="E1183" s="5">
        <v>2024</v>
      </c>
      <c r="F1183" s="3">
        <v>2190500</v>
      </c>
      <c r="G1183" s="3">
        <v>5791600</v>
      </c>
      <c r="H1183" s="3">
        <v>3601100</v>
      </c>
    </row>
    <row r="1184" spans="1:9" x14ac:dyDescent="0.35">
      <c r="A1184" t="str">
        <f t="shared" si="26"/>
        <v>24231</v>
      </c>
      <c r="B1184" t="s">
        <v>36</v>
      </c>
      <c r="C1184" t="s">
        <v>547</v>
      </c>
      <c r="D1184" s="5" t="str">
        <f>"008"</f>
        <v>008</v>
      </c>
      <c r="E1184" s="5">
        <v>2025</v>
      </c>
      <c r="F1184" s="3">
        <v>6866300</v>
      </c>
      <c r="G1184" s="3">
        <v>7734800</v>
      </c>
      <c r="H1184" s="3">
        <v>868500</v>
      </c>
    </row>
    <row r="1185" spans="1:9" x14ac:dyDescent="0.35">
      <c r="A1185" t="str">
        <f t="shared" si="26"/>
        <v>24231</v>
      </c>
      <c r="B1185" t="s">
        <v>36</v>
      </c>
      <c r="C1185" t="s">
        <v>547</v>
      </c>
      <c r="D1185" s="5" t="s">
        <v>11</v>
      </c>
      <c r="E1185" s="5" t="s">
        <v>12</v>
      </c>
      <c r="F1185" s="3" t="s">
        <v>13</v>
      </c>
      <c r="G1185" s="3" t="s">
        <v>13</v>
      </c>
      <c r="H1185" s="3" t="s">
        <v>13</v>
      </c>
      <c r="I1185" s="3">
        <v>455923200</v>
      </c>
    </row>
    <row r="1186" spans="1:9" x14ac:dyDescent="0.35">
      <c r="A1186" t="str">
        <f>"24251"</f>
        <v>24251</v>
      </c>
      <c r="B1186" t="s">
        <v>36</v>
      </c>
      <c r="C1186" t="s">
        <v>554</v>
      </c>
      <c r="D1186" s="5" t="s">
        <v>11</v>
      </c>
      <c r="E1186" s="5" t="s">
        <v>12</v>
      </c>
      <c r="F1186" s="3" t="s">
        <v>13</v>
      </c>
      <c r="G1186" s="3" t="s">
        <v>13</v>
      </c>
      <c r="H1186" s="3" t="s">
        <v>13</v>
      </c>
      <c r="I1186" s="3">
        <v>124686000</v>
      </c>
    </row>
    <row r="1187" spans="1:9" x14ac:dyDescent="0.35">
      <c r="A1187" t="str">
        <f>"24271"</f>
        <v>24271</v>
      </c>
      <c r="B1187" t="s">
        <v>36</v>
      </c>
      <c r="C1187" t="s">
        <v>552</v>
      </c>
      <c r="D1187" s="5" t="str">
        <f>"002"</f>
        <v>002</v>
      </c>
      <c r="E1187" s="5">
        <v>2001</v>
      </c>
      <c r="F1187" s="3">
        <v>4801300</v>
      </c>
      <c r="G1187" s="3">
        <v>11054200</v>
      </c>
      <c r="H1187" s="3">
        <v>6252900</v>
      </c>
    </row>
    <row r="1188" spans="1:9" x14ac:dyDescent="0.35">
      <c r="A1188" t="str">
        <f>"24271"</f>
        <v>24271</v>
      </c>
      <c r="B1188" t="s">
        <v>36</v>
      </c>
      <c r="C1188" t="s">
        <v>552</v>
      </c>
      <c r="D1188" s="5" t="s">
        <v>11</v>
      </c>
      <c r="E1188" s="5" t="s">
        <v>12</v>
      </c>
      <c r="F1188" s="3" t="s">
        <v>13</v>
      </c>
      <c r="G1188" s="3" t="s">
        <v>13</v>
      </c>
      <c r="H1188" s="3" t="s">
        <v>13</v>
      </c>
      <c r="I1188" s="3">
        <v>100875000</v>
      </c>
    </row>
    <row r="1189" spans="1:9" x14ac:dyDescent="0.35">
      <c r="A1189" t="s">
        <v>30</v>
      </c>
      <c r="B1189" t="s">
        <v>38</v>
      </c>
      <c r="C1189" t="s">
        <v>32</v>
      </c>
      <c r="D1189" s="5" t="s">
        <v>11</v>
      </c>
      <c r="E1189" s="5" t="s">
        <v>12</v>
      </c>
      <c r="F1189" s="3" t="s">
        <v>13</v>
      </c>
      <c r="G1189" s="3" t="s">
        <v>13</v>
      </c>
      <c r="H1189" s="3" t="s">
        <v>13</v>
      </c>
      <c r="I1189" s="3">
        <v>1177042000</v>
      </c>
    </row>
    <row r="1190" spans="1:9" x14ac:dyDescent="0.35">
      <c r="A1190" t="s">
        <v>30</v>
      </c>
      <c r="B1190" t="s">
        <v>39</v>
      </c>
      <c r="C1190" t="s">
        <v>547</v>
      </c>
      <c r="D1190" s="5" t="s">
        <v>11</v>
      </c>
      <c r="E1190" s="5" t="s">
        <v>12</v>
      </c>
      <c r="F1190" s="3" t="s">
        <v>13</v>
      </c>
      <c r="G1190" s="3" t="s">
        <v>13</v>
      </c>
      <c r="H1190" s="3" t="s">
        <v>13</v>
      </c>
      <c r="I1190" s="3">
        <v>4927972600</v>
      </c>
    </row>
    <row r="1191" spans="1:9" x14ac:dyDescent="0.35">
      <c r="A1191" t="str">
        <f>"25002"</f>
        <v>25002</v>
      </c>
      <c r="B1191" t="s">
        <v>9</v>
      </c>
      <c r="C1191" t="s">
        <v>555</v>
      </c>
      <c r="D1191" s="5" t="s">
        <v>11</v>
      </c>
      <c r="E1191" s="5" t="s">
        <v>12</v>
      </c>
      <c r="F1191" s="3" t="s">
        <v>13</v>
      </c>
      <c r="G1191" s="3" t="s">
        <v>13</v>
      </c>
      <c r="H1191" s="3" t="s">
        <v>13</v>
      </c>
      <c r="I1191" s="3">
        <v>359601700</v>
      </c>
    </row>
    <row r="1192" spans="1:9" x14ac:dyDescent="0.35">
      <c r="A1192" t="str">
        <f>"25004"</f>
        <v>25004</v>
      </c>
      <c r="B1192" t="s">
        <v>9</v>
      </c>
      <c r="C1192" t="s">
        <v>556</v>
      </c>
      <c r="D1192" s="5" t="s">
        <v>11</v>
      </c>
      <c r="E1192" s="5" t="s">
        <v>12</v>
      </c>
      <c r="F1192" s="3" t="s">
        <v>13</v>
      </c>
      <c r="G1192" s="3" t="s">
        <v>13</v>
      </c>
      <c r="H1192" s="3" t="s">
        <v>13</v>
      </c>
      <c r="I1192" s="3">
        <v>264292900</v>
      </c>
    </row>
    <row r="1193" spans="1:9" x14ac:dyDescent="0.35">
      <c r="A1193" t="str">
        <f>"25006"</f>
        <v>25006</v>
      </c>
      <c r="B1193" t="s">
        <v>9</v>
      </c>
      <c r="C1193" t="s">
        <v>557</v>
      </c>
      <c r="D1193" s="5" t="s">
        <v>11</v>
      </c>
      <c r="E1193" s="5" t="s">
        <v>12</v>
      </c>
      <c r="F1193" s="3" t="s">
        <v>13</v>
      </c>
      <c r="G1193" s="3" t="s">
        <v>13</v>
      </c>
      <c r="H1193" s="3" t="s">
        <v>13</v>
      </c>
      <c r="I1193" s="3">
        <v>100702200</v>
      </c>
    </row>
    <row r="1194" spans="1:9" x14ac:dyDescent="0.35">
      <c r="A1194" t="str">
        <f>"25008"</f>
        <v>25008</v>
      </c>
      <c r="B1194" t="s">
        <v>9</v>
      </c>
      <c r="C1194" t="s">
        <v>558</v>
      </c>
      <c r="D1194" s="5" t="s">
        <v>11</v>
      </c>
      <c r="E1194" s="5" t="s">
        <v>12</v>
      </c>
      <c r="F1194" s="3" t="s">
        <v>13</v>
      </c>
      <c r="G1194" s="3" t="s">
        <v>13</v>
      </c>
      <c r="H1194" s="3" t="s">
        <v>13</v>
      </c>
      <c r="I1194" s="3">
        <v>386185600</v>
      </c>
    </row>
    <row r="1195" spans="1:9" x14ac:dyDescent="0.35">
      <c r="A1195" t="str">
        <f>"25010"</f>
        <v>25010</v>
      </c>
      <c r="B1195" t="s">
        <v>9</v>
      </c>
      <c r="C1195" t="s">
        <v>458</v>
      </c>
      <c r="D1195" s="5" t="s">
        <v>11</v>
      </c>
      <c r="E1195" s="5" t="s">
        <v>12</v>
      </c>
      <c r="F1195" s="3" t="s">
        <v>13</v>
      </c>
      <c r="G1195" s="3" t="s">
        <v>13</v>
      </c>
      <c r="H1195" s="3" t="s">
        <v>13</v>
      </c>
      <c r="I1195" s="3">
        <v>81767300</v>
      </c>
    </row>
    <row r="1196" spans="1:9" x14ac:dyDescent="0.35">
      <c r="A1196" t="str">
        <f>"25012"</f>
        <v>25012</v>
      </c>
      <c r="B1196" t="s">
        <v>9</v>
      </c>
      <c r="C1196" t="s">
        <v>402</v>
      </c>
      <c r="D1196" s="5" t="s">
        <v>11</v>
      </c>
      <c r="E1196" s="5" t="s">
        <v>12</v>
      </c>
      <c r="F1196" s="3" t="s">
        <v>13</v>
      </c>
      <c r="G1196" s="3" t="s">
        <v>13</v>
      </c>
      <c r="H1196" s="3" t="s">
        <v>13</v>
      </c>
      <c r="I1196" s="3">
        <v>156154800</v>
      </c>
    </row>
    <row r="1197" spans="1:9" x14ac:dyDescent="0.35">
      <c r="A1197" t="str">
        <f>"25014"</f>
        <v>25014</v>
      </c>
      <c r="B1197" t="s">
        <v>9</v>
      </c>
      <c r="C1197" t="s">
        <v>559</v>
      </c>
      <c r="D1197" s="5" t="s">
        <v>11</v>
      </c>
      <c r="E1197" s="5" t="s">
        <v>12</v>
      </c>
      <c r="F1197" s="3" t="s">
        <v>13</v>
      </c>
      <c r="G1197" s="3" t="s">
        <v>13</v>
      </c>
      <c r="H1197" s="3" t="s">
        <v>13</v>
      </c>
      <c r="I1197" s="3">
        <v>122452900</v>
      </c>
    </row>
    <row r="1198" spans="1:9" x14ac:dyDescent="0.35">
      <c r="A1198" t="str">
        <f>"25016"</f>
        <v>25016</v>
      </c>
      <c r="B1198" t="s">
        <v>9</v>
      </c>
      <c r="C1198" t="s">
        <v>560</v>
      </c>
      <c r="D1198" s="5" t="s">
        <v>11</v>
      </c>
      <c r="E1198" s="5" t="s">
        <v>12</v>
      </c>
      <c r="F1198" s="3" t="s">
        <v>13</v>
      </c>
      <c r="G1198" s="3" t="s">
        <v>13</v>
      </c>
      <c r="H1198" s="3" t="s">
        <v>13</v>
      </c>
      <c r="I1198" s="3">
        <v>108199800</v>
      </c>
    </row>
    <row r="1199" spans="1:9" x14ac:dyDescent="0.35">
      <c r="A1199" t="str">
        <f>"25018"</f>
        <v>25018</v>
      </c>
      <c r="B1199" t="s">
        <v>9</v>
      </c>
      <c r="C1199" t="s">
        <v>561</v>
      </c>
      <c r="D1199" s="5" t="s">
        <v>11</v>
      </c>
      <c r="E1199" s="5" t="s">
        <v>12</v>
      </c>
      <c r="F1199" s="3" t="s">
        <v>13</v>
      </c>
      <c r="G1199" s="3" t="s">
        <v>13</v>
      </c>
      <c r="H1199" s="3" t="s">
        <v>13</v>
      </c>
      <c r="I1199" s="3">
        <v>193714600</v>
      </c>
    </row>
    <row r="1200" spans="1:9" x14ac:dyDescent="0.35">
      <c r="A1200" t="str">
        <f>"25020"</f>
        <v>25020</v>
      </c>
      <c r="B1200" t="s">
        <v>9</v>
      </c>
      <c r="C1200" t="s">
        <v>562</v>
      </c>
      <c r="D1200" s="5" t="s">
        <v>11</v>
      </c>
      <c r="E1200" s="5" t="s">
        <v>12</v>
      </c>
      <c r="F1200" s="3" t="s">
        <v>13</v>
      </c>
      <c r="G1200" s="3" t="s">
        <v>13</v>
      </c>
      <c r="H1200" s="3" t="s">
        <v>13</v>
      </c>
      <c r="I1200" s="3">
        <v>135690900</v>
      </c>
    </row>
    <row r="1201" spans="1:9" x14ac:dyDescent="0.35">
      <c r="A1201" t="str">
        <f>"25022"</f>
        <v>25022</v>
      </c>
      <c r="B1201" t="s">
        <v>9</v>
      </c>
      <c r="C1201" t="s">
        <v>127</v>
      </c>
      <c r="D1201" s="5" t="s">
        <v>11</v>
      </c>
      <c r="E1201" s="5" t="s">
        <v>12</v>
      </c>
      <c r="F1201" s="3" t="s">
        <v>13</v>
      </c>
      <c r="G1201" s="3" t="s">
        <v>13</v>
      </c>
      <c r="H1201" s="3" t="s">
        <v>13</v>
      </c>
      <c r="I1201" s="3">
        <v>78249500</v>
      </c>
    </row>
    <row r="1202" spans="1:9" x14ac:dyDescent="0.35">
      <c r="A1202" t="str">
        <f>"25024"</f>
        <v>25024</v>
      </c>
      <c r="B1202" t="s">
        <v>9</v>
      </c>
      <c r="C1202" t="s">
        <v>563</v>
      </c>
      <c r="D1202" s="5" t="s">
        <v>11</v>
      </c>
      <c r="E1202" s="5" t="s">
        <v>12</v>
      </c>
      <c r="F1202" s="3" t="s">
        <v>13</v>
      </c>
      <c r="G1202" s="3" t="s">
        <v>13</v>
      </c>
      <c r="H1202" s="3" t="s">
        <v>13</v>
      </c>
      <c r="I1202" s="3">
        <v>149983000</v>
      </c>
    </row>
    <row r="1203" spans="1:9" x14ac:dyDescent="0.35">
      <c r="A1203" t="str">
        <f>"25026"</f>
        <v>25026</v>
      </c>
      <c r="B1203" t="s">
        <v>9</v>
      </c>
      <c r="C1203" t="s">
        <v>564</v>
      </c>
      <c r="D1203" s="5" t="s">
        <v>11</v>
      </c>
      <c r="E1203" s="5" t="s">
        <v>12</v>
      </c>
      <c r="F1203" s="3" t="s">
        <v>13</v>
      </c>
      <c r="G1203" s="3" t="s">
        <v>13</v>
      </c>
      <c r="H1203" s="3" t="s">
        <v>13</v>
      </c>
      <c r="I1203" s="3">
        <v>97071000</v>
      </c>
    </row>
    <row r="1204" spans="1:9" x14ac:dyDescent="0.35">
      <c r="A1204" t="str">
        <f>"25028"</f>
        <v>25028</v>
      </c>
      <c r="B1204" t="s">
        <v>9</v>
      </c>
      <c r="C1204" t="s">
        <v>565</v>
      </c>
      <c r="D1204" s="5" t="s">
        <v>11</v>
      </c>
      <c r="E1204" s="5" t="s">
        <v>12</v>
      </c>
      <c r="F1204" s="3" t="s">
        <v>13</v>
      </c>
      <c r="G1204" s="3" t="s">
        <v>13</v>
      </c>
      <c r="H1204" s="3" t="s">
        <v>13</v>
      </c>
      <c r="I1204" s="3">
        <v>171094300</v>
      </c>
    </row>
    <row r="1205" spans="1:9" x14ac:dyDescent="0.35">
      <c r="A1205" t="s">
        <v>30</v>
      </c>
      <c r="B1205" t="s">
        <v>31</v>
      </c>
      <c r="C1205" t="s">
        <v>32</v>
      </c>
      <c r="D1205" s="5" t="s">
        <v>11</v>
      </c>
      <c r="E1205" s="5" t="s">
        <v>12</v>
      </c>
      <c r="F1205" s="3" t="s">
        <v>13</v>
      </c>
      <c r="G1205" s="3" t="s">
        <v>13</v>
      </c>
      <c r="H1205" s="3" t="s">
        <v>13</v>
      </c>
      <c r="I1205" s="3">
        <v>2405160500</v>
      </c>
    </row>
    <row r="1206" spans="1:9" x14ac:dyDescent="0.35">
      <c r="A1206" t="str">
        <f>"25101"</f>
        <v>25101</v>
      </c>
      <c r="B1206" t="s">
        <v>33</v>
      </c>
      <c r="C1206" t="s">
        <v>555</v>
      </c>
      <c r="D1206" s="5" t="str">
        <f>"001"</f>
        <v>001</v>
      </c>
      <c r="E1206" s="5">
        <v>2006</v>
      </c>
      <c r="F1206" s="3">
        <v>4968900</v>
      </c>
      <c r="G1206" s="3">
        <v>32166100</v>
      </c>
      <c r="H1206" s="3">
        <v>27197200</v>
      </c>
    </row>
    <row r="1207" spans="1:9" x14ac:dyDescent="0.35">
      <c r="A1207" t="str">
        <f>"25101"</f>
        <v>25101</v>
      </c>
      <c r="B1207" t="s">
        <v>33</v>
      </c>
      <c r="C1207" t="s">
        <v>555</v>
      </c>
      <c r="D1207" s="5" t="s">
        <v>11</v>
      </c>
      <c r="E1207" s="5" t="s">
        <v>12</v>
      </c>
      <c r="F1207" s="3" t="s">
        <v>13</v>
      </c>
      <c r="G1207" s="3" t="s">
        <v>13</v>
      </c>
      <c r="H1207" s="3" t="s">
        <v>13</v>
      </c>
      <c r="I1207" s="3">
        <v>71467300</v>
      </c>
    </row>
    <row r="1208" spans="1:9" x14ac:dyDescent="0.35">
      <c r="A1208" t="str">
        <f>"25102"</f>
        <v>25102</v>
      </c>
      <c r="B1208" t="s">
        <v>33</v>
      </c>
      <c r="C1208" t="s">
        <v>566</v>
      </c>
      <c r="D1208" s="5" t="s">
        <v>11</v>
      </c>
      <c r="E1208" s="5" t="s">
        <v>12</v>
      </c>
      <c r="F1208" s="3" t="s">
        <v>13</v>
      </c>
      <c r="G1208" s="3" t="s">
        <v>13</v>
      </c>
      <c r="H1208" s="3" t="s">
        <v>13</v>
      </c>
      <c r="I1208" s="3">
        <v>42545100</v>
      </c>
    </row>
    <row r="1209" spans="1:9" x14ac:dyDescent="0.35">
      <c r="A1209" t="str">
        <f>"25106"</f>
        <v>25106</v>
      </c>
      <c r="B1209" t="s">
        <v>33</v>
      </c>
      <c r="C1209" t="s">
        <v>567</v>
      </c>
      <c r="D1209" s="5" t="str">
        <f>"002"</f>
        <v>002</v>
      </c>
      <c r="E1209" s="5">
        <v>2015</v>
      </c>
      <c r="F1209" s="3">
        <v>220700</v>
      </c>
      <c r="G1209" s="3">
        <v>61935300</v>
      </c>
      <c r="H1209" s="3">
        <v>61714600</v>
      </c>
    </row>
    <row r="1210" spans="1:9" x14ac:dyDescent="0.35">
      <c r="A1210" t="str">
        <f>"25106"</f>
        <v>25106</v>
      </c>
      <c r="B1210" t="s">
        <v>33</v>
      </c>
      <c r="C1210" t="s">
        <v>567</v>
      </c>
      <c r="D1210" s="5" t="s">
        <v>11</v>
      </c>
      <c r="E1210" s="5" t="s">
        <v>12</v>
      </c>
      <c r="F1210" s="3" t="s">
        <v>13</v>
      </c>
      <c r="G1210" s="3" t="s">
        <v>13</v>
      </c>
      <c r="H1210" s="3" t="s">
        <v>13</v>
      </c>
      <c r="I1210" s="3">
        <v>203530600</v>
      </c>
    </row>
    <row r="1211" spans="1:9" x14ac:dyDescent="0.35">
      <c r="A1211" t="str">
        <f>"25108"</f>
        <v>25108</v>
      </c>
      <c r="B1211" t="s">
        <v>33</v>
      </c>
      <c r="C1211" t="s">
        <v>568</v>
      </c>
      <c r="D1211" s="5" t="str">
        <f>"001"</f>
        <v>001</v>
      </c>
      <c r="E1211" s="5">
        <v>2024</v>
      </c>
      <c r="F1211" s="3">
        <v>681900</v>
      </c>
      <c r="G1211" s="3">
        <v>865000</v>
      </c>
      <c r="H1211" s="3">
        <v>183100</v>
      </c>
    </row>
    <row r="1212" spans="1:9" x14ac:dyDescent="0.35">
      <c r="A1212" t="str">
        <f>"25108"</f>
        <v>25108</v>
      </c>
      <c r="B1212" t="s">
        <v>33</v>
      </c>
      <c r="C1212" t="s">
        <v>568</v>
      </c>
      <c r="D1212" s="5" t="s">
        <v>11</v>
      </c>
      <c r="E1212" s="5" t="s">
        <v>12</v>
      </c>
      <c r="F1212" s="3" t="s">
        <v>13</v>
      </c>
      <c r="G1212" s="3" t="s">
        <v>13</v>
      </c>
      <c r="H1212" s="3" t="s">
        <v>13</v>
      </c>
      <c r="I1212" s="3">
        <v>19486000</v>
      </c>
    </row>
    <row r="1213" spans="1:9" x14ac:dyDescent="0.35">
      <c r="A1213" t="str">
        <f>"25111"</f>
        <v>25111</v>
      </c>
      <c r="B1213" t="s">
        <v>33</v>
      </c>
      <c r="C1213" t="s">
        <v>569</v>
      </c>
      <c r="D1213" s="5" t="s">
        <v>11</v>
      </c>
      <c r="E1213" s="5" t="s">
        <v>12</v>
      </c>
      <c r="F1213" s="3" t="s">
        <v>13</v>
      </c>
      <c r="G1213" s="3" t="s">
        <v>13</v>
      </c>
      <c r="H1213" s="3" t="s">
        <v>13</v>
      </c>
      <c r="I1213" s="3">
        <v>51220000</v>
      </c>
    </row>
    <row r="1214" spans="1:9" x14ac:dyDescent="0.35">
      <c r="A1214" t="str">
        <f>"25136"</f>
        <v>25136</v>
      </c>
      <c r="B1214" t="s">
        <v>33</v>
      </c>
      <c r="C1214" t="s">
        <v>402</v>
      </c>
      <c r="D1214" s="5" t="s">
        <v>11</v>
      </c>
      <c r="E1214" s="5" t="s">
        <v>12</v>
      </c>
      <c r="F1214" s="3" t="s">
        <v>13</v>
      </c>
      <c r="G1214" s="3" t="s">
        <v>13</v>
      </c>
      <c r="H1214" s="3" t="s">
        <v>13</v>
      </c>
      <c r="I1214" s="3">
        <v>85233200</v>
      </c>
    </row>
    <row r="1215" spans="1:9" x14ac:dyDescent="0.35">
      <c r="A1215" t="str">
        <f>"25137"</f>
        <v>25137</v>
      </c>
      <c r="B1215" t="s">
        <v>33</v>
      </c>
      <c r="C1215" t="s">
        <v>570</v>
      </c>
      <c r="D1215" s="5" t="s">
        <v>11</v>
      </c>
      <c r="E1215" s="5" t="s">
        <v>12</v>
      </c>
      <c r="F1215" s="3" t="s">
        <v>13</v>
      </c>
      <c r="G1215" s="3" t="s">
        <v>13</v>
      </c>
      <c r="H1215" s="3" t="s">
        <v>13</v>
      </c>
      <c r="I1215" s="3">
        <v>27204400</v>
      </c>
    </row>
    <row r="1216" spans="1:9" x14ac:dyDescent="0.35">
      <c r="A1216" t="str">
        <f>"25146"</f>
        <v>25146</v>
      </c>
      <c r="B1216" t="s">
        <v>33</v>
      </c>
      <c r="C1216" t="s">
        <v>559</v>
      </c>
      <c r="D1216" s="5" t="s">
        <v>11</v>
      </c>
      <c r="E1216" s="5" t="s">
        <v>12</v>
      </c>
      <c r="F1216" s="3" t="s">
        <v>13</v>
      </c>
      <c r="G1216" s="3" t="s">
        <v>13</v>
      </c>
      <c r="H1216" s="3" t="s">
        <v>13</v>
      </c>
      <c r="I1216" s="3">
        <v>39014500</v>
      </c>
    </row>
    <row r="1217" spans="1:9" x14ac:dyDescent="0.35">
      <c r="A1217" t="str">
        <f>"25147"</f>
        <v>25147</v>
      </c>
      <c r="B1217" t="s">
        <v>33</v>
      </c>
      <c r="C1217" t="s">
        <v>526</v>
      </c>
      <c r="D1217" s="5" t="s">
        <v>11</v>
      </c>
      <c r="E1217" s="5" t="s">
        <v>12</v>
      </c>
      <c r="F1217" s="3" t="s">
        <v>13</v>
      </c>
      <c r="G1217" s="3" t="s">
        <v>13</v>
      </c>
      <c r="H1217" s="3" t="s">
        <v>13</v>
      </c>
      <c r="I1217" s="3">
        <v>7142400</v>
      </c>
    </row>
    <row r="1218" spans="1:9" x14ac:dyDescent="0.35">
      <c r="A1218" t="str">
        <f>"25151"</f>
        <v>25151</v>
      </c>
      <c r="B1218" t="s">
        <v>33</v>
      </c>
      <c r="C1218" t="s">
        <v>527</v>
      </c>
      <c r="D1218" s="5" t="s">
        <v>11</v>
      </c>
      <c r="E1218" s="5" t="s">
        <v>12</v>
      </c>
      <c r="F1218" s="3" t="s">
        <v>13</v>
      </c>
      <c r="G1218" s="3" t="s">
        <v>13</v>
      </c>
      <c r="H1218" s="3" t="s">
        <v>13</v>
      </c>
      <c r="I1218" s="3">
        <v>9783000</v>
      </c>
    </row>
    <row r="1219" spans="1:9" x14ac:dyDescent="0.35">
      <c r="A1219" t="str">
        <f>"25153"</f>
        <v>25153</v>
      </c>
      <c r="B1219" t="s">
        <v>33</v>
      </c>
      <c r="C1219" t="s">
        <v>510</v>
      </c>
      <c r="D1219" s="5" t="str">
        <f>"005"</f>
        <v>005</v>
      </c>
      <c r="E1219" s="5">
        <v>2023</v>
      </c>
      <c r="F1219" s="3">
        <v>3224700</v>
      </c>
      <c r="G1219" s="3">
        <v>13246100</v>
      </c>
      <c r="H1219" s="3">
        <v>10021400</v>
      </c>
    </row>
    <row r="1220" spans="1:9" x14ac:dyDescent="0.35">
      <c r="A1220" t="str">
        <f>"25153"</f>
        <v>25153</v>
      </c>
      <c r="B1220" t="s">
        <v>33</v>
      </c>
      <c r="C1220" t="s">
        <v>510</v>
      </c>
      <c r="D1220" s="5" t="s">
        <v>11</v>
      </c>
      <c r="E1220" s="5" t="s">
        <v>12</v>
      </c>
      <c r="F1220" s="3" t="s">
        <v>13</v>
      </c>
      <c r="G1220" s="3" t="s">
        <v>13</v>
      </c>
      <c r="H1220" s="3" t="s">
        <v>13</v>
      </c>
      <c r="I1220" s="3">
        <v>12086200</v>
      </c>
    </row>
    <row r="1221" spans="1:9" x14ac:dyDescent="0.35">
      <c r="A1221" t="str">
        <f>"25176"</f>
        <v>25176</v>
      </c>
      <c r="B1221" t="s">
        <v>33</v>
      </c>
      <c r="C1221" t="s">
        <v>571</v>
      </c>
      <c r="D1221" s="5" t="s">
        <v>11</v>
      </c>
      <c r="E1221" s="5" t="s">
        <v>12</v>
      </c>
      <c r="F1221" s="3" t="s">
        <v>13</v>
      </c>
      <c r="G1221" s="3" t="s">
        <v>13</v>
      </c>
      <c r="H1221" s="3" t="s">
        <v>13</v>
      </c>
      <c r="I1221" s="3">
        <v>17853700</v>
      </c>
    </row>
    <row r="1222" spans="1:9" x14ac:dyDescent="0.35">
      <c r="A1222" t="str">
        <f>"25177"</f>
        <v>25177</v>
      </c>
      <c r="B1222" t="s">
        <v>33</v>
      </c>
      <c r="C1222" t="s">
        <v>563</v>
      </c>
      <c r="D1222" s="5" t="str">
        <f>"001"</f>
        <v>001</v>
      </c>
      <c r="E1222" s="5">
        <v>2007</v>
      </c>
      <c r="F1222" s="3">
        <v>2787500</v>
      </c>
      <c r="G1222" s="3">
        <v>17386200</v>
      </c>
      <c r="H1222" s="3">
        <v>14598700</v>
      </c>
    </row>
    <row r="1223" spans="1:9" x14ac:dyDescent="0.35">
      <c r="A1223" t="str">
        <f>"25177"</f>
        <v>25177</v>
      </c>
      <c r="B1223" t="s">
        <v>33</v>
      </c>
      <c r="C1223" t="s">
        <v>563</v>
      </c>
      <c r="D1223" s="5" t="s">
        <v>11</v>
      </c>
      <c r="E1223" s="5" t="s">
        <v>12</v>
      </c>
      <c r="F1223" s="3" t="s">
        <v>13</v>
      </c>
      <c r="G1223" s="3" t="s">
        <v>13</v>
      </c>
      <c r="H1223" s="3" t="s">
        <v>13</v>
      </c>
      <c r="I1223" s="3">
        <v>70729000</v>
      </c>
    </row>
    <row r="1224" spans="1:9" x14ac:dyDescent="0.35">
      <c r="A1224" t="s">
        <v>30</v>
      </c>
      <c r="B1224" t="s">
        <v>35</v>
      </c>
      <c r="C1224" t="s">
        <v>32</v>
      </c>
      <c r="D1224" s="5" t="s">
        <v>11</v>
      </c>
      <c r="E1224" s="5" t="s">
        <v>12</v>
      </c>
      <c r="F1224" s="3" t="s">
        <v>13</v>
      </c>
      <c r="G1224" s="3" t="s">
        <v>13</v>
      </c>
      <c r="H1224" s="3" t="s">
        <v>13</v>
      </c>
      <c r="I1224" s="3">
        <v>657295400</v>
      </c>
    </row>
    <row r="1225" spans="1:9" x14ac:dyDescent="0.35">
      <c r="A1225" t="str">
        <f>"25216"</f>
        <v>25216</v>
      </c>
      <c r="B1225" t="s">
        <v>36</v>
      </c>
      <c r="C1225" t="s">
        <v>558</v>
      </c>
      <c r="D1225" s="5" t="str">
        <f>"003"</f>
        <v>003</v>
      </c>
      <c r="E1225" s="5">
        <v>2020</v>
      </c>
      <c r="F1225" s="3">
        <v>1867900</v>
      </c>
      <c r="G1225" s="3">
        <v>17610300</v>
      </c>
      <c r="H1225" s="3">
        <v>15742400</v>
      </c>
    </row>
    <row r="1226" spans="1:9" x14ac:dyDescent="0.35">
      <c r="A1226" t="str">
        <f>"25216"</f>
        <v>25216</v>
      </c>
      <c r="B1226" t="s">
        <v>36</v>
      </c>
      <c r="C1226" t="s">
        <v>558</v>
      </c>
      <c r="D1226" s="5" t="s">
        <v>11</v>
      </c>
      <c r="E1226" s="5" t="s">
        <v>12</v>
      </c>
      <c r="F1226" s="3" t="s">
        <v>13</v>
      </c>
      <c r="G1226" s="3" t="s">
        <v>13</v>
      </c>
      <c r="H1226" s="3" t="s">
        <v>13</v>
      </c>
      <c r="I1226" s="3">
        <v>675635600</v>
      </c>
    </row>
    <row r="1227" spans="1:9" x14ac:dyDescent="0.35">
      <c r="A1227" t="str">
        <f>"25251"</f>
        <v>25251</v>
      </c>
      <c r="B1227" t="s">
        <v>36</v>
      </c>
      <c r="C1227" t="s">
        <v>561</v>
      </c>
      <c r="D1227" s="5" t="str">
        <f>"002"</f>
        <v>002</v>
      </c>
      <c r="E1227" s="5">
        <v>2023</v>
      </c>
      <c r="F1227" s="3">
        <v>15696700</v>
      </c>
      <c r="G1227" s="3">
        <v>27643900</v>
      </c>
      <c r="H1227" s="3">
        <v>11947200</v>
      </c>
    </row>
    <row r="1228" spans="1:9" x14ac:dyDescent="0.35">
      <c r="A1228" t="str">
        <f>"25251"</f>
        <v>25251</v>
      </c>
      <c r="B1228" t="s">
        <v>36</v>
      </c>
      <c r="C1228" t="s">
        <v>561</v>
      </c>
      <c r="D1228" s="5" t="s">
        <v>11</v>
      </c>
      <c r="E1228" s="5" t="s">
        <v>12</v>
      </c>
      <c r="F1228" s="3" t="s">
        <v>13</v>
      </c>
      <c r="G1228" s="3" t="s">
        <v>13</v>
      </c>
      <c r="H1228" s="3" t="s">
        <v>13</v>
      </c>
      <c r="I1228" s="3">
        <v>409262200</v>
      </c>
    </row>
    <row r="1229" spans="1:9" x14ac:dyDescent="0.35">
      <c r="A1229" t="s">
        <v>30</v>
      </c>
      <c r="B1229" t="s">
        <v>38</v>
      </c>
      <c r="C1229" t="s">
        <v>32</v>
      </c>
      <c r="D1229" s="5" t="s">
        <v>11</v>
      </c>
      <c r="E1229" s="5" t="s">
        <v>12</v>
      </c>
      <c r="F1229" s="3" t="s">
        <v>13</v>
      </c>
      <c r="G1229" s="3" t="s">
        <v>13</v>
      </c>
      <c r="H1229" s="3" t="s">
        <v>13</v>
      </c>
      <c r="I1229" s="3">
        <v>1084897800</v>
      </c>
    </row>
    <row r="1230" spans="1:9" x14ac:dyDescent="0.35">
      <c r="A1230" t="s">
        <v>30</v>
      </c>
      <c r="B1230" t="s">
        <v>39</v>
      </c>
      <c r="C1230" t="s">
        <v>572</v>
      </c>
      <c r="D1230" s="5" t="s">
        <v>11</v>
      </c>
      <c r="E1230" s="5" t="s">
        <v>12</v>
      </c>
      <c r="F1230" s="3" t="s">
        <v>13</v>
      </c>
      <c r="G1230" s="3" t="s">
        <v>13</v>
      </c>
      <c r="H1230" s="3" t="s">
        <v>13</v>
      </c>
      <c r="I1230" s="3">
        <v>4147353700</v>
      </c>
    </row>
    <row r="1231" spans="1:9" x14ac:dyDescent="0.35">
      <c r="A1231" t="str">
        <f>"26002"</f>
        <v>26002</v>
      </c>
      <c r="B1231" t="s">
        <v>9</v>
      </c>
      <c r="C1231" t="s">
        <v>150</v>
      </c>
      <c r="D1231" s="5" t="s">
        <v>11</v>
      </c>
      <c r="E1231" s="5" t="s">
        <v>12</v>
      </c>
      <c r="F1231" s="3" t="s">
        <v>13</v>
      </c>
      <c r="G1231" s="3" t="s">
        <v>13</v>
      </c>
      <c r="H1231" s="3" t="s">
        <v>13</v>
      </c>
      <c r="I1231" s="3">
        <v>32953200</v>
      </c>
    </row>
    <row r="1232" spans="1:9" x14ac:dyDescent="0.35">
      <c r="A1232" t="str">
        <f>"26004"</f>
        <v>26004</v>
      </c>
      <c r="B1232" t="s">
        <v>9</v>
      </c>
      <c r="C1232" t="s">
        <v>573</v>
      </c>
      <c r="D1232" s="5" t="s">
        <v>11</v>
      </c>
      <c r="E1232" s="5" t="s">
        <v>12</v>
      </c>
      <c r="F1232" s="3" t="s">
        <v>13</v>
      </c>
      <c r="G1232" s="3" t="s">
        <v>13</v>
      </c>
      <c r="H1232" s="3" t="s">
        <v>13</v>
      </c>
      <c r="I1232" s="3">
        <v>44659500</v>
      </c>
    </row>
    <row r="1233" spans="1:9" x14ac:dyDescent="0.35">
      <c r="A1233" t="str">
        <f>"26006"</f>
        <v>26006</v>
      </c>
      <c r="B1233" t="s">
        <v>9</v>
      </c>
      <c r="C1233" t="s">
        <v>574</v>
      </c>
      <c r="D1233" s="5" t="s">
        <v>11</v>
      </c>
      <c r="E1233" s="5" t="s">
        <v>12</v>
      </c>
      <c r="F1233" s="3" t="s">
        <v>13</v>
      </c>
      <c r="G1233" s="3" t="s">
        <v>13</v>
      </c>
      <c r="H1233" s="3" t="s">
        <v>13</v>
      </c>
      <c r="I1233" s="3">
        <v>29977300</v>
      </c>
    </row>
    <row r="1234" spans="1:9" x14ac:dyDescent="0.35">
      <c r="A1234" t="str">
        <f>"26008"</f>
        <v>26008</v>
      </c>
      <c r="B1234" t="s">
        <v>9</v>
      </c>
      <c r="C1234" t="s">
        <v>575</v>
      </c>
      <c r="D1234" s="5" t="s">
        <v>11</v>
      </c>
      <c r="E1234" s="5" t="s">
        <v>12</v>
      </c>
      <c r="F1234" s="3" t="s">
        <v>13</v>
      </c>
      <c r="G1234" s="3" t="s">
        <v>13</v>
      </c>
      <c r="H1234" s="3" t="s">
        <v>13</v>
      </c>
      <c r="I1234" s="3">
        <v>93415700</v>
      </c>
    </row>
    <row r="1235" spans="1:9" x14ac:dyDescent="0.35">
      <c r="A1235" t="str">
        <f>"26010"</f>
        <v>26010</v>
      </c>
      <c r="B1235" t="s">
        <v>9</v>
      </c>
      <c r="C1235" t="s">
        <v>576</v>
      </c>
      <c r="D1235" s="5" t="s">
        <v>11</v>
      </c>
      <c r="E1235" s="5" t="s">
        <v>12</v>
      </c>
      <c r="F1235" s="3" t="s">
        <v>13</v>
      </c>
      <c r="G1235" s="3" t="s">
        <v>13</v>
      </c>
      <c r="H1235" s="3" t="s">
        <v>13</v>
      </c>
      <c r="I1235" s="3">
        <v>47059200</v>
      </c>
    </row>
    <row r="1236" spans="1:9" x14ac:dyDescent="0.35">
      <c r="A1236" t="str">
        <f>"26012"</f>
        <v>26012</v>
      </c>
      <c r="B1236" t="s">
        <v>9</v>
      </c>
      <c r="C1236" t="s">
        <v>577</v>
      </c>
      <c r="D1236" s="5" t="s">
        <v>11</v>
      </c>
      <c r="E1236" s="5" t="s">
        <v>12</v>
      </c>
      <c r="F1236" s="3" t="s">
        <v>13</v>
      </c>
      <c r="G1236" s="3" t="s">
        <v>13</v>
      </c>
      <c r="H1236" s="3" t="s">
        <v>13</v>
      </c>
      <c r="I1236" s="3">
        <v>852656100</v>
      </c>
    </row>
    <row r="1237" spans="1:9" x14ac:dyDescent="0.35">
      <c r="A1237" t="str">
        <f>"26014"</f>
        <v>26014</v>
      </c>
      <c r="B1237" t="s">
        <v>9</v>
      </c>
      <c r="C1237" t="s">
        <v>578</v>
      </c>
      <c r="D1237" s="5" t="s">
        <v>11</v>
      </c>
      <c r="E1237" s="5" t="s">
        <v>12</v>
      </c>
      <c r="F1237" s="3" t="s">
        <v>13</v>
      </c>
      <c r="G1237" s="3" t="s">
        <v>13</v>
      </c>
      <c r="H1237" s="3" t="s">
        <v>13</v>
      </c>
      <c r="I1237" s="3">
        <v>215554600</v>
      </c>
    </row>
    <row r="1238" spans="1:9" x14ac:dyDescent="0.35">
      <c r="A1238" t="str">
        <f>"26016"</f>
        <v>26016</v>
      </c>
      <c r="B1238" t="s">
        <v>9</v>
      </c>
      <c r="C1238" t="s">
        <v>579</v>
      </c>
      <c r="D1238" s="5" t="s">
        <v>11</v>
      </c>
      <c r="E1238" s="5" t="s">
        <v>12</v>
      </c>
      <c r="F1238" s="3" t="s">
        <v>13</v>
      </c>
      <c r="G1238" s="3" t="s">
        <v>13</v>
      </c>
      <c r="H1238" s="3" t="s">
        <v>13</v>
      </c>
      <c r="I1238" s="3">
        <v>39044500</v>
      </c>
    </row>
    <row r="1239" spans="1:9" x14ac:dyDescent="0.35">
      <c r="A1239" t="str">
        <f>"26018"</f>
        <v>26018</v>
      </c>
      <c r="B1239" t="s">
        <v>9</v>
      </c>
      <c r="C1239" t="s">
        <v>580</v>
      </c>
      <c r="D1239" s="5" t="s">
        <v>11</v>
      </c>
      <c r="E1239" s="5" t="s">
        <v>12</v>
      </c>
      <c r="F1239" s="3" t="s">
        <v>13</v>
      </c>
      <c r="G1239" s="3" t="s">
        <v>13</v>
      </c>
      <c r="H1239" s="3" t="s">
        <v>13</v>
      </c>
      <c r="I1239" s="3">
        <v>55863200</v>
      </c>
    </row>
    <row r="1240" spans="1:9" x14ac:dyDescent="0.35">
      <c r="A1240" t="str">
        <f>"26020"</f>
        <v>26020</v>
      </c>
      <c r="B1240" t="s">
        <v>9</v>
      </c>
      <c r="C1240" t="s">
        <v>236</v>
      </c>
      <c r="D1240" s="5" t="s">
        <v>11</v>
      </c>
      <c r="E1240" s="5" t="s">
        <v>12</v>
      </c>
      <c r="F1240" s="3" t="s">
        <v>13</v>
      </c>
      <c r="G1240" s="3" t="s">
        <v>13</v>
      </c>
      <c r="H1240" s="3" t="s">
        <v>13</v>
      </c>
      <c r="I1240" s="3">
        <v>199535000</v>
      </c>
    </row>
    <row r="1241" spans="1:9" x14ac:dyDescent="0.35">
      <c r="A1241" t="s">
        <v>30</v>
      </c>
      <c r="B1241" t="s">
        <v>31</v>
      </c>
      <c r="C1241" t="s">
        <v>32</v>
      </c>
      <c r="D1241" s="5" t="s">
        <v>11</v>
      </c>
      <c r="E1241" s="5" t="s">
        <v>12</v>
      </c>
      <c r="F1241" s="3" t="s">
        <v>13</v>
      </c>
      <c r="G1241" s="3" t="s">
        <v>13</v>
      </c>
      <c r="H1241" s="3" t="s">
        <v>13</v>
      </c>
      <c r="I1241" s="3">
        <v>1610718300</v>
      </c>
    </row>
    <row r="1242" spans="1:9" x14ac:dyDescent="0.35">
      <c r="A1242" t="str">
        <f>"26236"</f>
        <v>26236</v>
      </c>
      <c r="B1242" t="s">
        <v>36</v>
      </c>
      <c r="C1242" t="s">
        <v>581</v>
      </c>
      <c r="D1242" s="5" t="str">
        <f>"004"</f>
        <v>004</v>
      </c>
      <c r="E1242" s="5">
        <v>2025</v>
      </c>
      <c r="F1242" s="3">
        <v>4141300</v>
      </c>
      <c r="G1242" s="3">
        <v>3973900</v>
      </c>
      <c r="H1242" s="3">
        <v>0</v>
      </c>
    </row>
    <row r="1243" spans="1:9" x14ac:dyDescent="0.35">
      <c r="A1243" t="str">
        <f>"26236"</f>
        <v>26236</v>
      </c>
      <c r="B1243" t="s">
        <v>36</v>
      </c>
      <c r="C1243" t="s">
        <v>581</v>
      </c>
      <c r="D1243" s="5" t="s">
        <v>11</v>
      </c>
      <c r="E1243" s="5" t="s">
        <v>12</v>
      </c>
      <c r="F1243" s="3" t="s">
        <v>13</v>
      </c>
      <c r="G1243" s="3" t="s">
        <v>13</v>
      </c>
      <c r="H1243" s="3" t="s">
        <v>13</v>
      </c>
      <c r="I1243" s="3">
        <v>133689700</v>
      </c>
    </row>
    <row r="1244" spans="1:9" x14ac:dyDescent="0.35">
      <c r="A1244" t="str">
        <f>"26251"</f>
        <v>26251</v>
      </c>
      <c r="B1244" t="s">
        <v>36</v>
      </c>
      <c r="C1244" t="s">
        <v>582</v>
      </c>
      <c r="D1244" s="5" t="s">
        <v>11</v>
      </c>
      <c r="E1244" s="5" t="s">
        <v>12</v>
      </c>
      <c r="F1244" s="3" t="s">
        <v>13</v>
      </c>
      <c r="G1244" s="3" t="s">
        <v>13</v>
      </c>
      <c r="H1244" s="3" t="s">
        <v>13</v>
      </c>
      <c r="I1244" s="3">
        <v>57274800</v>
      </c>
    </row>
    <row r="1245" spans="1:9" x14ac:dyDescent="0.35">
      <c r="A1245" t="s">
        <v>30</v>
      </c>
      <c r="B1245" t="s">
        <v>38</v>
      </c>
      <c r="C1245" t="s">
        <v>32</v>
      </c>
      <c r="D1245" s="5" t="s">
        <v>11</v>
      </c>
      <c r="E1245" s="5" t="s">
        <v>12</v>
      </c>
      <c r="F1245" s="3" t="s">
        <v>13</v>
      </c>
      <c r="G1245" s="3" t="s">
        <v>13</v>
      </c>
      <c r="H1245" s="3" t="s">
        <v>13</v>
      </c>
      <c r="I1245" s="3">
        <v>190964500</v>
      </c>
    </row>
    <row r="1246" spans="1:9" x14ac:dyDescent="0.35">
      <c r="A1246" t="s">
        <v>30</v>
      </c>
      <c r="B1246" t="s">
        <v>39</v>
      </c>
      <c r="C1246" t="s">
        <v>583</v>
      </c>
      <c r="D1246" s="5" t="s">
        <v>11</v>
      </c>
      <c r="E1246" s="5" t="s">
        <v>12</v>
      </c>
      <c r="F1246" s="3" t="s">
        <v>13</v>
      </c>
      <c r="G1246" s="3" t="s">
        <v>13</v>
      </c>
      <c r="H1246" s="3" t="s">
        <v>13</v>
      </c>
      <c r="I1246" s="3">
        <v>1801682800</v>
      </c>
    </row>
    <row r="1247" spans="1:9" x14ac:dyDescent="0.35">
      <c r="A1247" t="str">
        <f>"27002"</f>
        <v>27002</v>
      </c>
      <c r="B1247" t="s">
        <v>9</v>
      </c>
      <c r="C1247" t="s">
        <v>10</v>
      </c>
      <c r="D1247" s="5" t="s">
        <v>11</v>
      </c>
      <c r="E1247" s="5" t="s">
        <v>12</v>
      </c>
      <c r="F1247" s="3" t="s">
        <v>13</v>
      </c>
      <c r="G1247" s="3" t="s">
        <v>13</v>
      </c>
      <c r="H1247" s="3" t="s">
        <v>13</v>
      </c>
      <c r="I1247" s="3">
        <v>319876400</v>
      </c>
    </row>
    <row r="1248" spans="1:9" x14ac:dyDescent="0.35">
      <c r="A1248" t="str">
        <f>"27004"</f>
        <v>27004</v>
      </c>
      <c r="B1248" t="s">
        <v>9</v>
      </c>
      <c r="C1248" t="s">
        <v>300</v>
      </c>
      <c r="D1248" s="5" t="s">
        <v>11</v>
      </c>
      <c r="E1248" s="5" t="s">
        <v>12</v>
      </c>
      <c r="F1248" s="3" t="s">
        <v>13</v>
      </c>
      <c r="G1248" s="3" t="s">
        <v>13</v>
      </c>
      <c r="H1248" s="3" t="s">
        <v>13</v>
      </c>
      <c r="I1248" s="3">
        <v>195856400</v>
      </c>
    </row>
    <row r="1249" spans="1:9" x14ac:dyDescent="0.35">
      <c r="A1249" t="str">
        <f>"27006"</f>
        <v>27006</v>
      </c>
      <c r="B1249" t="s">
        <v>9</v>
      </c>
      <c r="C1249" t="s">
        <v>131</v>
      </c>
      <c r="D1249" s="5" t="s">
        <v>11</v>
      </c>
      <c r="E1249" s="5" t="s">
        <v>12</v>
      </c>
      <c r="F1249" s="3" t="s">
        <v>13</v>
      </c>
      <c r="G1249" s="3" t="s">
        <v>13</v>
      </c>
      <c r="H1249" s="3" t="s">
        <v>13</v>
      </c>
      <c r="I1249" s="3">
        <v>170319900</v>
      </c>
    </row>
    <row r="1250" spans="1:9" x14ac:dyDescent="0.35">
      <c r="A1250" t="str">
        <f>"27008"</f>
        <v>27008</v>
      </c>
      <c r="B1250" t="s">
        <v>9</v>
      </c>
      <c r="C1250" t="s">
        <v>584</v>
      </c>
      <c r="D1250" s="5" t="s">
        <v>11</v>
      </c>
      <c r="E1250" s="5" t="s">
        <v>12</v>
      </c>
      <c r="F1250" s="3" t="s">
        <v>13</v>
      </c>
      <c r="G1250" s="3" t="s">
        <v>13</v>
      </c>
      <c r="H1250" s="3" t="s">
        <v>13</v>
      </c>
      <c r="I1250" s="3">
        <v>53266500</v>
      </c>
    </row>
    <row r="1251" spans="1:9" x14ac:dyDescent="0.35">
      <c r="A1251" t="str">
        <f>"27010"</f>
        <v>27010</v>
      </c>
      <c r="B1251" t="s">
        <v>9</v>
      </c>
      <c r="C1251" t="s">
        <v>585</v>
      </c>
      <c r="D1251" s="5" t="s">
        <v>11</v>
      </c>
      <c r="E1251" s="5" t="s">
        <v>12</v>
      </c>
      <c r="F1251" s="3" t="s">
        <v>13</v>
      </c>
      <c r="G1251" s="3" t="s">
        <v>13</v>
      </c>
      <c r="H1251" s="3" t="s">
        <v>13</v>
      </c>
      <c r="I1251" s="3">
        <v>174824900</v>
      </c>
    </row>
    <row r="1252" spans="1:9" x14ac:dyDescent="0.35">
      <c r="A1252" t="str">
        <f>"27012"</f>
        <v>27012</v>
      </c>
      <c r="B1252" t="s">
        <v>9</v>
      </c>
      <c r="C1252" t="s">
        <v>586</v>
      </c>
      <c r="D1252" s="5" t="s">
        <v>11</v>
      </c>
      <c r="E1252" s="5" t="s">
        <v>12</v>
      </c>
      <c r="F1252" s="3" t="s">
        <v>13</v>
      </c>
      <c r="G1252" s="3" t="s">
        <v>13</v>
      </c>
      <c r="H1252" s="3" t="s">
        <v>13</v>
      </c>
      <c r="I1252" s="3">
        <v>64865900</v>
      </c>
    </row>
    <row r="1253" spans="1:9" x14ac:dyDescent="0.35">
      <c r="A1253" t="str">
        <f>"27014"</f>
        <v>27014</v>
      </c>
      <c r="B1253" t="s">
        <v>9</v>
      </c>
      <c r="C1253" t="s">
        <v>192</v>
      </c>
      <c r="D1253" s="5" t="s">
        <v>11</v>
      </c>
      <c r="E1253" s="5" t="s">
        <v>12</v>
      </c>
      <c r="F1253" s="3" t="s">
        <v>13</v>
      </c>
      <c r="G1253" s="3" t="s">
        <v>13</v>
      </c>
      <c r="H1253" s="3" t="s">
        <v>13</v>
      </c>
      <c r="I1253" s="3">
        <v>87094100</v>
      </c>
    </row>
    <row r="1254" spans="1:9" x14ac:dyDescent="0.35">
      <c r="A1254" t="str">
        <f>"27016"</f>
        <v>27016</v>
      </c>
      <c r="B1254" t="s">
        <v>9</v>
      </c>
      <c r="C1254" t="s">
        <v>587</v>
      </c>
      <c r="D1254" s="5" t="s">
        <v>11</v>
      </c>
      <c r="E1254" s="5" t="s">
        <v>12</v>
      </c>
      <c r="F1254" s="3" t="s">
        <v>13</v>
      </c>
      <c r="G1254" s="3" t="s">
        <v>13</v>
      </c>
      <c r="H1254" s="3" t="s">
        <v>13</v>
      </c>
      <c r="I1254" s="3">
        <v>112841300</v>
      </c>
    </row>
    <row r="1255" spans="1:9" x14ac:dyDescent="0.35">
      <c r="A1255" t="str">
        <f>"27018"</f>
        <v>27018</v>
      </c>
      <c r="B1255" t="s">
        <v>9</v>
      </c>
      <c r="C1255" t="s">
        <v>588</v>
      </c>
      <c r="D1255" s="5" t="s">
        <v>11</v>
      </c>
      <c r="E1255" s="5" t="s">
        <v>12</v>
      </c>
      <c r="F1255" s="3" t="s">
        <v>13</v>
      </c>
      <c r="G1255" s="3" t="s">
        <v>13</v>
      </c>
      <c r="H1255" s="3" t="s">
        <v>13</v>
      </c>
      <c r="I1255" s="3">
        <v>78569600</v>
      </c>
    </row>
    <row r="1256" spans="1:9" x14ac:dyDescent="0.35">
      <c r="A1256" t="str">
        <f>"27020"</f>
        <v>27020</v>
      </c>
      <c r="B1256" t="s">
        <v>9</v>
      </c>
      <c r="C1256" t="s">
        <v>589</v>
      </c>
      <c r="D1256" s="5" t="s">
        <v>11</v>
      </c>
      <c r="E1256" s="5" t="s">
        <v>12</v>
      </c>
      <c r="F1256" s="3" t="s">
        <v>13</v>
      </c>
      <c r="G1256" s="3" t="s">
        <v>13</v>
      </c>
      <c r="H1256" s="3" t="s">
        <v>13</v>
      </c>
      <c r="I1256" s="3">
        <v>66919600</v>
      </c>
    </row>
    <row r="1257" spans="1:9" x14ac:dyDescent="0.35">
      <c r="A1257" t="str">
        <f>"27022"</f>
        <v>27022</v>
      </c>
      <c r="B1257" t="s">
        <v>9</v>
      </c>
      <c r="C1257" t="s">
        <v>590</v>
      </c>
      <c r="D1257" s="5" t="s">
        <v>11</v>
      </c>
      <c r="E1257" s="5" t="s">
        <v>12</v>
      </c>
      <c r="F1257" s="3" t="s">
        <v>13</v>
      </c>
      <c r="G1257" s="3" t="s">
        <v>13</v>
      </c>
      <c r="H1257" s="3" t="s">
        <v>13</v>
      </c>
      <c r="I1257" s="3">
        <v>114695600</v>
      </c>
    </row>
    <row r="1258" spans="1:9" x14ac:dyDescent="0.35">
      <c r="A1258" t="str">
        <f>"27024"</f>
        <v>27024</v>
      </c>
      <c r="B1258" t="s">
        <v>9</v>
      </c>
      <c r="C1258" t="s">
        <v>591</v>
      </c>
      <c r="D1258" s="5" t="s">
        <v>11</v>
      </c>
      <c r="E1258" s="5" t="s">
        <v>12</v>
      </c>
      <c r="F1258" s="3" t="s">
        <v>13</v>
      </c>
      <c r="G1258" s="3" t="s">
        <v>13</v>
      </c>
      <c r="H1258" s="3" t="s">
        <v>13</v>
      </c>
      <c r="I1258" s="3">
        <v>94784700</v>
      </c>
    </row>
    <row r="1259" spans="1:9" x14ac:dyDescent="0.35">
      <c r="A1259" t="str">
        <f>"27026"</f>
        <v>27026</v>
      </c>
      <c r="B1259" t="s">
        <v>9</v>
      </c>
      <c r="C1259" t="s">
        <v>592</v>
      </c>
      <c r="D1259" s="5" t="s">
        <v>11</v>
      </c>
      <c r="E1259" s="5" t="s">
        <v>12</v>
      </c>
      <c r="F1259" s="3" t="s">
        <v>13</v>
      </c>
      <c r="G1259" s="3" t="s">
        <v>13</v>
      </c>
      <c r="H1259" s="3" t="s">
        <v>13</v>
      </c>
      <c r="I1259" s="3">
        <v>124138800</v>
      </c>
    </row>
    <row r="1260" spans="1:9" x14ac:dyDescent="0.35">
      <c r="A1260" t="str">
        <f>"27028"</f>
        <v>27028</v>
      </c>
      <c r="B1260" t="s">
        <v>9</v>
      </c>
      <c r="C1260" t="s">
        <v>433</v>
      </c>
      <c r="D1260" s="5" t="s">
        <v>11</v>
      </c>
      <c r="E1260" s="5" t="s">
        <v>12</v>
      </c>
      <c r="F1260" s="3" t="s">
        <v>13</v>
      </c>
      <c r="G1260" s="3" t="s">
        <v>13</v>
      </c>
      <c r="H1260" s="3" t="s">
        <v>13</v>
      </c>
      <c r="I1260" s="3">
        <v>85558600</v>
      </c>
    </row>
    <row r="1261" spans="1:9" x14ac:dyDescent="0.35">
      <c r="A1261" t="str">
        <f>"27030"</f>
        <v>27030</v>
      </c>
      <c r="B1261" t="s">
        <v>9</v>
      </c>
      <c r="C1261" t="s">
        <v>593</v>
      </c>
      <c r="D1261" s="5" t="s">
        <v>11</v>
      </c>
      <c r="E1261" s="5" t="s">
        <v>12</v>
      </c>
      <c r="F1261" s="3" t="s">
        <v>13</v>
      </c>
      <c r="G1261" s="3" t="s">
        <v>13</v>
      </c>
      <c r="H1261" s="3" t="s">
        <v>13</v>
      </c>
      <c r="I1261" s="3">
        <v>24135300</v>
      </c>
    </row>
    <row r="1262" spans="1:9" x14ac:dyDescent="0.35">
      <c r="A1262" t="str">
        <f>"27032"</f>
        <v>27032</v>
      </c>
      <c r="B1262" t="s">
        <v>9</v>
      </c>
      <c r="C1262" t="s">
        <v>550</v>
      </c>
      <c r="D1262" s="5" t="s">
        <v>11</v>
      </c>
      <c r="E1262" s="5" t="s">
        <v>12</v>
      </c>
      <c r="F1262" s="3" t="s">
        <v>13</v>
      </c>
      <c r="G1262" s="3" t="s">
        <v>13</v>
      </c>
      <c r="H1262" s="3" t="s">
        <v>13</v>
      </c>
      <c r="I1262" s="3">
        <v>160389700</v>
      </c>
    </row>
    <row r="1263" spans="1:9" x14ac:dyDescent="0.35">
      <c r="A1263" t="str">
        <f>"27034"</f>
        <v>27034</v>
      </c>
      <c r="B1263" t="s">
        <v>9</v>
      </c>
      <c r="C1263" t="s">
        <v>594</v>
      </c>
      <c r="D1263" s="5" t="s">
        <v>11</v>
      </c>
      <c r="E1263" s="5" t="s">
        <v>12</v>
      </c>
      <c r="F1263" s="3" t="s">
        <v>13</v>
      </c>
      <c r="G1263" s="3" t="s">
        <v>13</v>
      </c>
      <c r="H1263" s="3" t="s">
        <v>13</v>
      </c>
      <c r="I1263" s="3">
        <v>76908600</v>
      </c>
    </row>
    <row r="1264" spans="1:9" x14ac:dyDescent="0.35">
      <c r="A1264" t="str">
        <f>"27036"</f>
        <v>27036</v>
      </c>
      <c r="B1264" t="s">
        <v>9</v>
      </c>
      <c r="C1264" t="s">
        <v>595</v>
      </c>
      <c r="D1264" s="5" t="s">
        <v>11</v>
      </c>
      <c r="E1264" s="5" t="s">
        <v>12</v>
      </c>
      <c r="F1264" s="3" t="s">
        <v>13</v>
      </c>
      <c r="G1264" s="3" t="s">
        <v>13</v>
      </c>
      <c r="H1264" s="3" t="s">
        <v>13</v>
      </c>
      <c r="I1264" s="3">
        <v>35569900</v>
      </c>
    </row>
    <row r="1265" spans="1:9" x14ac:dyDescent="0.35">
      <c r="A1265" t="str">
        <f>"27038"</f>
        <v>27038</v>
      </c>
      <c r="B1265" t="s">
        <v>9</v>
      </c>
      <c r="C1265" t="s">
        <v>596</v>
      </c>
      <c r="D1265" s="5" t="s">
        <v>11</v>
      </c>
      <c r="E1265" s="5" t="s">
        <v>12</v>
      </c>
      <c r="F1265" s="3" t="s">
        <v>13</v>
      </c>
      <c r="G1265" s="3" t="s">
        <v>13</v>
      </c>
      <c r="H1265" s="3" t="s">
        <v>13</v>
      </c>
      <c r="I1265" s="3">
        <v>80158400</v>
      </c>
    </row>
    <row r="1266" spans="1:9" x14ac:dyDescent="0.35">
      <c r="A1266" t="str">
        <f>"27040"</f>
        <v>27040</v>
      </c>
      <c r="B1266" t="s">
        <v>9</v>
      </c>
      <c r="C1266" t="s">
        <v>597</v>
      </c>
      <c r="D1266" s="5" t="s">
        <v>11</v>
      </c>
      <c r="E1266" s="5" t="s">
        <v>12</v>
      </c>
      <c r="F1266" s="3" t="s">
        <v>13</v>
      </c>
      <c r="G1266" s="3" t="s">
        <v>13</v>
      </c>
      <c r="H1266" s="3" t="s">
        <v>13</v>
      </c>
      <c r="I1266" s="3">
        <v>107473400</v>
      </c>
    </row>
    <row r="1267" spans="1:9" x14ac:dyDescent="0.35">
      <c r="A1267" t="str">
        <f>"27042"</f>
        <v>27042</v>
      </c>
      <c r="B1267" t="s">
        <v>9</v>
      </c>
      <c r="C1267" t="s">
        <v>325</v>
      </c>
      <c r="D1267" s="5" t="s">
        <v>11</v>
      </c>
      <c r="E1267" s="5" t="s">
        <v>12</v>
      </c>
      <c r="F1267" s="3" t="s">
        <v>13</v>
      </c>
      <c r="G1267" s="3" t="s">
        <v>13</v>
      </c>
      <c r="H1267" s="3" t="s">
        <v>13</v>
      </c>
      <c r="I1267" s="3">
        <v>100742500</v>
      </c>
    </row>
    <row r="1268" spans="1:9" x14ac:dyDescent="0.35">
      <c r="A1268" t="s">
        <v>30</v>
      </c>
      <c r="B1268" t="s">
        <v>31</v>
      </c>
      <c r="C1268" t="s">
        <v>32</v>
      </c>
      <c r="D1268" s="5" t="s">
        <v>11</v>
      </c>
      <c r="E1268" s="5" t="s">
        <v>12</v>
      </c>
      <c r="F1268" s="3" t="s">
        <v>13</v>
      </c>
      <c r="G1268" s="3" t="s">
        <v>13</v>
      </c>
      <c r="H1268" s="3" t="s">
        <v>13</v>
      </c>
      <c r="I1268" s="3">
        <v>2328990100</v>
      </c>
    </row>
    <row r="1269" spans="1:9" x14ac:dyDescent="0.35">
      <c r="A1269" t="str">
        <f>"27101"</f>
        <v>27101</v>
      </c>
      <c r="B1269" t="s">
        <v>33</v>
      </c>
      <c r="C1269" t="s">
        <v>598</v>
      </c>
      <c r="D1269" s="5" t="s">
        <v>11</v>
      </c>
      <c r="E1269" s="5" t="s">
        <v>12</v>
      </c>
      <c r="F1269" s="3" t="s">
        <v>13</v>
      </c>
      <c r="G1269" s="3" t="s">
        <v>13</v>
      </c>
      <c r="H1269" s="3" t="s">
        <v>13</v>
      </c>
      <c r="I1269" s="3">
        <v>35595500</v>
      </c>
    </row>
    <row r="1270" spans="1:9" x14ac:dyDescent="0.35">
      <c r="A1270" t="str">
        <f>"27136"</f>
        <v>27136</v>
      </c>
      <c r="B1270" t="s">
        <v>33</v>
      </c>
      <c r="C1270" t="s">
        <v>591</v>
      </c>
      <c r="D1270" s="5" t="str">
        <f>"001"</f>
        <v>001</v>
      </c>
      <c r="E1270" s="5">
        <v>2007</v>
      </c>
      <c r="F1270" s="3">
        <v>1379100</v>
      </c>
      <c r="G1270" s="3">
        <v>16338600</v>
      </c>
      <c r="H1270" s="3">
        <v>14959500</v>
      </c>
    </row>
    <row r="1271" spans="1:9" x14ac:dyDescent="0.35">
      <c r="A1271" t="str">
        <f>"27136"</f>
        <v>27136</v>
      </c>
      <c r="B1271" t="s">
        <v>33</v>
      </c>
      <c r="C1271" t="s">
        <v>591</v>
      </c>
      <c r="D1271" s="5" t="s">
        <v>11</v>
      </c>
      <c r="E1271" s="5" t="s">
        <v>12</v>
      </c>
      <c r="F1271" s="3" t="s">
        <v>13</v>
      </c>
      <c r="G1271" s="3" t="s">
        <v>13</v>
      </c>
      <c r="H1271" s="3" t="s">
        <v>13</v>
      </c>
      <c r="I1271" s="3">
        <v>36527900</v>
      </c>
    </row>
    <row r="1272" spans="1:9" x14ac:dyDescent="0.35">
      <c r="A1272" t="str">
        <f>"27151"</f>
        <v>27151</v>
      </c>
      <c r="B1272" t="s">
        <v>33</v>
      </c>
      <c r="C1272" t="s">
        <v>594</v>
      </c>
      <c r="D1272" s="5" t="s">
        <v>11</v>
      </c>
      <c r="E1272" s="5" t="s">
        <v>12</v>
      </c>
      <c r="F1272" s="3" t="s">
        <v>13</v>
      </c>
      <c r="G1272" s="3" t="s">
        <v>13</v>
      </c>
      <c r="H1272" s="3" t="s">
        <v>13</v>
      </c>
      <c r="I1272" s="3">
        <v>46958500</v>
      </c>
    </row>
    <row r="1273" spans="1:9" x14ac:dyDescent="0.35">
      <c r="A1273" t="str">
        <f>"27152"</f>
        <v>27152</v>
      </c>
      <c r="B1273" t="s">
        <v>33</v>
      </c>
      <c r="C1273" t="s">
        <v>599</v>
      </c>
      <c r="D1273" s="5" t="str">
        <f>"001"</f>
        <v>001</v>
      </c>
      <c r="E1273" s="5">
        <v>2018</v>
      </c>
      <c r="F1273" s="3">
        <v>2520600</v>
      </c>
      <c r="G1273" s="3">
        <v>5506500</v>
      </c>
      <c r="H1273" s="3">
        <v>2985900</v>
      </c>
    </row>
    <row r="1274" spans="1:9" x14ac:dyDescent="0.35">
      <c r="A1274" t="str">
        <f>"27152"</f>
        <v>27152</v>
      </c>
      <c r="B1274" t="s">
        <v>33</v>
      </c>
      <c r="C1274" t="s">
        <v>599</v>
      </c>
      <c r="D1274" s="5" t="s">
        <v>11</v>
      </c>
      <c r="E1274" s="5" t="s">
        <v>12</v>
      </c>
      <c r="F1274" s="3" t="s">
        <v>13</v>
      </c>
      <c r="G1274" s="3" t="s">
        <v>13</v>
      </c>
      <c r="H1274" s="3" t="s">
        <v>13</v>
      </c>
      <c r="I1274" s="3">
        <v>35785200</v>
      </c>
    </row>
    <row r="1275" spans="1:9" x14ac:dyDescent="0.35">
      <c r="A1275" t="str">
        <f>"27186"</f>
        <v>27186</v>
      </c>
      <c r="B1275" t="s">
        <v>33</v>
      </c>
      <c r="C1275" t="s">
        <v>600</v>
      </c>
      <c r="D1275" s="5" t="str">
        <f>"004"</f>
        <v>004</v>
      </c>
      <c r="E1275" s="5">
        <v>1999</v>
      </c>
      <c r="F1275" s="3">
        <v>359100</v>
      </c>
      <c r="G1275" s="3">
        <v>972900</v>
      </c>
      <c r="H1275" s="3">
        <v>613800</v>
      </c>
    </row>
    <row r="1276" spans="1:9" x14ac:dyDescent="0.35">
      <c r="A1276" t="str">
        <f>"27186"</f>
        <v>27186</v>
      </c>
      <c r="B1276" t="s">
        <v>33</v>
      </c>
      <c r="C1276" t="s">
        <v>600</v>
      </c>
      <c r="D1276" s="5" t="s">
        <v>11</v>
      </c>
      <c r="E1276" s="5" t="s">
        <v>12</v>
      </c>
      <c r="F1276" s="3" t="s">
        <v>13</v>
      </c>
      <c r="G1276" s="3" t="s">
        <v>13</v>
      </c>
      <c r="H1276" s="3" t="s">
        <v>13</v>
      </c>
      <c r="I1276" s="3">
        <v>24680200</v>
      </c>
    </row>
    <row r="1277" spans="1:9" x14ac:dyDescent="0.35">
      <c r="A1277" t="s">
        <v>30</v>
      </c>
      <c r="B1277" t="s">
        <v>35</v>
      </c>
      <c r="C1277" t="s">
        <v>32</v>
      </c>
      <c r="D1277" s="5" t="s">
        <v>11</v>
      </c>
      <c r="E1277" s="5" t="s">
        <v>12</v>
      </c>
      <c r="F1277" s="3" t="s">
        <v>13</v>
      </c>
      <c r="G1277" s="3" t="s">
        <v>13</v>
      </c>
      <c r="H1277" s="3" t="s">
        <v>13</v>
      </c>
      <c r="I1277" s="3">
        <v>179547300</v>
      </c>
    </row>
    <row r="1278" spans="1:9" x14ac:dyDescent="0.35">
      <c r="A1278" t="str">
        <f t="shared" ref="A1278:A1283" si="27">"27206"</f>
        <v>27206</v>
      </c>
      <c r="B1278" t="s">
        <v>36</v>
      </c>
      <c r="C1278" t="s">
        <v>601</v>
      </c>
      <c r="D1278" s="5" t="str">
        <f>"003"</f>
        <v>003</v>
      </c>
      <c r="E1278" s="5">
        <v>2002</v>
      </c>
      <c r="F1278" s="3">
        <v>496100</v>
      </c>
      <c r="G1278" s="3">
        <v>17594800</v>
      </c>
      <c r="H1278" s="3">
        <v>17098700</v>
      </c>
    </row>
    <row r="1279" spans="1:9" x14ac:dyDescent="0.35">
      <c r="A1279" t="str">
        <f t="shared" si="27"/>
        <v>27206</v>
      </c>
      <c r="B1279" t="s">
        <v>36</v>
      </c>
      <c r="C1279" t="s">
        <v>601</v>
      </c>
      <c r="D1279" s="5" t="str">
        <f>"006"</f>
        <v>006</v>
      </c>
      <c r="E1279" s="5">
        <v>2017</v>
      </c>
      <c r="F1279" s="3">
        <v>7419400</v>
      </c>
      <c r="G1279" s="3">
        <v>12124600</v>
      </c>
      <c r="H1279" s="3">
        <v>4705200</v>
      </c>
    </row>
    <row r="1280" spans="1:9" x14ac:dyDescent="0.35">
      <c r="A1280" t="str">
        <f t="shared" si="27"/>
        <v>27206</v>
      </c>
      <c r="B1280" t="s">
        <v>36</v>
      </c>
      <c r="C1280" t="s">
        <v>601</v>
      </c>
      <c r="D1280" s="5" t="str">
        <f>"007"</f>
        <v>007</v>
      </c>
      <c r="E1280" s="5">
        <v>2017</v>
      </c>
      <c r="F1280" s="3">
        <v>0</v>
      </c>
      <c r="G1280" s="3">
        <v>448400</v>
      </c>
      <c r="H1280" s="3">
        <v>448400</v>
      </c>
    </row>
    <row r="1281" spans="1:9" x14ac:dyDescent="0.35">
      <c r="A1281" t="str">
        <f t="shared" si="27"/>
        <v>27206</v>
      </c>
      <c r="B1281" t="s">
        <v>36</v>
      </c>
      <c r="C1281" t="s">
        <v>601</v>
      </c>
      <c r="D1281" s="5" t="str">
        <f>"008"</f>
        <v>008</v>
      </c>
      <c r="E1281" s="5">
        <v>2021</v>
      </c>
      <c r="F1281" s="3">
        <v>338600</v>
      </c>
      <c r="G1281" s="3">
        <v>13721800</v>
      </c>
      <c r="H1281" s="3">
        <v>13383200</v>
      </c>
    </row>
    <row r="1282" spans="1:9" x14ac:dyDescent="0.35">
      <c r="A1282" t="str">
        <f t="shared" si="27"/>
        <v>27206</v>
      </c>
      <c r="B1282" t="s">
        <v>36</v>
      </c>
      <c r="C1282" t="s">
        <v>601</v>
      </c>
      <c r="D1282" s="5" t="str">
        <f>"009"</f>
        <v>009</v>
      </c>
      <c r="E1282" s="5">
        <v>2022</v>
      </c>
      <c r="F1282" s="3">
        <v>1952300</v>
      </c>
      <c r="G1282" s="3">
        <v>3615200</v>
      </c>
      <c r="H1282" s="3">
        <v>1662900</v>
      </c>
    </row>
    <row r="1283" spans="1:9" x14ac:dyDescent="0.35">
      <c r="A1283" t="str">
        <f t="shared" si="27"/>
        <v>27206</v>
      </c>
      <c r="B1283" t="s">
        <v>36</v>
      </c>
      <c r="C1283" t="s">
        <v>601</v>
      </c>
      <c r="D1283" s="5" t="s">
        <v>11</v>
      </c>
      <c r="E1283" s="5" t="s">
        <v>12</v>
      </c>
      <c r="F1283" s="3" t="s">
        <v>13</v>
      </c>
      <c r="G1283" s="3" t="s">
        <v>13</v>
      </c>
      <c r="H1283" s="3" t="s">
        <v>13</v>
      </c>
      <c r="I1283" s="3">
        <v>351986100</v>
      </c>
    </row>
    <row r="1284" spans="1:9" x14ac:dyDescent="0.35">
      <c r="A1284" t="s">
        <v>30</v>
      </c>
      <c r="B1284" t="s">
        <v>38</v>
      </c>
      <c r="C1284" t="s">
        <v>32</v>
      </c>
      <c r="D1284" s="5" t="s">
        <v>11</v>
      </c>
      <c r="E1284" s="5" t="s">
        <v>12</v>
      </c>
      <c r="F1284" s="3" t="s">
        <v>13</v>
      </c>
      <c r="G1284" s="3" t="s">
        <v>13</v>
      </c>
      <c r="H1284" s="3" t="s">
        <v>13</v>
      </c>
      <c r="I1284" s="3">
        <v>351986100</v>
      </c>
    </row>
    <row r="1285" spans="1:9" x14ac:dyDescent="0.35">
      <c r="A1285" t="s">
        <v>30</v>
      </c>
      <c r="B1285" t="s">
        <v>39</v>
      </c>
      <c r="C1285" t="s">
        <v>18</v>
      </c>
      <c r="D1285" s="5" t="s">
        <v>11</v>
      </c>
      <c r="E1285" s="5" t="s">
        <v>12</v>
      </c>
      <c r="F1285" s="3" t="s">
        <v>13</v>
      </c>
      <c r="G1285" s="3" t="s">
        <v>13</v>
      </c>
      <c r="H1285" s="3" t="s">
        <v>13</v>
      </c>
      <c r="I1285" s="3">
        <v>2860523500</v>
      </c>
    </row>
    <row r="1286" spans="1:9" x14ac:dyDescent="0.35">
      <c r="A1286" t="str">
        <f>"28002"</f>
        <v>28002</v>
      </c>
      <c r="B1286" t="s">
        <v>9</v>
      </c>
      <c r="C1286" t="s">
        <v>602</v>
      </c>
      <c r="D1286" s="5" t="s">
        <v>11</v>
      </c>
      <c r="E1286" s="5" t="s">
        <v>12</v>
      </c>
      <c r="F1286" s="3" t="s">
        <v>13</v>
      </c>
      <c r="G1286" s="3" t="s">
        <v>13</v>
      </c>
      <c r="H1286" s="3" t="s">
        <v>13</v>
      </c>
      <c r="I1286" s="3">
        <v>275314100</v>
      </c>
    </row>
    <row r="1287" spans="1:9" x14ac:dyDescent="0.35">
      <c r="A1287" t="str">
        <f>"28004"</f>
        <v>28004</v>
      </c>
      <c r="B1287" t="s">
        <v>9</v>
      </c>
      <c r="C1287" t="s">
        <v>603</v>
      </c>
      <c r="D1287" s="5" t="s">
        <v>11</v>
      </c>
      <c r="E1287" s="5" t="s">
        <v>12</v>
      </c>
      <c r="F1287" s="3" t="s">
        <v>13</v>
      </c>
      <c r="G1287" s="3" t="s">
        <v>13</v>
      </c>
      <c r="H1287" s="3" t="s">
        <v>13</v>
      </c>
      <c r="I1287" s="3">
        <v>160850700</v>
      </c>
    </row>
    <row r="1288" spans="1:9" x14ac:dyDescent="0.35">
      <c r="A1288" t="str">
        <f>"28006"</f>
        <v>28006</v>
      </c>
      <c r="B1288" t="s">
        <v>9</v>
      </c>
      <c r="C1288" t="s">
        <v>604</v>
      </c>
      <c r="D1288" s="5" t="s">
        <v>11</v>
      </c>
      <c r="E1288" s="5" t="s">
        <v>12</v>
      </c>
      <c r="F1288" s="3" t="s">
        <v>13</v>
      </c>
      <c r="G1288" s="3" t="s">
        <v>13</v>
      </c>
      <c r="H1288" s="3" t="s">
        <v>13</v>
      </c>
      <c r="I1288" s="3">
        <v>366075300</v>
      </c>
    </row>
    <row r="1289" spans="1:9" x14ac:dyDescent="0.35">
      <c r="A1289" t="str">
        <f>"28008"</f>
        <v>28008</v>
      </c>
      <c r="B1289" t="s">
        <v>9</v>
      </c>
      <c r="C1289" t="s">
        <v>605</v>
      </c>
      <c r="D1289" s="5" t="s">
        <v>11</v>
      </c>
      <c r="E1289" s="5" t="s">
        <v>12</v>
      </c>
      <c r="F1289" s="3" t="s">
        <v>13</v>
      </c>
      <c r="G1289" s="3" t="s">
        <v>13</v>
      </c>
      <c r="H1289" s="3" t="s">
        <v>13</v>
      </c>
      <c r="I1289" s="3">
        <v>271853000</v>
      </c>
    </row>
    <row r="1290" spans="1:9" x14ac:dyDescent="0.35">
      <c r="A1290" t="str">
        <f>"28010"</f>
        <v>28010</v>
      </c>
      <c r="B1290" t="s">
        <v>9</v>
      </c>
      <c r="C1290" t="s">
        <v>606</v>
      </c>
      <c r="D1290" s="5" t="s">
        <v>11</v>
      </c>
      <c r="E1290" s="5" t="s">
        <v>12</v>
      </c>
      <c r="F1290" s="3" t="s">
        <v>13</v>
      </c>
      <c r="G1290" s="3" t="s">
        <v>13</v>
      </c>
      <c r="H1290" s="3" t="s">
        <v>13</v>
      </c>
      <c r="I1290" s="3">
        <v>196780100</v>
      </c>
    </row>
    <row r="1291" spans="1:9" x14ac:dyDescent="0.35">
      <c r="A1291" t="str">
        <f>"28012"</f>
        <v>28012</v>
      </c>
      <c r="B1291" t="s">
        <v>9</v>
      </c>
      <c r="C1291" t="s">
        <v>607</v>
      </c>
      <c r="D1291" s="5" t="str">
        <f>"001A"</f>
        <v>001A</v>
      </c>
      <c r="E1291" s="5">
        <v>2024</v>
      </c>
      <c r="F1291" s="3">
        <v>31977200</v>
      </c>
      <c r="G1291" s="3">
        <v>35905700</v>
      </c>
      <c r="H1291" s="3">
        <v>3928500</v>
      </c>
    </row>
    <row r="1292" spans="1:9" x14ac:dyDescent="0.35">
      <c r="A1292" t="str">
        <f>"28012"</f>
        <v>28012</v>
      </c>
      <c r="B1292" t="s">
        <v>9</v>
      </c>
      <c r="C1292" t="s">
        <v>607</v>
      </c>
      <c r="D1292" s="5" t="s">
        <v>11</v>
      </c>
      <c r="E1292" s="5" t="s">
        <v>12</v>
      </c>
      <c r="F1292" s="3" t="s">
        <v>13</v>
      </c>
      <c r="G1292" s="3" t="s">
        <v>13</v>
      </c>
      <c r="H1292" s="3" t="s">
        <v>13</v>
      </c>
      <c r="I1292" s="3">
        <v>921288300</v>
      </c>
    </row>
    <row r="1293" spans="1:9" x14ac:dyDescent="0.35">
      <c r="A1293" t="str">
        <f>"28014"</f>
        <v>28014</v>
      </c>
      <c r="B1293" t="s">
        <v>9</v>
      </c>
      <c r="C1293" t="s">
        <v>536</v>
      </c>
      <c r="D1293" s="5" t="s">
        <v>11</v>
      </c>
      <c r="E1293" s="5" t="s">
        <v>12</v>
      </c>
      <c r="F1293" s="3" t="s">
        <v>13</v>
      </c>
      <c r="G1293" s="3" t="s">
        <v>13</v>
      </c>
      <c r="H1293" s="3" t="s">
        <v>13</v>
      </c>
      <c r="I1293" s="3">
        <v>411092700</v>
      </c>
    </row>
    <row r="1294" spans="1:9" x14ac:dyDescent="0.35">
      <c r="A1294" t="str">
        <f>"28016"</f>
        <v>28016</v>
      </c>
      <c r="B1294" t="s">
        <v>9</v>
      </c>
      <c r="C1294" t="s">
        <v>608</v>
      </c>
      <c r="D1294" s="5" t="s">
        <v>11</v>
      </c>
      <c r="E1294" s="5" t="s">
        <v>12</v>
      </c>
      <c r="F1294" s="3" t="s">
        <v>13</v>
      </c>
      <c r="G1294" s="3" t="s">
        <v>13</v>
      </c>
      <c r="H1294" s="3" t="s">
        <v>13</v>
      </c>
      <c r="I1294" s="3">
        <v>770405700</v>
      </c>
    </row>
    <row r="1295" spans="1:9" x14ac:dyDescent="0.35">
      <c r="A1295" t="str">
        <f>"28018"</f>
        <v>28018</v>
      </c>
      <c r="B1295" t="s">
        <v>9</v>
      </c>
      <c r="C1295" t="s">
        <v>609</v>
      </c>
      <c r="D1295" s="5" t="s">
        <v>11</v>
      </c>
      <c r="E1295" s="5" t="s">
        <v>12</v>
      </c>
      <c r="F1295" s="3" t="s">
        <v>13</v>
      </c>
      <c r="G1295" s="3" t="s">
        <v>13</v>
      </c>
      <c r="H1295" s="3" t="s">
        <v>13</v>
      </c>
      <c r="I1295" s="3">
        <v>657948500</v>
      </c>
    </row>
    <row r="1296" spans="1:9" x14ac:dyDescent="0.35">
      <c r="A1296" t="str">
        <f>"28020"</f>
        <v>28020</v>
      </c>
      <c r="B1296" t="s">
        <v>9</v>
      </c>
      <c r="C1296" t="s">
        <v>610</v>
      </c>
      <c r="D1296" s="5" t="s">
        <v>11</v>
      </c>
      <c r="E1296" s="5" t="s">
        <v>12</v>
      </c>
      <c r="F1296" s="3" t="s">
        <v>13</v>
      </c>
      <c r="G1296" s="3" t="s">
        <v>13</v>
      </c>
      <c r="H1296" s="3" t="s">
        <v>13</v>
      </c>
      <c r="I1296" s="3">
        <v>233881900</v>
      </c>
    </row>
    <row r="1297" spans="1:9" x14ac:dyDescent="0.35">
      <c r="A1297" t="str">
        <f>"28022"</f>
        <v>28022</v>
      </c>
      <c r="B1297" t="s">
        <v>9</v>
      </c>
      <c r="C1297" t="s">
        <v>157</v>
      </c>
      <c r="D1297" s="5" t="s">
        <v>11</v>
      </c>
      <c r="E1297" s="5" t="s">
        <v>12</v>
      </c>
      <c r="F1297" s="3" t="s">
        <v>13</v>
      </c>
      <c r="G1297" s="3" t="s">
        <v>13</v>
      </c>
      <c r="H1297" s="3" t="s">
        <v>13</v>
      </c>
      <c r="I1297" s="3">
        <v>704624400</v>
      </c>
    </row>
    <row r="1298" spans="1:9" x14ac:dyDescent="0.35">
      <c r="A1298" t="str">
        <f>"28024"</f>
        <v>28024</v>
      </c>
      <c r="B1298" t="s">
        <v>9</v>
      </c>
      <c r="C1298" t="s">
        <v>611</v>
      </c>
      <c r="D1298" s="5" t="s">
        <v>11</v>
      </c>
      <c r="E1298" s="5" t="s">
        <v>12</v>
      </c>
      <c r="F1298" s="3" t="s">
        <v>13</v>
      </c>
      <c r="G1298" s="3" t="s">
        <v>13</v>
      </c>
      <c r="H1298" s="3" t="s">
        <v>13</v>
      </c>
      <c r="I1298" s="3">
        <v>465422100</v>
      </c>
    </row>
    <row r="1299" spans="1:9" x14ac:dyDescent="0.35">
      <c r="A1299" t="str">
        <f>"28026"</f>
        <v>28026</v>
      </c>
      <c r="B1299" t="s">
        <v>9</v>
      </c>
      <c r="C1299" t="s">
        <v>612</v>
      </c>
      <c r="D1299" s="5" t="s">
        <v>11</v>
      </c>
      <c r="E1299" s="5" t="s">
        <v>12</v>
      </c>
      <c r="F1299" s="3" t="s">
        <v>13</v>
      </c>
      <c r="G1299" s="3" t="s">
        <v>13</v>
      </c>
      <c r="H1299" s="3" t="s">
        <v>13</v>
      </c>
      <c r="I1299" s="3">
        <v>399216200</v>
      </c>
    </row>
    <row r="1300" spans="1:9" x14ac:dyDescent="0.35">
      <c r="A1300" t="str">
        <f>"28028"</f>
        <v>28028</v>
      </c>
      <c r="B1300" t="s">
        <v>9</v>
      </c>
      <c r="C1300" t="s">
        <v>77</v>
      </c>
      <c r="D1300" s="5" t="s">
        <v>11</v>
      </c>
      <c r="E1300" s="5" t="s">
        <v>12</v>
      </c>
      <c r="F1300" s="3" t="s">
        <v>13</v>
      </c>
      <c r="G1300" s="3" t="s">
        <v>13</v>
      </c>
      <c r="H1300" s="3" t="s">
        <v>13</v>
      </c>
      <c r="I1300" s="3">
        <v>228881100</v>
      </c>
    </row>
    <row r="1301" spans="1:9" x14ac:dyDescent="0.35">
      <c r="A1301" t="str">
        <f>"28030"</f>
        <v>28030</v>
      </c>
      <c r="B1301" t="s">
        <v>9</v>
      </c>
      <c r="C1301" t="s">
        <v>518</v>
      </c>
      <c r="D1301" s="5" t="s">
        <v>11</v>
      </c>
      <c r="E1301" s="5" t="s">
        <v>12</v>
      </c>
      <c r="F1301" s="3" t="s">
        <v>13</v>
      </c>
      <c r="G1301" s="3" t="s">
        <v>13</v>
      </c>
      <c r="H1301" s="3" t="s">
        <v>13</v>
      </c>
      <c r="I1301" s="3">
        <v>202136700</v>
      </c>
    </row>
    <row r="1302" spans="1:9" x14ac:dyDescent="0.35">
      <c r="A1302" t="str">
        <f>"28032"</f>
        <v>28032</v>
      </c>
      <c r="B1302" t="s">
        <v>9</v>
      </c>
      <c r="C1302" t="s">
        <v>377</v>
      </c>
      <c r="D1302" s="5" t="s">
        <v>11</v>
      </c>
      <c r="E1302" s="5" t="s">
        <v>12</v>
      </c>
      <c r="F1302" s="3" t="s">
        <v>13</v>
      </c>
      <c r="G1302" s="3" t="s">
        <v>13</v>
      </c>
      <c r="H1302" s="3" t="s">
        <v>13</v>
      </c>
      <c r="I1302" s="3">
        <v>397997300</v>
      </c>
    </row>
    <row r="1303" spans="1:9" x14ac:dyDescent="0.35">
      <c r="A1303" t="s">
        <v>30</v>
      </c>
      <c r="B1303" t="s">
        <v>31</v>
      </c>
      <c r="C1303" t="s">
        <v>32</v>
      </c>
      <c r="D1303" s="5" t="s">
        <v>11</v>
      </c>
      <c r="E1303" s="5" t="s">
        <v>12</v>
      </c>
      <c r="F1303" s="3" t="s">
        <v>13</v>
      </c>
      <c r="G1303" s="3" t="s">
        <v>13</v>
      </c>
      <c r="H1303" s="3" t="s">
        <v>13</v>
      </c>
      <c r="I1303" s="3">
        <v>6663768100</v>
      </c>
    </row>
    <row r="1304" spans="1:9" x14ac:dyDescent="0.35">
      <c r="A1304" t="str">
        <f>"28111"</f>
        <v>28111</v>
      </c>
      <c r="B1304" t="s">
        <v>33</v>
      </c>
      <c r="C1304" t="s">
        <v>333</v>
      </c>
      <c r="D1304" s="5" t="s">
        <v>11</v>
      </c>
      <c r="E1304" s="5" t="s">
        <v>12</v>
      </c>
      <c r="F1304" s="3" t="s">
        <v>13</v>
      </c>
      <c r="G1304" s="3" t="s">
        <v>13</v>
      </c>
      <c r="H1304" s="3" t="s">
        <v>13</v>
      </c>
      <c r="I1304" s="3">
        <v>10290000</v>
      </c>
    </row>
    <row r="1305" spans="1:9" x14ac:dyDescent="0.35">
      <c r="A1305" t="str">
        <f>"28141"</f>
        <v>28141</v>
      </c>
      <c r="B1305" t="s">
        <v>33</v>
      </c>
      <c r="C1305" t="s">
        <v>613</v>
      </c>
      <c r="D1305" s="5" t="str">
        <f>"004"</f>
        <v>004</v>
      </c>
      <c r="E1305" s="5">
        <v>2021</v>
      </c>
      <c r="F1305" s="3">
        <v>13624700</v>
      </c>
      <c r="G1305" s="3">
        <v>37430900</v>
      </c>
      <c r="H1305" s="3">
        <v>23806200</v>
      </c>
    </row>
    <row r="1306" spans="1:9" x14ac:dyDescent="0.35">
      <c r="A1306" t="str">
        <f>"28141"</f>
        <v>28141</v>
      </c>
      <c r="B1306" t="s">
        <v>33</v>
      </c>
      <c r="C1306" t="s">
        <v>613</v>
      </c>
      <c r="D1306" s="5" t="str">
        <f>"005"</f>
        <v>005</v>
      </c>
      <c r="E1306" s="5">
        <v>2025</v>
      </c>
      <c r="F1306" s="3">
        <v>19930600</v>
      </c>
      <c r="G1306" s="3">
        <v>21633600</v>
      </c>
      <c r="H1306" s="3">
        <v>1703000</v>
      </c>
    </row>
    <row r="1307" spans="1:9" x14ac:dyDescent="0.35">
      <c r="A1307" t="str">
        <f>"28141"</f>
        <v>28141</v>
      </c>
      <c r="B1307" t="s">
        <v>33</v>
      </c>
      <c r="C1307" t="s">
        <v>613</v>
      </c>
      <c r="D1307" s="5" t="str">
        <f>"006"</f>
        <v>006</v>
      </c>
      <c r="E1307" s="5">
        <v>2025</v>
      </c>
      <c r="F1307" s="3">
        <v>2404700</v>
      </c>
      <c r="G1307" s="3">
        <v>2534900</v>
      </c>
      <c r="H1307" s="3">
        <v>130200</v>
      </c>
    </row>
    <row r="1308" spans="1:9" x14ac:dyDescent="0.35">
      <c r="A1308" t="str">
        <f>"28141"</f>
        <v>28141</v>
      </c>
      <c r="B1308" t="s">
        <v>33</v>
      </c>
      <c r="C1308" t="s">
        <v>613</v>
      </c>
      <c r="D1308" s="5" t="s">
        <v>11</v>
      </c>
      <c r="E1308" s="5" t="s">
        <v>12</v>
      </c>
      <c r="F1308" s="3" t="s">
        <v>13</v>
      </c>
      <c r="G1308" s="3" t="s">
        <v>13</v>
      </c>
      <c r="H1308" s="3" t="s">
        <v>13</v>
      </c>
      <c r="I1308" s="3">
        <v>635115700</v>
      </c>
    </row>
    <row r="1309" spans="1:9" x14ac:dyDescent="0.35">
      <c r="A1309" t="str">
        <f>"28146"</f>
        <v>28146</v>
      </c>
      <c r="B1309" t="s">
        <v>33</v>
      </c>
      <c r="C1309" t="s">
        <v>614</v>
      </c>
      <c r="D1309" s="5" t="s">
        <v>11</v>
      </c>
      <c r="E1309" s="5" t="s">
        <v>12</v>
      </c>
      <c r="F1309" s="3" t="s">
        <v>13</v>
      </c>
      <c r="G1309" s="3" t="s">
        <v>13</v>
      </c>
      <c r="H1309" s="3" t="s">
        <v>13</v>
      </c>
      <c r="I1309" s="3">
        <v>923400</v>
      </c>
    </row>
    <row r="1310" spans="1:9" x14ac:dyDescent="0.35">
      <c r="A1310" t="str">
        <f>"28171"</f>
        <v>28171</v>
      </c>
      <c r="B1310" t="s">
        <v>33</v>
      </c>
      <c r="C1310" t="s">
        <v>611</v>
      </c>
      <c r="D1310" s="5" t="str">
        <f>"003"</f>
        <v>003</v>
      </c>
      <c r="E1310" s="5">
        <v>2006</v>
      </c>
      <c r="F1310" s="3">
        <v>442200</v>
      </c>
      <c r="G1310" s="3">
        <v>8471100</v>
      </c>
      <c r="H1310" s="3">
        <v>8028900</v>
      </c>
    </row>
    <row r="1311" spans="1:9" x14ac:dyDescent="0.35">
      <c r="A1311" t="str">
        <f>"28171"</f>
        <v>28171</v>
      </c>
      <c r="B1311" t="s">
        <v>33</v>
      </c>
      <c r="C1311" t="s">
        <v>611</v>
      </c>
      <c r="D1311" s="5" t="str">
        <f>"004"</f>
        <v>004</v>
      </c>
      <c r="E1311" s="5">
        <v>2023</v>
      </c>
      <c r="F1311" s="3">
        <v>11981000</v>
      </c>
      <c r="G1311" s="3">
        <v>15857800</v>
      </c>
      <c r="H1311" s="3">
        <v>3876800</v>
      </c>
    </row>
    <row r="1312" spans="1:9" x14ac:dyDescent="0.35">
      <c r="A1312" t="str">
        <f>"28171"</f>
        <v>28171</v>
      </c>
      <c r="B1312" t="s">
        <v>33</v>
      </c>
      <c r="C1312" t="s">
        <v>611</v>
      </c>
      <c r="D1312" s="5" t="s">
        <v>11</v>
      </c>
      <c r="E1312" s="5" t="s">
        <v>12</v>
      </c>
      <c r="F1312" s="3" t="s">
        <v>13</v>
      </c>
      <c r="G1312" s="3" t="s">
        <v>13</v>
      </c>
      <c r="H1312" s="3" t="s">
        <v>13</v>
      </c>
      <c r="I1312" s="3">
        <v>207306900</v>
      </c>
    </row>
    <row r="1313" spans="1:9" x14ac:dyDescent="0.35">
      <c r="A1313" t="str">
        <f>"28181"</f>
        <v>28181</v>
      </c>
      <c r="B1313" t="s">
        <v>33</v>
      </c>
      <c r="C1313" t="s">
        <v>612</v>
      </c>
      <c r="D1313" s="5" t="s">
        <v>11</v>
      </c>
      <c r="E1313" s="5" t="s">
        <v>12</v>
      </c>
      <c r="F1313" s="3" t="s">
        <v>13</v>
      </c>
      <c r="G1313" s="3" t="s">
        <v>13</v>
      </c>
      <c r="H1313" s="3" t="s">
        <v>13</v>
      </c>
      <c r="I1313" s="3">
        <v>87463200</v>
      </c>
    </row>
    <row r="1314" spans="1:9" x14ac:dyDescent="0.35">
      <c r="A1314" t="s">
        <v>30</v>
      </c>
      <c r="B1314" t="s">
        <v>35</v>
      </c>
      <c r="C1314" t="s">
        <v>32</v>
      </c>
      <c r="D1314" s="5" t="s">
        <v>11</v>
      </c>
      <c r="E1314" s="5" t="s">
        <v>12</v>
      </c>
      <c r="F1314" s="3" t="s">
        <v>13</v>
      </c>
      <c r="G1314" s="3" t="s">
        <v>13</v>
      </c>
      <c r="H1314" s="3" t="s">
        <v>13</v>
      </c>
      <c r="I1314" s="3">
        <v>941099200</v>
      </c>
    </row>
    <row r="1315" spans="1:9" x14ac:dyDescent="0.35">
      <c r="A1315" t="str">
        <f>"28226"</f>
        <v>28226</v>
      </c>
      <c r="B1315" t="s">
        <v>36</v>
      </c>
      <c r="C1315" t="s">
        <v>615</v>
      </c>
      <c r="D1315" s="5" t="str">
        <f>"009"</f>
        <v>009</v>
      </c>
      <c r="E1315" s="5">
        <v>2023</v>
      </c>
      <c r="F1315" s="3">
        <v>23689600</v>
      </c>
      <c r="G1315" s="3">
        <v>28379300</v>
      </c>
      <c r="H1315" s="3">
        <v>4689700</v>
      </c>
    </row>
    <row r="1316" spans="1:9" x14ac:dyDescent="0.35">
      <c r="A1316" t="str">
        <f>"28226"</f>
        <v>28226</v>
      </c>
      <c r="B1316" t="s">
        <v>36</v>
      </c>
      <c r="C1316" t="s">
        <v>615</v>
      </c>
      <c r="D1316" s="5" t="str">
        <f>"010"</f>
        <v>010</v>
      </c>
      <c r="E1316" s="5">
        <v>2023</v>
      </c>
      <c r="F1316" s="3">
        <v>23751700</v>
      </c>
      <c r="G1316" s="3">
        <v>24065000</v>
      </c>
      <c r="H1316" s="3">
        <v>313300</v>
      </c>
    </row>
    <row r="1317" spans="1:9" x14ac:dyDescent="0.35">
      <c r="A1317" t="str">
        <f>"28226"</f>
        <v>28226</v>
      </c>
      <c r="B1317" t="s">
        <v>36</v>
      </c>
      <c r="C1317" t="s">
        <v>615</v>
      </c>
      <c r="D1317" s="5" t="s">
        <v>11</v>
      </c>
      <c r="E1317" s="5" t="s">
        <v>12</v>
      </c>
      <c r="F1317" s="3" t="s">
        <v>13</v>
      </c>
      <c r="G1317" s="3" t="s">
        <v>13</v>
      </c>
      <c r="H1317" s="3" t="s">
        <v>13</v>
      </c>
      <c r="I1317" s="3">
        <v>1677984800</v>
      </c>
    </row>
    <row r="1318" spans="1:9" x14ac:dyDescent="0.35">
      <c r="A1318" t="str">
        <f t="shared" ref="A1318:A1325" si="28">"28241"</f>
        <v>28241</v>
      </c>
      <c r="B1318" t="s">
        <v>36</v>
      </c>
      <c r="C1318" t="s">
        <v>536</v>
      </c>
      <c r="D1318" s="5" t="str">
        <f>"005"</f>
        <v>005</v>
      </c>
      <c r="E1318" s="5">
        <v>2001</v>
      </c>
      <c r="F1318" s="3">
        <v>18934600</v>
      </c>
      <c r="G1318" s="3">
        <v>53324800</v>
      </c>
      <c r="H1318" s="3">
        <v>34390200</v>
      </c>
    </row>
    <row r="1319" spans="1:9" x14ac:dyDescent="0.35">
      <c r="A1319" t="str">
        <f t="shared" si="28"/>
        <v>28241</v>
      </c>
      <c r="B1319" t="s">
        <v>36</v>
      </c>
      <c r="C1319" t="s">
        <v>536</v>
      </c>
      <c r="D1319" s="5" t="str">
        <f>"007"</f>
        <v>007</v>
      </c>
      <c r="E1319" s="5">
        <v>2012</v>
      </c>
      <c r="F1319" s="3">
        <v>10500</v>
      </c>
      <c r="G1319" s="3">
        <v>18731700</v>
      </c>
      <c r="H1319" s="3">
        <v>18721200</v>
      </c>
    </row>
    <row r="1320" spans="1:9" x14ac:dyDescent="0.35">
      <c r="A1320" t="str">
        <f t="shared" si="28"/>
        <v>28241</v>
      </c>
      <c r="B1320" t="s">
        <v>36</v>
      </c>
      <c r="C1320" t="s">
        <v>536</v>
      </c>
      <c r="D1320" s="5" t="str">
        <f>"008"</f>
        <v>008</v>
      </c>
      <c r="E1320" s="5">
        <v>2015</v>
      </c>
      <c r="F1320" s="3">
        <v>873200</v>
      </c>
      <c r="G1320" s="3">
        <v>15751300</v>
      </c>
      <c r="H1320" s="3">
        <v>14878100</v>
      </c>
    </row>
    <row r="1321" spans="1:9" x14ac:dyDescent="0.35">
      <c r="A1321" t="str">
        <f t="shared" si="28"/>
        <v>28241</v>
      </c>
      <c r="B1321" t="s">
        <v>36</v>
      </c>
      <c r="C1321" t="s">
        <v>536</v>
      </c>
      <c r="D1321" s="5" t="str">
        <f>"009"</f>
        <v>009</v>
      </c>
      <c r="E1321" s="5">
        <v>2019</v>
      </c>
      <c r="F1321" s="3">
        <v>15100</v>
      </c>
      <c r="G1321" s="3">
        <v>10060500</v>
      </c>
      <c r="H1321" s="3">
        <v>10045400</v>
      </c>
    </row>
    <row r="1322" spans="1:9" x14ac:dyDescent="0.35">
      <c r="A1322" t="str">
        <f t="shared" si="28"/>
        <v>28241</v>
      </c>
      <c r="B1322" t="s">
        <v>36</v>
      </c>
      <c r="C1322" t="s">
        <v>536</v>
      </c>
      <c r="D1322" s="5" t="str">
        <f>"010"</f>
        <v>010</v>
      </c>
      <c r="E1322" s="5">
        <v>2022</v>
      </c>
      <c r="F1322" s="3">
        <v>5963000</v>
      </c>
      <c r="G1322" s="3">
        <v>8421200</v>
      </c>
      <c r="H1322" s="3">
        <v>2458200</v>
      </c>
    </row>
    <row r="1323" spans="1:9" x14ac:dyDescent="0.35">
      <c r="A1323" t="str">
        <f t="shared" si="28"/>
        <v>28241</v>
      </c>
      <c r="B1323" t="s">
        <v>36</v>
      </c>
      <c r="C1323" t="s">
        <v>536</v>
      </c>
      <c r="D1323" s="5" t="str">
        <f>"011"</f>
        <v>011</v>
      </c>
      <c r="E1323" s="5">
        <v>2024</v>
      </c>
      <c r="F1323" s="3">
        <v>0</v>
      </c>
      <c r="G1323" s="3">
        <v>41260800</v>
      </c>
      <c r="H1323" s="3">
        <v>41260800</v>
      </c>
    </row>
    <row r="1324" spans="1:9" x14ac:dyDescent="0.35">
      <c r="A1324" t="str">
        <f t="shared" si="28"/>
        <v>28241</v>
      </c>
      <c r="B1324" t="s">
        <v>36</v>
      </c>
      <c r="C1324" t="s">
        <v>536</v>
      </c>
      <c r="D1324" s="5" t="str">
        <f>"012"</f>
        <v>012</v>
      </c>
      <c r="E1324" s="5">
        <v>2025</v>
      </c>
      <c r="F1324" s="3">
        <v>0</v>
      </c>
      <c r="G1324" s="3">
        <v>0</v>
      </c>
      <c r="H1324" s="3">
        <v>0</v>
      </c>
    </row>
    <row r="1325" spans="1:9" x14ac:dyDescent="0.35">
      <c r="A1325" t="str">
        <f t="shared" si="28"/>
        <v>28241</v>
      </c>
      <c r="B1325" t="s">
        <v>36</v>
      </c>
      <c r="C1325" t="s">
        <v>536</v>
      </c>
      <c r="D1325" s="5" t="s">
        <v>11</v>
      </c>
      <c r="E1325" s="5" t="s">
        <v>12</v>
      </c>
      <c r="F1325" s="3" t="s">
        <v>13</v>
      </c>
      <c r="G1325" s="3" t="s">
        <v>13</v>
      </c>
      <c r="H1325" s="3" t="s">
        <v>13</v>
      </c>
      <c r="I1325" s="3">
        <v>1003334200</v>
      </c>
    </row>
    <row r="1326" spans="1:9" x14ac:dyDescent="0.35">
      <c r="A1326" t="str">
        <f t="shared" ref="A1326:A1333" si="29">"28246"</f>
        <v>28246</v>
      </c>
      <c r="B1326" t="s">
        <v>36</v>
      </c>
      <c r="C1326" t="s">
        <v>609</v>
      </c>
      <c r="D1326" s="5" t="str">
        <f>"003"</f>
        <v>003</v>
      </c>
      <c r="E1326" s="5">
        <v>2006</v>
      </c>
      <c r="F1326" s="3">
        <v>6036800</v>
      </c>
      <c r="G1326" s="3">
        <v>17286300</v>
      </c>
      <c r="H1326" s="3">
        <v>11249500</v>
      </c>
    </row>
    <row r="1327" spans="1:9" x14ac:dyDescent="0.35">
      <c r="A1327" t="str">
        <f t="shared" si="29"/>
        <v>28246</v>
      </c>
      <c r="B1327" t="s">
        <v>36</v>
      </c>
      <c r="C1327" t="s">
        <v>609</v>
      </c>
      <c r="D1327" s="5" t="str">
        <f>"004"</f>
        <v>004</v>
      </c>
      <c r="E1327" s="5">
        <v>2006</v>
      </c>
      <c r="F1327" s="3">
        <v>7894500</v>
      </c>
      <c r="G1327" s="3">
        <v>31779400</v>
      </c>
      <c r="H1327" s="3">
        <v>23884900</v>
      </c>
    </row>
    <row r="1328" spans="1:9" x14ac:dyDescent="0.35">
      <c r="A1328" t="str">
        <f t="shared" si="29"/>
        <v>28246</v>
      </c>
      <c r="B1328" t="s">
        <v>36</v>
      </c>
      <c r="C1328" t="s">
        <v>609</v>
      </c>
      <c r="D1328" s="5" t="str">
        <f>"005"</f>
        <v>005</v>
      </c>
      <c r="E1328" s="5">
        <v>2014</v>
      </c>
      <c r="F1328" s="3">
        <v>4127600</v>
      </c>
      <c r="G1328" s="3">
        <v>52153500</v>
      </c>
      <c r="H1328" s="3">
        <v>48025900</v>
      </c>
    </row>
    <row r="1329" spans="1:9" x14ac:dyDescent="0.35">
      <c r="A1329" t="str">
        <f t="shared" si="29"/>
        <v>28246</v>
      </c>
      <c r="B1329" t="s">
        <v>36</v>
      </c>
      <c r="C1329" t="s">
        <v>609</v>
      </c>
      <c r="D1329" s="5" t="str">
        <f>"006"</f>
        <v>006</v>
      </c>
      <c r="E1329" s="5">
        <v>2014</v>
      </c>
      <c r="F1329" s="3">
        <v>2947800</v>
      </c>
      <c r="G1329" s="3">
        <v>7173100</v>
      </c>
      <c r="H1329" s="3">
        <v>4225300</v>
      </c>
    </row>
    <row r="1330" spans="1:9" x14ac:dyDescent="0.35">
      <c r="A1330" t="str">
        <f t="shared" si="29"/>
        <v>28246</v>
      </c>
      <c r="B1330" t="s">
        <v>36</v>
      </c>
      <c r="C1330" t="s">
        <v>609</v>
      </c>
      <c r="D1330" s="5" t="str">
        <f>"007"</f>
        <v>007</v>
      </c>
      <c r="E1330" s="5">
        <v>2019</v>
      </c>
      <c r="F1330" s="3">
        <v>9010000</v>
      </c>
      <c r="G1330" s="3">
        <v>15054800</v>
      </c>
      <c r="H1330" s="3">
        <v>6044800</v>
      </c>
    </row>
    <row r="1331" spans="1:9" x14ac:dyDescent="0.35">
      <c r="A1331" t="str">
        <f t="shared" si="29"/>
        <v>28246</v>
      </c>
      <c r="B1331" t="s">
        <v>36</v>
      </c>
      <c r="C1331" t="s">
        <v>609</v>
      </c>
      <c r="D1331" s="5" t="str">
        <f>"008"</f>
        <v>008</v>
      </c>
      <c r="E1331" s="5">
        <v>2021</v>
      </c>
      <c r="F1331" s="3">
        <v>22251400</v>
      </c>
      <c r="G1331" s="3">
        <v>40153400</v>
      </c>
      <c r="H1331" s="3">
        <v>17902000</v>
      </c>
    </row>
    <row r="1332" spans="1:9" x14ac:dyDescent="0.35">
      <c r="A1332" t="str">
        <f t="shared" si="29"/>
        <v>28246</v>
      </c>
      <c r="B1332" t="s">
        <v>36</v>
      </c>
      <c r="C1332" t="s">
        <v>609</v>
      </c>
      <c r="D1332" s="5" t="str">
        <f>"009"</f>
        <v>009</v>
      </c>
      <c r="E1332" s="5">
        <v>2024</v>
      </c>
      <c r="F1332" s="3">
        <v>12015800</v>
      </c>
      <c r="G1332" s="3">
        <v>15953800</v>
      </c>
      <c r="H1332" s="3">
        <v>3938000</v>
      </c>
    </row>
    <row r="1333" spans="1:9" x14ac:dyDescent="0.35">
      <c r="A1333" t="str">
        <f t="shared" si="29"/>
        <v>28246</v>
      </c>
      <c r="B1333" t="s">
        <v>36</v>
      </c>
      <c r="C1333" t="s">
        <v>609</v>
      </c>
      <c r="D1333" s="5" t="s">
        <v>11</v>
      </c>
      <c r="E1333" s="5" t="s">
        <v>12</v>
      </c>
      <c r="F1333" s="3" t="s">
        <v>13</v>
      </c>
      <c r="G1333" s="3" t="s">
        <v>13</v>
      </c>
      <c r="H1333" s="3" t="s">
        <v>13</v>
      </c>
      <c r="I1333" s="3">
        <v>1102288600</v>
      </c>
    </row>
    <row r="1334" spans="1:9" x14ac:dyDescent="0.35">
      <c r="A1334" t="str">
        <f>"28290"</f>
        <v>28290</v>
      </c>
      <c r="B1334" t="s">
        <v>36</v>
      </c>
      <c r="C1334" t="s">
        <v>518</v>
      </c>
      <c r="D1334" s="5" t="str">
        <f>"002"</f>
        <v>002</v>
      </c>
      <c r="E1334" s="5">
        <v>2011</v>
      </c>
      <c r="F1334" s="3">
        <v>6927600</v>
      </c>
      <c r="G1334" s="3">
        <v>14633800</v>
      </c>
      <c r="H1334" s="3">
        <v>7706200</v>
      </c>
    </row>
    <row r="1335" spans="1:9" x14ac:dyDescent="0.35">
      <c r="A1335" t="str">
        <f>"28290"</f>
        <v>28290</v>
      </c>
      <c r="B1335" t="s">
        <v>36</v>
      </c>
      <c r="C1335" t="s">
        <v>518</v>
      </c>
      <c r="D1335" s="5" t="str">
        <f>"003"</f>
        <v>003</v>
      </c>
      <c r="E1335" s="5">
        <v>2012</v>
      </c>
      <c r="F1335" s="3">
        <v>1574100</v>
      </c>
      <c r="G1335" s="3">
        <v>7233100</v>
      </c>
      <c r="H1335" s="3">
        <v>5659000</v>
      </c>
    </row>
    <row r="1336" spans="1:9" x14ac:dyDescent="0.35">
      <c r="A1336" t="str">
        <f>"28290"</f>
        <v>28290</v>
      </c>
      <c r="B1336" t="s">
        <v>36</v>
      </c>
      <c r="C1336" t="s">
        <v>518</v>
      </c>
      <c r="D1336" s="5" t="str">
        <f>"004"</f>
        <v>004</v>
      </c>
      <c r="E1336" s="5">
        <v>2014</v>
      </c>
      <c r="F1336" s="3">
        <v>2019900</v>
      </c>
      <c r="G1336" s="3">
        <v>5010500</v>
      </c>
      <c r="H1336" s="3">
        <v>2990600</v>
      </c>
    </row>
    <row r="1337" spans="1:9" x14ac:dyDescent="0.35">
      <c r="A1337" t="str">
        <f>"28290"</f>
        <v>28290</v>
      </c>
      <c r="B1337" t="s">
        <v>36</v>
      </c>
      <c r="C1337" t="s">
        <v>518</v>
      </c>
      <c r="D1337" s="5" t="str">
        <f>"005"</f>
        <v>005</v>
      </c>
      <c r="E1337" s="5">
        <v>2023</v>
      </c>
      <c r="F1337" s="3">
        <v>7170500</v>
      </c>
      <c r="G1337" s="3">
        <v>9532700</v>
      </c>
      <c r="H1337" s="3">
        <v>2362200</v>
      </c>
    </row>
    <row r="1338" spans="1:9" x14ac:dyDescent="0.35">
      <c r="A1338" t="str">
        <f>"28290"</f>
        <v>28290</v>
      </c>
      <c r="B1338" t="s">
        <v>36</v>
      </c>
      <c r="C1338" t="s">
        <v>518</v>
      </c>
      <c r="D1338" s="5" t="s">
        <v>11</v>
      </c>
      <c r="E1338" s="5" t="s">
        <v>12</v>
      </c>
      <c r="F1338" s="3" t="s">
        <v>13</v>
      </c>
      <c r="G1338" s="3" t="s">
        <v>13</v>
      </c>
      <c r="H1338" s="3" t="s">
        <v>13</v>
      </c>
      <c r="I1338" s="3">
        <v>401545100</v>
      </c>
    </row>
    <row r="1339" spans="1:9" x14ac:dyDescent="0.35">
      <c r="A1339" t="str">
        <f t="shared" ref="A1339:A1344" si="30">"28291"</f>
        <v>28291</v>
      </c>
      <c r="B1339" t="s">
        <v>36</v>
      </c>
      <c r="C1339" t="s">
        <v>377</v>
      </c>
      <c r="D1339" s="5" t="str">
        <f>"005"</f>
        <v>005</v>
      </c>
      <c r="E1339" s="5">
        <v>2005</v>
      </c>
      <c r="F1339" s="3">
        <v>37580000</v>
      </c>
      <c r="G1339" s="3">
        <v>69156400</v>
      </c>
      <c r="H1339" s="3">
        <v>31576400</v>
      </c>
    </row>
    <row r="1340" spans="1:9" x14ac:dyDescent="0.35">
      <c r="A1340" t="str">
        <f t="shared" si="30"/>
        <v>28291</v>
      </c>
      <c r="B1340" t="s">
        <v>36</v>
      </c>
      <c r="C1340" t="s">
        <v>377</v>
      </c>
      <c r="D1340" s="5" t="str">
        <f>"006"</f>
        <v>006</v>
      </c>
      <c r="E1340" s="5">
        <v>2005</v>
      </c>
      <c r="F1340" s="3">
        <v>225800</v>
      </c>
      <c r="G1340" s="3">
        <v>4532500</v>
      </c>
      <c r="H1340" s="3">
        <v>4306700</v>
      </c>
    </row>
    <row r="1341" spans="1:9" x14ac:dyDescent="0.35">
      <c r="A1341" t="str">
        <f t="shared" si="30"/>
        <v>28291</v>
      </c>
      <c r="B1341" t="s">
        <v>36</v>
      </c>
      <c r="C1341" t="s">
        <v>377</v>
      </c>
      <c r="D1341" s="5" t="str">
        <f>"007"</f>
        <v>007</v>
      </c>
      <c r="E1341" s="5">
        <v>2016</v>
      </c>
      <c r="F1341" s="3">
        <v>37025100</v>
      </c>
      <c r="G1341" s="3">
        <v>73396100</v>
      </c>
      <c r="H1341" s="3">
        <v>36371000</v>
      </c>
    </row>
    <row r="1342" spans="1:9" x14ac:dyDescent="0.35">
      <c r="A1342" t="str">
        <f t="shared" si="30"/>
        <v>28291</v>
      </c>
      <c r="B1342" t="s">
        <v>36</v>
      </c>
      <c r="C1342" t="s">
        <v>377</v>
      </c>
      <c r="D1342" s="5" t="str">
        <f>"008"</f>
        <v>008</v>
      </c>
      <c r="E1342" s="5">
        <v>2021</v>
      </c>
      <c r="F1342" s="3">
        <v>15938900</v>
      </c>
      <c r="G1342" s="3">
        <v>24836400</v>
      </c>
      <c r="H1342" s="3">
        <v>8897500</v>
      </c>
    </row>
    <row r="1343" spans="1:9" x14ac:dyDescent="0.35">
      <c r="A1343" t="str">
        <f t="shared" si="30"/>
        <v>28291</v>
      </c>
      <c r="B1343" t="s">
        <v>36</v>
      </c>
      <c r="C1343" t="s">
        <v>377</v>
      </c>
      <c r="D1343" s="5" t="str">
        <f>"009"</f>
        <v>009</v>
      </c>
      <c r="E1343" s="5">
        <v>2025</v>
      </c>
      <c r="F1343" s="3">
        <v>13647200</v>
      </c>
      <c r="G1343" s="3">
        <v>21513500</v>
      </c>
      <c r="H1343" s="3">
        <v>7866300</v>
      </c>
    </row>
    <row r="1344" spans="1:9" x14ac:dyDescent="0.35">
      <c r="A1344" t="str">
        <f t="shared" si="30"/>
        <v>28291</v>
      </c>
      <c r="B1344" t="s">
        <v>36</v>
      </c>
      <c r="C1344" t="s">
        <v>377</v>
      </c>
      <c r="D1344" s="5" t="s">
        <v>11</v>
      </c>
      <c r="E1344" s="5" t="s">
        <v>12</v>
      </c>
      <c r="F1344" s="3" t="s">
        <v>13</v>
      </c>
      <c r="G1344" s="3" t="s">
        <v>13</v>
      </c>
      <c r="H1344" s="3" t="s">
        <v>13</v>
      </c>
      <c r="I1344" s="3">
        <v>1749020500</v>
      </c>
    </row>
    <row r="1345" spans="1:9" x14ac:dyDescent="0.35">
      <c r="A1345" t="str">
        <f>"28292"</f>
        <v>28292</v>
      </c>
      <c r="B1345" t="s">
        <v>36</v>
      </c>
      <c r="C1345" t="s">
        <v>616</v>
      </c>
      <c r="D1345" s="5" t="str">
        <f>"010"</f>
        <v>010</v>
      </c>
      <c r="E1345" s="5">
        <v>2021</v>
      </c>
      <c r="F1345" s="3">
        <v>4777200</v>
      </c>
      <c r="G1345" s="3">
        <v>6119900</v>
      </c>
      <c r="H1345" s="3">
        <v>1342700</v>
      </c>
    </row>
    <row r="1346" spans="1:9" x14ac:dyDescent="0.35">
      <c r="A1346" t="str">
        <f>"28292"</f>
        <v>28292</v>
      </c>
      <c r="B1346" t="s">
        <v>36</v>
      </c>
      <c r="C1346" t="s">
        <v>616</v>
      </c>
      <c r="D1346" s="5" t="str">
        <f>"014"</f>
        <v>014</v>
      </c>
      <c r="E1346" s="5">
        <v>2021</v>
      </c>
      <c r="F1346" s="3">
        <v>22914100</v>
      </c>
      <c r="G1346" s="3">
        <v>43286800</v>
      </c>
      <c r="H1346" s="3">
        <v>20372700</v>
      </c>
    </row>
    <row r="1347" spans="1:9" x14ac:dyDescent="0.35">
      <c r="A1347" t="str">
        <f>"28292"</f>
        <v>28292</v>
      </c>
      <c r="B1347" t="s">
        <v>36</v>
      </c>
      <c r="C1347" t="s">
        <v>616</v>
      </c>
      <c r="D1347" s="5" t="s">
        <v>11</v>
      </c>
      <c r="E1347" s="5" t="s">
        <v>12</v>
      </c>
      <c r="F1347" s="3" t="s">
        <v>13</v>
      </c>
      <c r="G1347" s="3" t="s">
        <v>13</v>
      </c>
      <c r="H1347" s="3" t="s">
        <v>13</v>
      </c>
      <c r="I1347" s="3">
        <v>137233500</v>
      </c>
    </row>
    <row r="1348" spans="1:9" x14ac:dyDescent="0.35">
      <c r="A1348" t="s">
        <v>30</v>
      </c>
      <c r="B1348" t="s">
        <v>38</v>
      </c>
      <c r="C1348" t="s">
        <v>32</v>
      </c>
      <c r="D1348" s="5" t="s">
        <v>11</v>
      </c>
      <c r="E1348" s="5" t="s">
        <v>12</v>
      </c>
      <c r="F1348" s="3" t="s">
        <v>13</v>
      </c>
      <c r="G1348" s="3" t="s">
        <v>13</v>
      </c>
      <c r="H1348" s="3" t="s">
        <v>13</v>
      </c>
      <c r="I1348" s="3">
        <v>6071406700</v>
      </c>
    </row>
    <row r="1349" spans="1:9" x14ac:dyDescent="0.35">
      <c r="A1349" t="s">
        <v>30</v>
      </c>
      <c r="B1349" t="s">
        <v>39</v>
      </c>
      <c r="C1349" t="s">
        <v>536</v>
      </c>
      <c r="D1349" s="5" t="s">
        <v>11</v>
      </c>
      <c r="E1349" s="5" t="s">
        <v>12</v>
      </c>
      <c r="F1349" s="3" t="s">
        <v>13</v>
      </c>
      <c r="G1349" s="3" t="s">
        <v>13</v>
      </c>
      <c r="H1349" s="3" t="s">
        <v>13</v>
      </c>
      <c r="I1349" s="3">
        <v>13676274000</v>
      </c>
    </row>
    <row r="1350" spans="1:9" x14ac:dyDescent="0.35">
      <c r="A1350" t="str">
        <f>"29002"</f>
        <v>29002</v>
      </c>
      <c r="B1350" t="s">
        <v>9</v>
      </c>
      <c r="C1350" t="s">
        <v>617</v>
      </c>
      <c r="D1350" s="5" t="s">
        <v>11</v>
      </c>
      <c r="E1350" s="5" t="s">
        <v>12</v>
      </c>
      <c r="F1350" s="3" t="s">
        <v>13</v>
      </c>
      <c r="G1350" s="3" t="s">
        <v>13</v>
      </c>
      <c r="H1350" s="3" t="s">
        <v>13</v>
      </c>
      <c r="I1350" s="3">
        <v>333865900</v>
      </c>
    </row>
    <row r="1351" spans="1:9" x14ac:dyDescent="0.35">
      <c r="A1351" t="str">
        <f>"29004"</f>
        <v>29004</v>
      </c>
      <c r="B1351" t="s">
        <v>9</v>
      </c>
      <c r="C1351" t="s">
        <v>618</v>
      </c>
      <c r="D1351" s="5" t="s">
        <v>11</v>
      </c>
      <c r="E1351" s="5" t="s">
        <v>12</v>
      </c>
      <c r="F1351" s="3" t="s">
        <v>13</v>
      </c>
      <c r="G1351" s="3" t="s">
        <v>13</v>
      </c>
      <c r="H1351" s="3" t="s">
        <v>13</v>
      </c>
      <c r="I1351" s="3">
        <v>176983300</v>
      </c>
    </row>
    <row r="1352" spans="1:9" x14ac:dyDescent="0.35">
      <c r="A1352" t="str">
        <f>"29006"</f>
        <v>29006</v>
      </c>
      <c r="B1352" t="s">
        <v>9</v>
      </c>
      <c r="C1352" t="s">
        <v>619</v>
      </c>
      <c r="D1352" s="5" t="s">
        <v>11</v>
      </c>
      <c r="E1352" s="5" t="s">
        <v>12</v>
      </c>
      <c r="F1352" s="3" t="s">
        <v>13</v>
      </c>
      <c r="G1352" s="3" t="s">
        <v>13</v>
      </c>
      <c r="H1352" s="3" t="s">
        <v>13</v>
      </c>
      <c r="I1352" s="3">
        <v>68220400</v>
      </c>
    </row>
    <row r="1353" spans="1:9" x14ac:dyDescent="0.35">
      <c r="A1353" t="str">
        <f>"29008"</f>
        <v>29008</v>
      </c>
      <c r="B1353" t="s">
        <v>9</v>
      </c>
      <c r="C1353" t="s">
        <v>620</v>
      </c>
      <c r="D1353" s="5" t="s">
        <v>11</v>
      </c>
      <c r="E1353" s="5" t="s">
        <v>12</v>
      </c>
      <c r="F1353" s="3" t="s">
        <v>13</v>
      </c>
      <c r="G1353" s="3" t="s">
        <v>13</v>
      </c>
      <c r="H1353" s="3" t="s">
        <v>13</v>
      </c>
      <c r="I1353" s="3">
        <v>32164000</v>
      </c>
    </row>
    <row r="1354" spans="1:9" x14ac:dyDescent="0.35">
      <c r="A1354" t="str">
        <f>"29010"</f>
        <v>29010</v>
      </c>
      <c r="B1354" t="s">
        <v>9</v>
      </c>
      <c r="C1354" t="s">
        <v>621</v>
      </c>
      <c r="D1354" s="5" t="s">
        <v>11</v>
      </c>
      <c r="E1354" s="5" t="s">
        <v>12</v>
      </c>
      <c r="F1354" s="3" t="s">
        <v>13</v>
      </c>
      <c r="G1354" s="3" t="s">
        <v>13</v>
      </c>
      <c r="H1354" s="3" t="s">
        <v>13</v>
      </c>
      <c r="I1354" s="3">
        <v>100941100</v>
      </c>
    </row>
    <row r="1355" spans="1:9" x14ac:dyDescent="0.35">
      <c r="A1355" t="str">
        <f>"29012"</f>
        <v>29012</v>
      </c>
      <c r="B1355" t="s">
        <v>9</v>
      </c>
      <c r="C1355" t="s">
        <v>622</v>
      </c>
      <c r="D1355" s="5" t="s">
        <v>11</v>
      </c>
      <c r="E1355" s="5" t="s">
        <v>12</v>
      </c>
      <c r="F1355" s="3" t="s">
        <v>13</v>
      </c>
      <c r="G1355" s="3" t="s">
        <v>13</v>
      </c>
      <c r="H1355" s="3" t="s">
        <v>13</v>
      </c>
      <c r="I1355" s="3">
        <v>1027570600</v>
      </c>
    </row>
    <row r="1356" spans="1:9" x14ac:dyDescent="0.35">
      <c r="A1356" t="str">
        <f>"29014"</f>
        <v>29014</v>
      </c>
      <c r="B1356" t="s">
        <v>9</v>
      </c>
      <c r="C1356" t="s">
        <v>623</v>
      </c>
      <c r="D1356" s="5" t="s">
        <v>11</v>
      </c>
      <c r="E1356" s="5" t="s">
        <v>12</v>
      </c>
      <c r="F1356" s="3" t="s">
        <v>13</v>
      </c>
      <c r="G1356" s="3" t="s">
        <v>13</v>
      </c>
      <c r="H1356" s="3" t="s">
        <v>13</v>
      </c>
      <c r="I1356" s="3">
        <v>162686600</v>
      </c>
    </row>
    <row r="1357" spans="1:9" x14ac:dyDescent="0.35">
      <c r="A1357" t="str">
        <f>"29016"</f>
        <v>29016</v>
      </c>
      <c r="B1357" t="s">
        <v>9</v>
      </c>
      <c r="C1357" t="s">
        <v>548</v>
      </c>
      <c r="D1357" s="5" t="s">
        <v>11</v>
      </c>
      <c r="E1357" s="5" t="s">
        <v>12</v>
      </c>
      <c r="F1357" s="3" t="s">
        <v>13</v>
      </c>
      <c r="G1357" s="3" t="s">
        <v>13</v>
      </c>
      <c r="H1357" s="3" t="s">
        <v>13</v>
      </c>
      <c r="I1357" s="3">
        <v>7673000</v>
      </c>
    </row>
    <row r="1358" spans="1:9" x14ac:dyDescent="0.35">
      <c r="A1358" t="str">
        <f>"29018"</f>
        <v>29018</v>
      </c>
      <c r="B1358" t="s">
        <v>9</v>
      </c>
      <c r="C1358" t="s">
        <v>624</v>
      </c>
      <c r="D1358" s="5" t="s">
        <v>11</v>
      </c>
      <c r="E1358" s="5" t="s">
        <v>12</v>
      </c>
      <c r="F1358" s="3" t="s">
        <v>13</v>
      </c>
      <c r="G1358" s="3" t="s">
        <v>13</v>
      </c>
      <c r="H1358" s="3" t="s">
        <v>13</v>
      </c>
      <c r="I1358" s="3">
        <v>274665700</v>
      </c>
    </row>
    <row r="1359" spans="1:9" x14ac:dyDescent="0.35">
      <c r="A1359" t="str">
        <f>"29020"</f>
        <v>29020</v>
      </c>
      <c r="B1359" t="s">
        <v>9</v>
      </c>
      <c r="C1359" t="s">
        <v>625</v>
      </c>
      <c r="D1359" s="5" t="s">
        <v>11</v>
      </c>
      <c r="E1359" s="5" t="s">
        <v>12</v>
      </c>
      <c r="F1359" s="3" t="s">
        <v>13</v>
      </c>
      <c r="G1359" s="3" t="s">
        <v>13</v>
      </c>
      <c r="H1359" s="3" t="s">
        <v>13</v>
      </c>
      <c r="I1359" s="3">
        <v>114710500</v>
      </c>
    </row>
    <row r="1360" spans="1:9" x14ac:dyDescent="0.35">
      <c r="A1360" t="str">
        <f>"29022"</f>
        <v>29022</v>
      </c>
      <c r="B1360" t="s">
        <v>9</v>
      </c>
      <c r="C1360" t="s">
        <v>626</v>
      </c>
      <c r="D1360" s="5" t="s">
        <v>11</v>
      </c>
      <c r="E1360" s="5" t="s">
        <v>12</v>
      </c>
      <c r="F1360" s="3" t="s">
        <v>13</v>
      </c>
      <c r="G1360" s="3" t="s">
        <v>13</v>
      </c>
      <c r="H1360" s="3" t="s">
        <v>13</v>
      </c>
      <c r="I1360" s="3">
        <v>142315700</v>
      </c>
    </row>
    <row r="1361" spans="1:9" x14ac:dyDescent="0.35">
      <c r="A1361" t="str">
        <f>"29024"</f>
        <v>29024</v>
      </c>
      <c r="B1361" t="s">
        <v>9</v>
      </c>
      <c r="C1361" t="s">
        <v>627</v>
      </c>
      <c r="D1361" s="5" t="s">
        <v>11</v>
      </c>
      <c r="E1361" s="5" t="s">
        <v>12</v>
      </c>
      <c r="F1361" s="3" t="s">
        <v>13</v>
      </c>
      <c r="G1361" s="3" t="s">
        <v>13</v>
      </c>
      <c r="H1361" s="3" t="s">
        <v>13</v>
      </c>
      <c r="I1361" s="3">
        <v>252311400</v>
      </c>
    </row>
    <row r="1362" spans="1:9" x14ac:dyDescent="0.35">
      <c r="A1362" t="str">
        <f>"29026"</f>
        <v>29026</v>
      </c>
      <c r="B1362" t="s">
        <v>9</v>
      </c>
      <c r="C1362" t="s">
        <v>506</v>
      </c>
      <c r="D1362" s="5" t="s">
        <v>11</v>
      </c>
      <c r="E1362" s="5" t="s">
        <v>12</v>
      </c>
      <c r="F1362" s="3" t="s">
        <v>13</v>
      </c>
      <c r="G1362" s="3" t="s">
        <v>13</v>
      </c>
      <c r="H1362" s="3" t="s">
        <v>13</v>
      </c>
      <c r="I1362" s="3">
        <v>127922000</v>
      </c>
    </row>
    <row r="1363" spans="1:9" x14ac:dyDescent="0.35">
      <c r="A1363" t="str">
        <f>"29028"</f>
        <v>29028</v>
      </c>
      <c r="B1363" t="s">
        <v>9</v>
      </c>
      <c r="C1363" t="s">
        <v>628</v>
      </c>
      <c r="D1363" s="5" t="s">
        <v>11</v>
      </c>
      <c r="E1363" s="5" t="s">
        <v>12</v>
      </c>
      <c r="F1363" s="3" t="s">
        <v>13</v>
      </c>
      <c r="G1363" s="3" t="s">
        <v>13</v>
      </c>
      <c r="H1363" s="3" t="s">
        <v>13</v>
      </c>
      <c r="I1363" s="3">
        <v>513404600</v>
      </c>
    </row>
    <row r="1364" spans="1:9" x14ac:dyDescent="0.35">
      <c r="A1364" t="str">
        <f>"29030"</f>
        <v>29030</v>
      </c>
      <c r="B1364" t="s">
        <v>9</v>
      </c>
      <c r="C1364" t="s">
        <v>629</v>
      </c>
      <c r="D1364" s="5" t="s">
        <v>11</v>
      </c>
      <c r="E1364" s="5" t="s">
        <v>12</v>
      </c>
      <c r="F1364" s="3" t="s">
        <v>13</v>
      </c>
      <c r="G1364" s="3" t="s">
        <v>13</v>
      </c>
      <c r="H1364" s="3" t="s">
        <v>13</v>
      </c>
      <c r="I1364" s="3">
        <v>84150800</v>
      </c>
    </row>
    <row r="1365" spans="1:9" x14ac:dyDescent="0.35">
      <c r="A1365" t="str">
        <f>"29032"</f>
        <v>29032</v>
      </c>
      <c r="B1365" t="s">
        <v>9</v>
      </c>
      <c r="C1365" t="s">
        <v>630</v>
      </c>
      <c r="D1365" s="5" t="s">
        <v>11</v>
      </c>
      <c r="E1365" s="5" t="s">
        <v>12</v>
      </c>
      <c r="F1365" s="3" t="s">
        <v>13</v>
      </c>
      <c r="G1365" s="3" t="s">
        <v>13</v>
      </c>
      <c r="H1365" s="3" t="s">
        <v>13</v>
      </c>
      <c r="I1365" s="3">
        <v>128655000</v>
      </c>
    </row>
    <row r="1366" spans="1:9" x14ac:dyDescent="0.35">
      <c r="A1366" t="str">
        <f>"29034"</f>
        <v>29034</v>
      </c>
      <c r="B1366" t="s">
        <v>9</v>
      </c>
      <c r="C1366" t="s">
        <v>631</v>
      </c>
      <c r="D1366" s="5" t="s">
        <v>11</v>
      </c>
      <c r="E1366" s="5" t="s">
        <v>12</v>
      </c>
      <c r="F1366" s="3" t="s">
        <v>13</v>
      </c>
      <c r="G1366" s="3" t="s">
        <v>13</v>
      </c>
      <c r="H1366" s="3" t="s">
        <v>13</v>
      </c>
      <c r="I1366" s="3">
        <v>67848100</v>
      </c>
    </row>
    <row r="1367" spans="1:9" x14ac:dyDescent="0.35">
      <c r="A1367" t="str">
        <f>"29036"</f>
        <v>29036</v>
      </c>
      <c r="B1367" t="s">
        <v>9</v>
      </c>
      <c r="C1367" t="s">
        <v>407</v>
      </c>
      <c r="D1367" s="5" t="s">
        <v>11</v>
      </c>
      <c r="E1367" s="5" t="s">
        <v>12</v>
      </c>
      <c r="F1367" s="3" t="s">
        <v>13</v>
      </c>
      <c r="G1367" s="3" t="s">
        <v>13</v>
      </c>
      <c r="H1367" s="3" t="s">
        <v>13</v>
      </c>
      <c r="I1367" s="3">
        <v>115691300</v>
      </c>
    </row>
    <row r="1368" spans="1:9" x14ac:dyDescent="0.35">
      <c r="A1368" t="str">
        <f>"29038"</f>
        <v>29038</v>
      </c>
      <c r="B1368" t="s">
        <v>9</v>
      </c>
      <c r="C1368" t="s">
        <v>632</v>
      </c>
      <c r="D1368" s="5" t="s">
        <v>11</v>
      </c>
      <c r="E1368" s="5" t="s">
        <v>12</v>
      </c>
      <c r="F1368" s="3" t="s">
        <v>13</v>
      </c>
      <c r="G1368" s="3" t="s">
        <v>13</v>
      </c>
      <c r="H1368" s="3" t="s">
        <v>13</v>
      </c>
      <c r="I1368" s="3">
        <v>99781700</v>
      </c>
    </row>
    <row r="1369" spans="1:9" x14ac:dyDescent="0.35">
      <c r="A1369" t="s">
        <v>30</v>
      </c>
      <c r="B1369" t="s">
        <v>31</v>
      </c>
      <c r="C1369" t="s">
        <v>32</v>
      </c>
      <c r="D1369" s="5" t="s">
        <v>11</v>
      </c>
      <c r="E1369" s="5" t="s">
        <v>12</v>
      </c>
      <c r="F1369" s="3" t="s">
        <v>13</v>
      </c>
      <c r="G1369" s="3" t="s">
        <v>13</v>
      </c>
      <c r="H1369" s="3" t="s">
        <v>13</v>
      </c>
      <c r="I1369" s="3">
        <v>3831561700</v>
      </c>
    </row>
    <row r="1370" spans="1:9" x14ac:dyDescent="0.35">
      <c r="A1370" t="str">
        <f>"29111"</f>
        <v>29111</v>
      </c>
      <c r="B1370" t="s">
        <v>33</v>
      </c>
      <c r="C1370" t="s">
        <v>633</v>
      </c>
      <c r="D1370" s="5" t="s">
        <v>11</v>
      </c>
      <c r="E1370" s="5" t="s">
        <v>12</v>
      </c>
      <c r="F1370" s="3" t="s">
        <v>13</v>
      </c>
      <c r="G1370" s="3" t="s">
        <v>13</v>
      </c>
      <c r="H1370" s="3" t="s">
        <v>13</v>
      </c>
      <c r="I1370" s="3">
        <v>50703100</v>
      </c>
    </row>
    <row r="1371" spans="1:9" x14ac:dyDescent="0.35">
      <c r="A1371" t="str">
        <f>"29136"</f>
        <v>29136</v>
      </c>
      <c r="B1371" t="s">
        <v>33</v>
      </c>
      <c r="C1371" t="s">
        <v>634</v>
      </c>
      <c r="D1371" s="5" t="s">
        <v>11</v>
      </c>
      <c r="E1371" s="5" t="s">
        <v>12</v>
      </c>
      <c r="F1371" s="3" t="s">
        <v>13</v>
      </c>
      <c r="G1371" s="3" t="s">
        <v>13</v>
      </c>
      <c r="H1371" s="3" t="s">
        <v>13</v>
      </c>
      <c r="I1371" s="3">
        <v>21396500</v>
      </c>
    </row>
    <row r="1372" spans="1:9" x14ac:dyDescent="0.35">
      <c r="A1372" t="str">
        <f>"29146"</f>
        <v>29146</v>
      </c>
      <c r="B1372" t="s">
        <v>33</v>
      </c>
      <c r="C1372" t="s">
        <v>635</v>
      </c>
      <c r="D1372" s="5" t="s">
        <v>11</v>
      </c>
      <c r="E1372" s="5" t="s">
        <v>12</v>
      </c>
      <c r="F1372" s="3" t="s">
        <v>13</v>
      </c>
      <c r="G1372" s="3" t="s">
        <v>13</v>
      </c>
      <c r="H1372" s="3" t="s">
        <v>13</v>
      </c>
      <c r="I1372" s="3">
        <v>60312200</v>
      </c>
    </row>
    <row r="1373" spans="1:9" x14ac:dyDescent="0.35">
      <c r="A1373" t="str">
        <f>"29161"</f>
        <v>29161</v>
      </c>
      <c r="B1373" t="s">
        <v>33</v>
      </c>
      <c r="C1373" t="s">
        <v>628</v>
      </c>
      <c r="D1373" s="5" t="str">
        <f>"002"</f>
        <v>002</v>
      </c>
      <c r="E1373" s="5">
        <v>1995</v>
      </c>
      <c r="F1373" s="3">
        <v>1233500</v>
      </c>
      <c r="G1373" s="3">
        <v>10374300</v>
      </c>
      <c r="H1373" s="3">
        <v>9140800</v>
      </c>
    </row>
    <row r="1374" spans="1:9" x14ac:dyDescent="0.35">
      <c r="A1374" t="str">
        <f>"29161"</f>
        <v>29161</v>
      </c>
      <c r="B1374" t="s">
        <v>33</v>
      </c>
      <c r="C1374" t="s">
        <v>628</v>
      </c>
      <c r="D1374" s="5" t="str">
        <f>"003"</f>
        <v>003</v>
      </c>
      <c r="E1374" s="5">
        <v>1995</v>
      </c>
      <c r="F1374" s="3">
        <v>7296300</v>
      </c>
      <c r="G1374" s="3">
        <v>21245500</v>
      </c>
      <c r="H1374" s="3">
        <v>13949200</v>
      </c>
    </row>
    <row r="1375" spans="1:9" x14ac:dyDescent="0.35">
      <c r="A1375" t="str">
        <f>"29161"</f>
        <v>29161</v>
      </c>
      <c r="B1375" t="s">
        <v>33</v>
      </c>
      <c r="C1375" t="s">
        <v>628</v>
      </c>
      <c r="D1375" s="5" t="s">
        <v>11</v>
      </c>
      <c r="E1375" s="5" t="s">
        <v>12</v>
      </c>
      <c r="F1375" s="3" t="s">
        <v>13</v>
      </c>
      <c r="G1375" s="3" t="s">
        <v>13</v>
      </c>
      <c r="H1375" s="3" t="s">
        <v>13</v>
      </c>
      <c r="I1375" s="3">
        <v>57652300</v>
      </c>
    </row>
    <row r="1376" spans="1:9" x14ac:dyDescent="0.35">
      <c r="A1376" t="str">
        <f>"29186"</f>
        <v>29186</v>
      </c>
      <c r="B1376" t="s">
        <v>33</v>
      </c>
      <c r="C1376" t="s">
        <v>636</v>
      </c>
      <c r="D1376" s="5" t="s">
        <v>11</v>
      </c>
      <c r="E1376" s="5" t="s">
        <v>12</v>
      </c>
      <c r="F1376" s="3" t="s">
        <v>13</v>
      </c>
      <c r="G1376" s="3" t="s">
        <v>13</v>
      </c>
      <c r="H1376" s="3" t="s">
        <v>13</v>
      </c>
      <c r="I1376" s="3">
        <v>23419800</v>
      </c>
    </row>
    <row r="1377" spans="1:9" x14ac:dyDescent="0.35">
      <c r="A1377" t="str">
        <f>"29191"</f>
        <v>29191</v>
      </c>
      <c r="B1377" t="s">
        <v>33</v>
      </c>
      <c r="C1377" t="s">
        <v>632</v>
      </c>
      <c r="D1377" s="5" t="s">
        <v>11</v>
      </c>
      <c r="E1377" s="5" t="s">
        <v>12</v>
      </c>
      <c r="F1377" s="3" t="s">
        <v>13</v>
      </c>
      <c r="G1377" s="3" t="s">
        <v>13</v>
      </c>
      <c r="H1377" s="3" t="s">
        <v>13</v>
      </c>
      <c r="I1377" s="3">
        <v>59955400</v>
      </c>
    </row>
    <row r="1378" spans="1:9" x14ac:dyDescent="0.35">
      <c r="A1378" t="s">
        <v>30</v>
      </c>
      <c r="B1378" t="s">
        <v>35</v>
      </c>
      <c r="C1378" t="s">
        <v>32</v>
      </c>
      <c r="D1378" s="5" t="s">
        <v>11</v>
      </c>
      <c r="E1378" s="5" t="s">
        <v>12</v>
      </c>
      <c r="F1378" s="3" t="s">
        <v>13</v>
      </c>
      <c r="G1378" s="3" t="s">
        <v>13</v>
      </c>
      <c r="H1378" s="3" t="s">
        <v>13</v>
      </c>
      <c r="I1378" s="3">
        <v>273439300</v>
      </c>
    </row>
    <row r="1379" spans="1:9" x14ac:dyDescent="0.35">
      <c r="A1379" t="str">
        <f>"29221"</f>
        <v>29221</v>
      </c>
      <c r="B1379" t="s">
        <v>36</v>
      </c>
      <c r="C1379" t="s">
        <v>637</v>
      </c>
      <c r="D1379" s="5" t="str">
        <f>"003"</f>
        <v>003</v>
      </c>
      <c r="E1379" s="5">
        <v>1999</v>
      </c>
      <c r="F1379" s="3">
        <v>2293800</v>
      </c>
      <c r="G1379" s="3">
        <v>14432900</v>
      </c>
      <c r="H1379" s="3">
        <v>12139100</v>
      </c>
    </row>
    <row r="1380" spans="1:9" x14ac:dyDescent="0.35">
      <c r="A1380" t="str">
        <f>"29221"</f>
        <v>29221</v>
      </c>
      <c r="B1380" t="s">
        <v>36</v>
      </c>
      <c r="C1380" t="s">
        <v>637</v>
      </c>
      <c r="D1380" s="5" t="str">
        <f>"004"</f>
        <v>004</v>
      </c>
      <c r="E1380" s="5">
        <v>1999</v>
      </c>
      <c r="F1380" s="3">
        <v>1239300</v>
      </c>
      <c r="G1380" s="3">
        <v>5939500</v>
      </c>
      <c r="H1380" s="3">
        <v>4700200</v>
      </c>
    </row>
    <row r="1381" spans="1:9" x14ac:dyDescent="0.35">
      <c r="A1381" t="str">
        <f>"29221"</f>
        <v>29221</v>
      </c>
      <c r="B1381" t="s">
        <v>36</v>
      </c>
      <c r="C1381" t="s">
        <v>637</v>
      </c>
      <c r="D1381" s="5" t="str">
        <f>"005"</f>
        <v>005</v>
      </c>
      <c r="E1381" s="5">
        <v>1999</v>
      </c>
      <c r="F1381" s="3">
        <v>36500</v>
      </c>
      <c r="G1381" s="3">
        <v>4438400</v>
      </c>
      <c r="H1381" s="3">
        <v>4401900</v>
      </c>
    </row>
    <row r="1382" spans="1:9" x14ac:dyDescent="0.35">
      <c r="A1382" t="str">
        <f>"29221"</f>
        <v>29221</v>
      </c>
      <c r="B1382" t="s">
        <v>36</v>
      </c>
      <c r="C1382" t="s">
        <v>637</v>
      </c>
      <c r="D1382" s="5" t="str">
        <f>"006"</f>
        <v>006</v>
      </c>
      <c r="E1382" s="5">
        <v>2014</v>
      </c>
      <c r="F1382" s="3">
        <v>769400</v>
      </c>
      <c r="G1382" s="3">
        <v>3129600</v>
      </c>
      <c r="H1382" s="3">
        <v>2360200</v>
      </c>
    </row>
    <row r="1383" spans="1:9" x14ac:dyDescent="0.35">
      <c r="A1383" t="str">
        <f>"29221"</f>
        <v>29221</v>
      </c>
      <c r="B1383" t="s">
        <v>36</v>
      </c>
      <c r="C1383" t="s">
        <v>637</v>
      </c>
      <c r="D1383" s="5" t="s">
        <v>11</v>
      </c>
      <c r="E1383" s="5" t="s">
        <v>12</v>
      </c>
      <c r="F1383" s="3" t="s">
        <v>13</v>
      </c>
      <c r="G1383" s="3" t="s">
        <v>13</v>
      </c>
      <c r="H1383" s="3" t="s">
        <v>13</v>
      </c>
      <c r="I1383" s="3">
        <v>99446000</v>
      </c>
    </row>
    <row r="1384" spans="1:9" x14ac:dyDescent="0.35">
      <c r="A1384" t="str">
        <f>"29251"</f>
        <v>29251</v>
      </c>
      <c r="B1384" t="s">
        <v>36</v>
      </c>
      <c r="C1384" t="s">
        <v>638</v>
      </c>
      <c r="D1384" s="5" t="str">
        <f>"004"</f>
        <v>004</v>
      </c>
      <c r="E1384" s="5">
        <v>2022</v>
      </c>
      <c r="F1384" s="3">
        <v>23661100</v>
      </c>
      <c r="G1384" s="3">
        <v>44809200</v>
      </c>
      <c r="H1384" s="3">
        <v>21148100</v>
      </c>
    </row>
    <row r="1385" spans="1:9" x14ac:dyDescent="0.35">
      <c r="A1385" t="str">
        <f>"29251"</f>
        <v>29251</v>
      </c>
      <c r="B1385" t="s">
        <v>36</v>
      </c>
      <c r="C1385" t="s">
        <v>638</v>
      </c>
      <c r="D1385" s="5" t="str">
        <f>"005"</f>
        <v>005</v>
      </c>
      <c r="E1385" s="5">
        <v>2022</v>
      </c>
      <c r="F1385" s="3">
        <v>16827200</v>
      </c>
      <c r="G1385" s="3">
        <v>32309500</v>
      </c>
      <c r="H1385" s="3">
        <v>15482300</v>
      </c>
    </row>
    <row r="1386" spans="1:9" x14ac:dyDescent="0.35">
      <c r="A1386" t="str">
        <f>"29251"</f>
        <v>29251</v>
      </c>
      <c r="B1386" t="s">
        <v>36</v>
      </c>
      <c r="C1386" t="s">
        <v>638</v>
      </c>
      <c r="D1386" s="5" t="str">
        <f>"006"</f>
        <v>006</v>
      </c>
      <c r="E1386" s="5">
        <v>2025</v>
      </c>
      <c r="F1386" s="3">
        <v>14548300</v>
      </c>
      <c r="G1386" s="3">
        <v>19193100</v>
      </c>
      <c r="H1386" s="3">
        <v>4644800</v>
      </c>
    </row>
    <row r="1387" spans="1:9" x14ac:dyDescent="0.35">
      <c r="A1387" t="str">
        <f>"29251"</f>
        <v>29251</v>
      </c>
      <c r="B1387" t="s">
        <v>36</v>
      </c>
      <c r="C1387" t="s">
        <v>638</v>
      </c>
      <c r="D1387" s="5" t="s">
        <v>11</v>
      </c>
      <c r="E1387" s="5" t="s">
        <v>12</v>
      </c>
      <c r="F1387" s="3" t="s">
        <v>13</v>
      </c>
      <c r="G1387" s="3" t="s">
        <v>13</v>
      </c>
      <c r="H1387" s="3" t="s">
        <v>13</v>
      </c>
      <c r="I1387" s="3">
        <v>407815900</v>
      </c>
    </row>
    <row r="1388" spans="1:9" x14ac:dyDescent="0.35">
      <c r="A1388" t="str">
        <f>"29261"</f>
        <v>29261</v>
      </c>
      <c r="B1388" t="s">
        <v>36</v>
      </c>
      <c r="C1388" t="s">
        <v>639</v>
      </c>
      <c r="D1388" s="5" t="str">
        <f>"009"</f>
        <v>009</v>
      </c>
      <c r="E1388" s="5">
        <v>1991</v>
      </c>
      <c r="F1388" s="3">
        <v>8300</v>
      </c>
      <c r="G1388" s="3">
        <v>665000</v>
      </c>
      <c r="H1388" s="3">
        <v>656700</v>
      </c>
    </row>
    <row r="1389" spans="1:9" x14ac:dyDescent="0.35">
      <c r="A1389" t="str">
        <f>"29261"</f>
        <v>29261</v>
      </c>
      <c r="B1389" t="s">
        <v>36</v>
      </c>
      <c r="C1389" t="s">
        <v>639</v>
      </c>
      <c r="D1389" s="5" t="str">
        <f>"010"</f>
        <v>010</v>
      </c>
      <c r="E1389" s="5">
        <v>1991</v>
      </c>
      <c r="F1389" s="3">
        <v>9900</v>
      </c>
      <c r="G1389" s="3">
        <v>433000</v>
      </c>
      <c r="H1389" s="3">
        <v>423100</v>
      </c>
    </row>
    <row r="1390" spans="1:9" x14ac:dyDescent="0.35">
      <c r="A1390" t="str">
        <f>"29261"</f>
        <v>29261</v>
      </c>
      <c r="B1390" t="s">
        <v>36</v>
      </c>
      <c r="C1390" t="s">
        <v>639</v>
      </c>
      <c r="D1390" s="5" t="str">
        <f>"012"</f>
        <v>012</v>
      </c>
      <c r="E1390" s="5">
        <v>2010</v>
      </c>
      <c r="F1390" s="3">
        <v>1140800</v>
      </c>
      <c r="G1390" s="3">
        <v>6513900</v>
      </c>
      <c r="H1390" s="3">
        <v>5373100</v>
      </c>
    </row>
    <row r="1391" spans="1:9" x14ac:dyDescent="0.35">
      <c r="A1391" t="str">
        <f>"29261"</f>
        <v>29261</v>
      </c>
      <c r="B1391" t="s">
        <v>36</v>
      </c>
      <c r="C1391" t="s">
        <v>639</v>
      </c>
      <c r="D1391" s="5" t="str">
        <f>"013"</f>
        <v>013</v>
      </c>
      <c r="E1391" s="5">
        <v>2010</v>
      </c>
      <c r="F1391" s="3">
        <v>157200</v>
      </c>
      <c r="G1391" s="3">
        <v>302200</v>
      </c>
      <c r="H1391" s="3">
        <v>145000</v>
      </c>
    </row>
    <row r="1392" spans="1:9" x14ac:dyDescent="0.35">
      <c r="A1392" t="str">
        <f>"29261"</f>
        <v>29261</v>
      </c>
      <c r="B1392" t="s">
        <v>36</v>
      </c>
      <c r="C1392" t="s">
        <v>639</v>
      </c>
      <c r="D1392" s="5" t="s">
        <v>11</v>
      </c>
      <c r="E1392" s="5" t="s">
        <v>12</v>
      </c>
      <c r="F1392" s="3" t="s">
        <v>13</v>
      </c>
      <c r="G1392" s="3" t="s">
        <v>13</v>
      </c>
      <c r="H1392" s="3" t="s">
        <v>13</v>
      </c>
      <c r="I1392" s="3">
        <v>175533500</v>
      </c>
    </row>
    <row r="1393" spans="1:9" x14ac:dyDescent="0.35">
      <c r="A1393" t="str">
        <f>"29291"</f>
        <v>29291</v>
      </c>
      <c r="B1393" t="s">
        <v>36</v>
      </c>
      <c r="C1393" t="s">
        <v>37</v>
      </c>
      <c r="D1393" s="5" t="str">
        <f>"004"</f>
        <v>004</v>
      </c>
      <c r="E1393" s="5">
        <v>2006</v>
      </c>
      <c r="F1393" s="3">
        <v>549700</v>
      </c>
      <c r="G1393" s="3">
        <v>578700</v>
      </c>
      <c r="H1393" s="3">
        <v>29000</v>
      </c>
    </row>
    <row r="1394" spans="1:9" x14ac:dyDescent="0.35">
      <c r="A1394" t="str">
        <f>"29291"</f>
        <v>29291</v>
      </c>
      <c r="B1394" t="s">
        <v>36</v>
      </c>
      <c r="C1394" t="s">
        <v>37</v>
      </c>
      <c r="D1394" s="5" t="s">
        <v>11</v>
      </c>
      <c r="E1394" s="5" t="s">
        <v>12</v>
      </c>
      <c r="F1394" s="3" t="s">
        <v>13</v>
      </c>
      <c r="G1394" s="3" t="s">
        <v>13</v>
      </c>
      <c r="H1394" s="3" t="s">
        <v>13</v>
      </c>
      <c r="I1394" s="3">
        <v>701600</v>
      </c>
    </row>
    <row r="1395" spans="1:9" x14ac:dyDescent="0.35">
      <c r="A1395" t="s">
        <v>30</v>
      </c>
      <c r="B1395" t="s">
        <v>38</v>
      </c>
      <c r="C1395" t="s">
        <v>32</v>
      </c>
      <c r="D1395" s="5" t="s">
        <v>11</v>
      </c>
      <c r="E1395" s="5" t="s">
        <v>12</v>
      </c>
      <c r="F1395" s="3" t="s">
        <v>13</v>
      </c>
      <c r="G1395" s="3" t="s">
        <v>13</v>
      </c>
      <c r="H1395" s="3" t="s">
        <v>13</v>
      </c>
      <c r="I1395" s="3">
        <v>683497000</v>
      </c>
    </row>
    <row r="1396" spans="1:9" x14ac:dyDescent="0.35">
      <c r="A1396" t="s">
        <v>30</v>
      </c>
      <c r="B1396" t="s">
        <v>39</v>
      </c>
      <c r="C1396" t="s">
        <v>376</v>
      </c>
      <c r="D1396" s="5" t="s">
        <v>11</v>
      </c>
      <c r="E1396" s="5" t="s">
        <v>12</v>
      </c>
      <c r="F1396" s="3" t="s">
        <v>13</v>
      </c>
      <c r="G1396" s="3" t="s">
        <v>13</v>
      </c>
      <c r="H1396" s="3" t="s">
        <v>13</v>
      </c>
      <c r="I1396" s="3">
        <v>4788498000</v>
      </c>
    </row>
    <row r="1397" spans="1:9" x14ac:dyDescent="0.35">
      <c r="A1397" t="str">
        <f>"30002"</f>
        <v>30002</v>
      </c>
      <c r="B1397" t="s">
        <v>9</v>
      </c>
      <c r="C1397" t="s">
        <v>640</v>
      </c>
      <c r="D1397" s="5" t="s">
        <v>11</v>
      </c>
      <c r="E1397" s="5" t="s">
        <v>12</v>
      </c>
      <c r="F1397" s="3" t="s">
        <v>13</v>
      </c>
      <c r="G1397" s="3" t="s">
        <v>13</v>
      </c>
      <c r="H1397" s="3" t="s">
        <v>13</v>
      </c>
      <c r="I1397" s="3">
        <v>364835900</v>
      </c>
    </row>
    <row r="1398" spans="1:9" x14ac:dyDescent="0.35">
      <c r="A1398" t="str">
        <f>"30006"</f>
        <v>30006</v>
      </c>
      <c r="B1398" t="s">
        <v>9</v>
      </c>
      <c r="C1398" t="s">
        <v>512</v>
      </c>
      <c r="D1398" s="5" t="s">
        <v>11</v>
      </c>
      <c r="E1398" s="5" t="s">
        <v>12</v>
      </c>
      <c r="F1398" s="3" t="s">
        <v>13</v>
      </c>
      <c r="G1398" s="3" t="s">
        <v>13</v>
      </c>
      <c r="H1398" s="3" t="s">
        <v>13</v>
      </c>
      <c r="I1398" s="3">
        <v>405919500</v>
      </c>
    </row>
    <row r="1399" spans="1:9" x14ac:dyDescent="0.35">
      <c r="A1399" t="str">
        <f>"30010"</f>
        <v>30010</v>
      </c>
      <c r="B1399" t="s">
        <v>9</v>
      </c>
      <c r="C1399" t="s">
        <v>641</v>
      </c>
      <c r="D1399" s="5" t="s">
        <v>11</v>
      </c>
      <c r="E1399" s="5" t="s">
        <v>12</v>
      </c>
      <c r="F1399" s="3" t="s">
        <v>13</v>
      </c>
      <c r="G1399" s="3" t="s">
        <v>13</v>
      </c>
      <c r="H1399" s="3" t="s">
        <v>13</v>
      </c>
      <c r="I1399" s="3">
        <v>1018595300</v>
      </c>
    </row>
    <row r="1400" spans="1:9" x14ac:dyDescent="0.35">
      <c r="A1400" t="str">
        <f>"30014"</f>
        <v>30014</v>
      </c>
      <c r="B1400" t="s">
        <v>9</v>
      </c>
      <c r="C1400" t="s">
        <v>642</v>
      </c>
      <c r="D1400" s="5" t="s">
        <v>11</v>
      </c>
      <c r="E1400" s="5" t="s">
        <v>12</v>
      </c>
      <c r="F1400" s="3" t="s">
        <v>13</v>
      </c>
      <c r="G1400" s="3" t="s">
        <v>13</v>
      </c>
      <c r="H1400" s="3" t="s">
        <v>13</v>
      </c>
      <c r="I1400" s="3">
        <v>137344800</v>
      </c>
    </row>
    <row r="1401" spans="1:9" x14ac:dyDescent="0.35">
      <c r="A1401" t="str">
        <f>"30016"</f>
        <v>30016</v>
      </c>
      <c r="B1401" t="s">
        <v>9</v>
      </c>
      <c r="C1401" t="s">
        <v>643</v>
      </c>
      <c r="D1401" s="5" t="s">
        <v>11</v>
      </c>
      <c r="E1401" s="5" t="s">
        <v>12</v>
      </c>
      <c r="F1401" s="3" t="s">
        <v>13</v>
      </c>
      <c r="G1401" s="3" t="s">
        <v>13</v>
      </c>
      <c r="H1401" s="3" t="s">
        <v>13</v>
      </c>
      <c r="I1401" s="3">
        <v>682114900</v>
      </c>
    </row>
    <row r="1402" spans="1:9" x14ac:dyDescent="0.35">
      <c r="A1402" t="s">
        <v>30</v>
      </c>
      <c r="B1402" t="s">
        <v>31</v>
      </c>
      <c r="C1402" t="s">
        <v>32</v>
      </c>
      <c r="D1402" s="5" t="s">
        <v>11</v>
      </c>
      <c r="E1402" s="5" t="s">
        <v>12</v>
      </c>
      <c r="F1402" s="3" t="s">
        <v>13</v>
      </c>
      <c r="G1402" s="3" t="s">
        <v>13</v>
      </c>
      <c r="H1402" s="3" t="s">
        <v>13</v>
      </c>
      <c r="I1402" s="3">
        <v>2608810400</v>
      </c>
    </row>
    <row r="1403" spans="1:9" x14ac:dyDescent="0.35">
      <c r="A1403" t="str">
        <f>"30104"</f>
        <v>30104</v>
      </c>
      <c r="B1403" t="s">
        <v>33</v>
      </c>
      <c r="C1403" t="s">
        <v>305</v>
      </c>
      <c r="D1403" s="5" t="str">
        <f>"001"</f>
        <v>001</v>
      </c>
      <c r="E1403" s="5">
        <v>2019</v>
      </c>
      <c r="F1403" s="3">
        <v>5134800</v>
      </c>
      <c r="G1403" s="3">
        <v>223063600</v>
      </c>
      <c r="H1403" s="3">
        <v>217928800</v>
      </c>
    </row>
    <row r="1404" spans="1:9" x14ac:dyDescent="0.35">
      <c r="A1404" t="str">
        <f>"30104"</f>
        <v>30104</v>
      </c>
      <c r="B1404" t="s">
        <v>33</v>
      </c>
      <c r="C1404" t="s">
        <v>305</v>
      </c>
      <c r="D1404" s="5" t="str">
        <f>"002"</f>
        <v>002</v>
      </c>
      <c r="E1404" s="5">
        <v>2019</v>
      </c>
      <c r="F1404" s="3">
        <v>416400</v>
      </c>
      <c r="G1404" s="3">
        <v>168225100</v>
      </c>
      <c r="H1404" s="3">
        <v>167808700</v>
      </c>
    </row>
    <row r="1405" spans="1:9" x14ac:dyDescent="0.35">
      <c r="A1405" t="str">
        <f>"30104"</f>
        <v>30104</v>
      </c>
      <c r="B1405" t="s">
        <v>33</v>
      </c>
      <c r="C1405" t="s">
        <v>305</v>
      </c>
      <c r="D1405" s="5" t="str">
        <f>"003"</f>
        <v>003</v>
      </c>
      <c r="E1405" s="5">
        <v>2022</v>
      </c>
      <c r="F1405" s="3">
        <v>311100</v>
      </c>
      <c r="G1405" s="3">
        <v>176900</v>
      </c>
      <c r="H1405" s="3">
        <v>0</v>
      </c>
    </row>
    <row r="1406" spans="1:9" x14ac:dyDescent="0.35">
      <c r="A1406" t="str">
        <f>"30104"</f>
        <v>30104</v>
      </c>
      <c r="B1406" t="s">
        <v>33</v>
      </c>
      <c r="C1406" t="s">
        <v>305</v>
      </c>
      <c r="D1406" s="5" t="s">
        <v>11</v>
      </c>
      <c r="E1406" s="5" t="s">
        <v>12</v>
      </c>
      <c r="F1406" s="3" t="s">
        <v>13</v>
      </c>
      <c r="G1406" s="3" t="s">
        <v>13</v>
      </c>
      <c r="H1406" s="3" t="s">
        <v>13</v>
      </c>
      <c r="I1406" s="3">
        <v>1193410000</v>
      </c>
    </row>
    <row r="1407" spans="1:9" x14ac:dyDescent="0.35">
      <c r="A1407" t="str">
        <f>"30131"</f>
        <v>30131</v>
      </c>
      <c r="B1407" t="s">
        <v>33</v>
      </c>
      <c r="C1407" t="s">
        <v>644</v>
      </c>
      <c r="D1407" s="5" t="s">
        <v>11</v>
      </c>
      <c r="E1407" s="5" t="s">
        <v>12</v>
      </c>
      <c r="F1407" s="3" t="s">
        <v>13</v>
      </c>
      <c r="G1407" s="3" t="s">
        <v>13</v>
      </c>
      <c r="H1407" s="3" t="s">
        <v>13</v>
      </c>
      <c r="I1407" s="3">
        <v>540100</v>
      </c>
    </row>
    <row r="1408" spans="1:9" x14ac:dyDescent="0.35">
      <c r="A1408" t="str">
        <f>"30171"</f>
        <v>30171</v>
      </c>
      <c r="B1408" t="s">
        <v>33</v>
      </c>
      <c r="C1408" t="s">
        <v>645</v>
      </c>
      <c r="D1408" s="5" t="str">
        <f>"001"</f>
        <v>001</v>
      </c>
      <c r="E1408" s="5">
        <v>2012</v>
      </c>
      <c r="F1408" s="3">
        <v>14133700</v>
      </c>
      <c r="G1408" s="3">
        <v>17458200</v>
      </c>
      <c r="H1408" s="3">
        <v>3324500</v>
      </c>
    </row>
    <row r="1409" spans="1:9" x14ac:dyDescent="0.35">
      <c r="A1409" t="str">
        <f>"30171"</f>
        <v>30171</v>
      </c>
      <c r="B1409" t="s">
        <v>33</v>
      </c>
      <c r="C1409" t="s">
        <v>645</v>
      </c>
      <c r="D1409" s="5" t="str">
        <f>"002"</f>
        <v>002</v>
      </c>
      <c r="E1409" s="5">
        <v>2017</v>
      </c>
      <c r="F1409" s="3">
        <v>15217800</v>
      </c>
      <c r="G1409" s="3">
        <v>73272700</v>
      </c>
      <c r="H1409" s="3">
        <v>58054900</v>
      </c>
    </row>
    <row r="1410" spans="1:9" x14ac:dyDescent="0.35">
      <c r="A1410" t="str">
        <f>"30171"</f>
        <v>30171</v>
      </c>
      <c r="B1410" t="s">
        <v>33</v>
      </c>
      <c r="C1410" t="s">
        <v>645</v>
      </c>
      <c r="D1410" s="5" t="s">
        <v>11</v>
      </c>
      <c r="E1410" s="5" t="s">
        <v>12</v>
      </c>
      <c r="F1410" s="3" t="s">
        <v>13</v>
      </c>
      <c r="G1410" s="3" t="s">
        <v>13</v>
      </c>
      <c r="H1410" s="3" t="s">
        <v>13</v>
      </c>
      <c r="I1410" s="3">
        <v>480290000</v>
      </c>
    </row>
    <row r="1411" spans="1:9" x14ac:dyDescent="0.35">
      <c r="A1411" t="str">
        <f t="shared" ref="A1411:A1419" si="31">"30174"</f>
        <v>30174</v>
      </c>
      <c r="B1411" t="s">
        <v>33</v>
      </c>
      <c r="C1411" t="s">
        <v>646</v>
      </c>
      <c r="D1411" s="5" t="str">
        <f>"004"</f>
        <v>004</v>
      </c>
      <c r="E1411" s="5">
        <v>2007</v>
      </c>
      <c r="F1411" s="3">
        <v>166100</v>
      </c>
      <c r="G1411" s="3">
        <v>4973600</v>
      </c>
      <c r="H1411" s="3">
        <v>4807500</v>
      </c>
    </row>
    <row r="1412" spans="1:9" x14ac:dyDescent="0.35">
      <c r="A1412" t="str">
        <f t="shared" si="31"/>
        <v>30174</v>
      </c>
      <c r="B1412" t="s">
        <v>33</v>
      </c>
      <c r="C1412" t="s">
        <v>646</v>
      </c>
      <c r="D1412" s="5" t="str">
        <f>"005"</f>
        <v>005</v>
      </c>
      <c r="E1412" s="5">
        <v>2017</v>
      </c>
      <c r="F1412" s="3">
        <v>25069900</v>
      </c>
      <c r="G1412" s="3">
        <v>385506100</v>
      </c>
      <c r="H1412" s="3">
        <v>360436200</v>
      </c>
    </row>
    <row r="1413" spans="1:9" x14ac:dyDescent="0.35">
      <c r="A1413" t="str">
        <f t="shared" si="31"/>
        <v>30174</v>
      </c>
      <c r="B1413" t="s">
        <v>33</v>
      </c>
      <c r="C1413" t="s">
        <v>646</v>
      </c>
      <c r="D1413" s="5" t="str">
        <f>"006"</f>
        <v>006</v>
      </c>
      <c r="E1413" s="5">
        <v>2018</v>
      </c>
      <c r="F1413" s="3">
        <v>88900</v>
      </c>
      <c r="G1413" s="3">
        <v>21868100</v>
      </c>
      <c r="H1413" s="3">
        <v>21779200</v>
      </c>
    </row>
    <row r="1414" spans="1:9" x14ac:dyDescent="0.35">
      <c r="A1414" t="str">
        <f t="shared" si="31"/>
        <v>30174</v>
      </c>
      <c r="B1414" t="s">
        <v>33</v>
      </c>
      <c r="C1414" t="s">
        <v>646</v>
      </c>
      <c r="D1414" s="5" t="str">
        <f>"007"</f>
        <v>007</v>
      </c>
      <c r="E1414" s="5">
        <v>2018</v>
      </c>
      <c r="F1414" s="3">
        <v>241800</v>
      </c>
      <c r="G1414" s="3">
        <v>55440500</v>
      </c>
      <c r="H1414" s="3">
        <v>55198700</v>
      </c>
    </row>
    <row r="1415" spans="1:9" x14ac:dyDescent="0.35">
      <c r="A1415" t="str">
        <f t="shared" si="31"/>
        <v>30174</v>
      </c>
      <c r="B1415" t="s">
        <v>33</v>
      </c>
      <c r="C1415" t="s">
        <v>646</v>
      </c>
      <c r="D1415" s="5" t="str">
        <f>"008"</f>
        <v>008</v>
      </c>
      <c r="E1415" s="5">
        <v>2021</v>
      </c>
      <c r="F1415" s="3">
        <v>12288700</v>
      </c>
      <c r="G1415" s="3">
        <v>98004800</v>
      </c>
      <c r="H1415" s="3">
        <v>85716100</v>
      </c>
    </row>
    <row r="1416" spans="1:9" x14ac:dyDescent="0.35">
      <c r="A1416" t="str">
        <f t="shared" si="31"/>
        <v>30174</v>
      </c>
      <c r="B1416" t="s">
        <v>33</v>
      </c>
      <c r="C1416" t="s">
        <v>646</v>
      </c>
      <c r="D1416" s="5" t="str">
        <f>"010"</f>
        <v>010</v>
      </c>
      <c r="E1416" s="5">
        <v>2023</v>
      </c>
      <c r="F1416" s="3">
        <v>100239900</v>
      </c>
      <c r="G1416" s="3">
        <v>247064300</v>
      </c>
      <c r="H1416" s="3">
        <v>146824400</v>
      </c>
    </row>
    <row r="1417" spans="1:9" x14ac:dyDescent="0.35">
      <c r="A1417" t="str">
        <f t="shared" si="31"/>
        <v>30174</v>
      </c>
      <c r="B1417" t="s">
        <v>33</v>
      </c>
      <c r="C1417" t="s">
        <v>646</v>
      </c>
      <c r="D1417" s="5" t="str">
        <f>"011"</f>
        <v>011</v>
      </c>
      <c r="E1417" s="5">
        <v>2024</v>
      </c>
      <c r="F1417" s="3">
        <v>496358400</v>
      </c>
      <c r="G1417" s="3">
        <v>611392400</v>
      </c>
      <c r="H1417" s="3">
        <v>115034000</v>
      </c>
    </row>
    <row r="1418" spans="1:9" x14ac:dyDescent="0.35">
      <c r="A1418" t="str">
        <f t="shared" si="31"/>
        <v>30174</v>
      </c>
      <c r="B1418" t="s">
        <v>33</v>
      </c>
      <c r="C1418" t="s">
        <v>646</v>
      </c>
      <c r="D1418" s="5" t="str">
        <f>"012"</f>
        <v>012</v>
      </c>
      <c r="E1418" s="5">
        <v>2024</v>
      </c>
      <c r="F1418" s="3">
        <v>103825000</v>
      </c>
      <c r="G1418" s="3">
        <v>112891100</v>
      </c>
      <c r="H1418" s="3">
        <v>9066100</v>
      </c>
    </row>
    <row r="1419" spans="1:9" x14ac:dyDescent="0.35">
      <c r="A1419" t="str">
        <f t="shared" si="31"/>
        <v>30174</v>
      </c>
      <c r="B1419" t="s">
        <v>33</v>
      </c>
      <c r="C1419" t="s">
        <v>646</v>
      </c>
      <c r="D1419" s="5" t="s">
        <v>11</v>
      </c>
      <c r="E1419" s="5" t="s">
        <v>12</v>
      </c>
      <c r="F1419" s="3" t="s">
        <v>13</v>
      </c>
      <c r="G1419" s="3" t="s">
        <v>13</v>
      </c>
      <c r="H1419" s="3" t="s">
        <v>13</v>
      </c>
      <c r="I1419" s="3">
        <v>5966016000</v>
      </c>
    </row>
    <row r="1420" spans="1:9" x14ac:dyDescent="0.35">
      <c r="A1420" t="str">
        <f>"30179"</f>
        <v>30179</v>
      </c>
      <c r="B1420" t="s">
        <v>33</v>
      </c>
      <c r="C1420" t="s">
        <v>647</v>
      </c>
      <c r="D1420" s="5" t="str">
        <f>"001"</f>
        <v>001</v>
      </c>
      <c r="E1420" s="5">
        <v>2015</v>
      </c>
      <c r="F1420" s="3">
        <v>29500</v>
      </c>
      <c r="G1420" s="3">
        <v>37741700</v>
      </c>
      <c r="H1420" s="3">
        <v>37712200</v>
      </c>
    </row>
    <row r="1421" spans="1:9" x14ac:dyDescent="0.35">
      <c r="A1421" t="str">
        <f>"30179"</f>
        <v>30179</v>
      </c>
      <c r="B1421" t="s">
        <v>33</v>
      </c>
      <c r="C1421" t="s">
        <v>647</v>
      </c>
      <c r="D1421" s="5" t="s">
        <v>11</v>
      </c>
      <c r="E1421" s="5" t="s">
        <v>12</v>
      </c>
      <c r="F1421" s="3" t="s">
        <v>13</v>
      </c>
      <c r="G1421" s="3" t="s">
        <v>13</v>
      </c>
      <c r="H1421" s="3" t="s">
        <v>13</v>
      </c>
      <c r="I1421" s="3">
        <v>2538625600</v>
      </c>
    </row>
    <row r="1422" spans="1:9" x14ac:dyDescent="0.35">
      <c r="A1422" t="str">
        <f t="shared" ref="A1422:A1432" si="32">"30182"</f>
        <v>30182</v>
      </c>
      <c r="B1422" t="s">
        <v>33</v>
      </c>
      <c r="C1422" t="s">
        <v>642</v>
      </c>
      <c r="D1422" s="5" t="str">
        <f>"001"</f>
        <v>001</v>
      </c>
      <c r="E1422" s="5">
        <v>2015</v>
      </c>
      <c r="F1422" s="3">
        <v>476300</v>
      </c>
      <c r="G1422" s="3">
        <v>113657600</v>
      </c>
      <c r="H1422" s="3">
        <v>113181300</v>
      </c>
    </row>
    <row r="1423" spans="1:9" x14ac:dyDescent="0.35">
      <c r="A1423" t="str">
        <f t="shared" si="32"/>
        <v>30182</v>
      </c>
      <c r="B1423" t="s">
        <v>33</v>
      </c>
      <c r="C1423" t="s">
        <v>642</v>
      </c>
      <c r="D1423" s="5" t="str">
        <f>"002"</f>
        <v>002</v>
      </c>
      <c r="E1423" s="5">
        <v>2015</v>
      </c>
      <c r="F1423" s="3">
        <v>5810800</v>
      </c>
      <c r="G1423" s="3">
        <v>132378900</v>
      </c>
      <c r="H1423" s="3">
        <v>126568100</v>
      </c>
    </row>
    <row r="1424" spans="1:9" x14ac:dyDescent="0.35">
      <c r="A1424" t="str">
        <f t="shared" si="32"/>
        <v>30182</v>
      </c>
      <c r="B1424" t="s">
        <v>33</v>
      </c>
      <c r="C1424" t="s">
        <v>642</v>
      </c>
      <c r="D1424" s="5" t="str">
        <f>"003"</f>
        <v>003</v>
      </c>
      <c r="E1424" s="5">
        <v>2018</v>
      </c>
      <c r="F1424" s="3">
        <v>1779800</v>
      </c>
      <c r="G1424" s="3">
        <v>130107800</v>
      </c>
      <c r="H1424" s="3">
        <v>128328000</v>
      </c>
    </row>
    <row r="1425" spans="1:9" x14ac:dyDescent="0.35">
      <c r="A1425" t="str">
        <f t="shared" si="32"/>
        <v>30182</v>
      </c>
      <c r="B1425" t="s">
        <v>33</v>
      </c>
      <c r="C1425" t="s">
        <v>642</v>
      </c>
      <c r="D1425" s="5" t="str">
        <f>"004"</f>
        <v>004</v>
      </c>
      <c r="E1425" s="5">
        <v>2018</v>
      </c>
      <c r="F1425" s="3">
        <v>1767500</v>
      </c>
      <c r="G1425" s="3">
        <v>53819300</v>
      </c>
      <c r="H1425" s="3">
        <v>52051800</v>
      </c>
    </row>
    <row r="1426" spans="1:9" x14ac:dyDescent="0.35">
      <c r="A1426" t="str">
        <f t="shared" si="32"/>
        <v>30182</v>
      </c>
      <c r="B1426" t="s">
        <v>33</v>
      </c>
      <c r="C1426" t="s">
        <v>642</v>
      </c>
      <c r="D1426" s="5" t="str">
        <f>"005"</f>
        <v>005</v>
      </c>
      <c r="E1426" s="5">
        <v>2018</v>
      </c>
      <c r="F1426" s="3">
        <v>1148400</v>
      </c>
      <c r="G1426" s="3">
        <v>26905200</v>
      </c>
      <c r="H1426" s="3">
        <v>25756800</v>
      </c>
    </row>
    <row r="1427" spans="1:9" x14ac:dyDescent="0.35">
      <c r="A1427" t="str">
        <f t="shared" si="32"/>
        <v>30182</v>
      </c>
      <c r="B1427" t="s">
        <v>33</v>
      </c>
      <c r="C1427" t="s">
        <v>642</v>
      </c>
      <c r="D1427" s="5" t="str">
        <f>"006"</f>
        <v>006</v>
      </c>
      <c r="E1427" s="5">
        <v>2018</v>
      </c>
      <c r="F1427" s="3">
        <v>2894000</v>
      </c>
      <c r="G1427" s="3">
        <v>19355200</v>
      </c>
      <c r="H1427" s="3">
        <v>16461200</v>
      </c>
    </row>
    <row r="1428" spans="1:9" x14ac:dyDescent="0.35">
      <c r="A1428" t="str">
        <f t="shared" si="32"/>
        <v>30182</v>
      </c>
      <c r="B1428" t="s">
        <v>33</v>
      </c>
      <c r="C1428" t="s">
        <v>642</v>
      </c>
      <c r="D1428" s="5" t="str">
        <f>"007"</f>
        <v>007</v>
      </c>
      <c r="E1428" s="5">
        <v>2018</v>
      </c>
      <c r="F1428" s="3">
        <v>8364800</v>
      </c>
      <c r="G1428" s="3">
        <v>14690500</v>
      </c>
      <c r="H1428" s="3">
        <v>6325700</v>
      </c>
    </row>
    <row r="1429" spans="1:9" x14ac:dyDescent="0.35">
      <c r="A1429" t="str">
        <f t="shared" si="32"/>
        <v>30182</v>
      </c>
      <c r="B1429" t="s">
        <v>33</v>
      </c>
      <c r="C1429" t="s">
        <v>642</v>
      </c>
      <c r="D1429" s="5" t="str">
        <f>"008"</f>
        <v>008</v>
      </c>
      <c r="E1429" s="5">
        <v>2018</v>
      </c>
      <c r="F1429" s="3">
        <v>362100</v>
      </c>
      <c r="G1429" s="3">
        <v>4397700</v>
      </c>
      <c r="H1429" s="3">
        <v>4035600</v>
      </c>
    </row>
    <row r="1430" spans="1:9" x14ac:dyDescent="0.35">
      <c r="A1430" t="str">
        <f t="shared" si="32"/>
        <v>30182</v>
      </c>
      <c r="B1430" t="s">
        <v>33</v>
      </c>
      <c r="C1430" t="s">
        <v>642</v>
      </c>
      <c r="D1430" s="5" t="str">
        <f>"009"</f>
        <v>009</v>
      </c>
      <c r="E1430" s="5">
        <v>2018</v>
      </c>
      <c r="F1430" s="3">
        <v>2081700</v>
      </c>
      <c r="G1430" s="3">
        <v>3611100</v>
      </c>
      <c r="H1430" s="3">
        <v>1529400</v>
      </c>
    </row>
    <row r="1431" spans="1:9" x14ac:dyDescent="0.35">
      <c r="A1431" t="str">
        <f t="shared" si="32"/>
        <v>30182</v>
      </c>
      <c r="B1431" t="s">
        <v>33</v>
      </c>
      <c r="C1431" t="s">
        <v>642</v>
      </c>
      <c r="D1431" s="5" t="str">
        <f>"011"</f>
        <v>011</v>
      </c>
      <c r="E1431" s="5">
        <v>2018</v>
      </c>
      <c r="F1431" s="3">
        <v>195100</v>
      </c>
      <c r="G1431" s="3">
        <v>344700</v>
      </c>
      <c r="H1431" s="3">
        <v>149600</v>
      </c>
    </row>
    <row r="1432" spans="1:9" x14ac:dyDescent="0.35">
      <c r="A1432" t="str">
        <f t="shared" si="32"/>
        <v>30182</v>
      </c>
      <c r="B1432" t="s">
        <v>33</v>
      </c>
      <c r="C1432" t="s">
        <v>642</v>
      </c>
      <c r="D1432" s="5" t="s">
        <v>11</v>
      </c>
      <c r="E1432" s="5" t="s">
        <v>12</v>
      </c>
      <c r="F1432" s="3" t="s">
        <v>13</v>
      </c>
      <c r="G1432" s="3" t="s">
        <v>13</v>
      </c>
      <c r="H1432" s="3" t="s">
        <v>13</v>
      </c>
      <c r="I1432" s="3">
        <v>1422870500</v>
      </c>
    </row>
    <row r="1433" spans="1:9" x14ac:dyDescent="0.35">
      <c r="A1433" t="str">
        <f>"30186"</f>
        <v>30186</v>
      </c>
      <c r="B1433" t="s">
        <v>33</v>
      </c>
      <c r="C1433" t="s">
        <v>648</v>
      </c>
      <c r="D1433" s="5" t="str">
        <f>"001"</f>
        <v>001</v>
      </c>
      <c r="E1433" s="5">
        <v>2007</v>
      </c>
      <c r="F1433" s="3">
        <v>44044400</v>
      </c>
      <c r="G1433" s="3">
        <v>81593500</v>
      </c>
      <c r="H1433" s="3">
        <v>37549100</v>
      </c>
    </row>
    <row r="1434" spans="1:9" x14ac:dyDescent="0.35">
      <c r="A1434" t="str">
        <f>"30186"</f>
        <v>30186</v>
      </c>
      <c r="B1434" t="s">
        <v>33</v>
      </c>
      <c r="C1434" t="s">
        <v>648</v>
      </c>
      <c r="D1434" s="5" t="s">
        <v>11</v>
      </c>
      <c r="E1434" s="5" t="s">
        <v>12</v>
      </c>
      <c r="F1434" s="3" t="s">
        <v>13</v>
      </c>
      <c r="G1434" s="3" t="s">
        <v>13</v>
      </c>
      <c r="H1434" s="3" t="s">
        <v>13</v>
      </c>
      <c r="I1434" s="3">
        <v>1732596400</v>
      </c>
    </row>
    <row r="1435" spans="1:9" x14ac:dyDescent="0.35">
      <c r="A1435" t="s">
        <v>30</v>
      </c>
      <c r="B1435" t="s">
        <v>35</v>
      </c>
      <c r="C1435" t="s">
        <v>32</v>
      </c>
      <c r="D1435" s="5" t="s">
        <v>11</v>
      </c>
      <c r="E1435" s="5" t="s">
        <v>12</v>
      </c>
      <c r="F1435" s="3" t="s">
        <v>13</v>
      </c>
      <c r="G1435" s="3" t="s">
        <v>13</v>
      </c>
      <c r="H1435" s="3" t="s">
        <v>13</v>
      </c>
      <c r="I1435" s="3">
        <v>13334348600</v>
      </c>
    </row>
    <row r="1436" spans="1:9" x14ac:dyDescent="0.35">
      <c r="A1436" t="str">
        <f t="shared" ref="A1436:A1465" si="33">"30241"</f>
        <v>30241</v>
      </c>
      <c r="B1436" t="s">
        <v>36</v>
      </c>
      <c r="C1436" t="s">
        <v>649</v>
      </c>
      <c r="D1436" s="5" t="str">
        <f>"004"</f>
        <v>004</v>
      </c>
      <c r="E1436" s="5">
        <v>1989</v>
      </c>
      <c r="F1436" s="3">
        <v>15566200</v>
      </c>
      <c r="G1436" s="3">
        <v>177138200</v>
      </c>
      <c r="H1436" s="3">
        <v>161572000</v>
      </c>
    </row>
    <row r="1437" spans="1:9" x14ac:dyDescent="0.35">
      <c r="A1437" t="str">
        <f t="shared" si="33"/>
        <v>30241</v>
      </c>
      <c r="B1437" t="s">
        <v>36</v>
      </c>
      <c r="C1437" t="s">
        <v>649</v>
      </c>
      <c r="D1437" s="5" t="str">
        <f>"005"</f>
        <v>005</v>
      </c>
      <c r="E1437" s="5">
        <v>1994</v>
      </c>
      <c r="F1437" s="3">
        <v>319700</v>
      </c>
      <c r="G1437" s="3">
        <v>172889500</v>
      </c>
      <c r="H1437" s="3">
        <v>172569800</v>
      </c>
    </row>
    <row r="1438" spans="1:9" x14ac:dyDescent="0.35">
      <c r="A1438" t="str">
        <f t="shared" si="33"/>
        <v>30241</v>
      </c>
      <c r="B1438" t="s">
        <v>36</v>
      </c>
      <c r="C1438" t="s">
        <v>649</v>
      </c>
      <c r="D1438" s="5" t="str">
        <f>"007"</f>
        <v>007</v>
      </c>
      <c r="E1438" s="5">
        <v>2002</v>
      </c>
      <c r="F1438" s="3">
        <v>1178600</v>
      </c>
      <c r="G1438" s="3">
        <v>15808700</v>
      </c>
      <c r="H1438" s="3">
        <v>14630100</v>
      </c>
    </row>
    <row r="1439" spans="1:9" x14ac:dyDescent="0.35">
      <c r="A1439" t="str">
        <f t="shared" si="33"/>
        <v>30241</v>
      </c>
      <c r="B1439" t="s">
        <v>36</v>
      </c>
      <c r="C1439" t="s">
        <v>649</v>
      </c>
      <c r="D1439" s="5" t="str">
        <f>"008"</f>
        <v>008</v>
      </c>
      <c r="E1439" s="5">
        <v>2002</v>
      </c>
      <c r="F1439" s="3">
        <v>245900</v>
      </c>
      <c r="G1439" s="3">
        <v>129964200</v>
      </c>
      <c r="H1439" s="3">
        <v>129718300</v>
      </c>
    </row>
    <row r="1440" spans="1:9" x14ac:dyDescent="0.35">
      <c r="A1440" t="str">
        <f t="shared" si="33"/>
        <v>30241</v>
      </c>
      <c r="B1440" t="s">
        <v>36</v>
      </c>
      <c r="C1440" t="s">
        <v>649</v>
      </c>
      <c r="D1440" s="5" t="str">
        <f>"009"</f>
        <v>009</v>
      </c>
      <c r="E1440" s="5">
        <v>2003</v>
      </c>
      <c r="F1440" s="3">
        <v>23996200</v>
      </c>
      <c r="G1440" s="3">
        <v>61801900</v>
      </c>
      <c r="H1440" s="3">
        <v>37805700</v>
      </c>
    </row>
    <row r="1441" spans="1:8" x14ac:dyDescent="0.35">
      <c r="A1441" t="str">
        <f t="shared" si="33"/>
        <v>30241</v>
      </c>
      <c r="B1441" t="s">
        <v>36</v>
      </c>
      <c r="C1441" t="s">
        <v>649</v>
      </c>
      <c r="D1441" s="5" t="str">
        <f>"010"</f>
        <v>010</v>
      </c>
      <c r="E1441" s="5">
        <v>2005</v>
      </c>
      <c r="F1441" s="3">
        <v>11965000</v>
      </c>
      <c r="G1441" s="3">
        <v>75579000</v>
      </c>
      <c r="H1441" s="3">
        <v>63614000</v>
      </c>
    </row>
    <row r="1442" spans="1:8" x14ac:dyDescent="0.35">
      <c r="A1442" t="str">
        <f t="shared" si="33"/>
        <v>30241</v>
      </c>
      <c r="B1442" t="s">
        <v>36</v>
      </c>
      <c r="C1442" t="s">
        <v>649</v>
      </c>
      <c r="D1442" s="5" t="str">
        <f>"011"</f>
        <v>011</v>
      </c>
      <c r="E1442" s="5">
        <v>2006</v>
      </c>
      <c r="F1442" s="3">
        <v>2873300</v>
      </c>
      <c r="G1442" s="3">
        <v>178819000</v>
      </c>
      <c r="H1442" s="3">
        <v>175945700</v>
      </c>
    </row>
    <row r="1443" spans="1:8" x14ac:dyDescent="0.35">
      <c r="A1443" t="str">
        <f t="shared" si="33"/>
        <v>30241</v>
      </c>
      <c r="B1443" t="s">
        <v>36</v>
      </c>
      <c r="C1443" t="s">
        <v>649</v>
      </c>
      <c r="D1443" s="5" t="str">
        <f>"013"</f>
        <v>013</v>
      </c>
      <c r="E1443" s="5">
        <v>2008</v>
      </c>
      <c r="F1443" s="3">
        <v>625100</v>
      </c>
      <c r="G1443" s="3">
        <v>107159100</v>
      </c>
      <c r="H1443" s="3">
        <v>106534000</v>
      </c>
    </row>
    <row r="1444" spans="1:8" x14ac:dyDescent="0.35">
      <c r="A1444" t="str">
        <f t="shared" si="33"/>
        <v>30241</v>
      </c>
      <c r="B1444" t="s">
        <v>36</v>
      </c>
      <c r="C1444" t="s">
        <v>649</v>
      </c>
      <c r="D1444" s="5" t="str">
        <f>"015"</f>
        <v>015</v>
      </c>
      <c r="E1444" s="5">
        <v>2013</v>
      </c>
      <c r="F1444" s="3">
        <v>291500</v>
      </c>
      <c r="G1444" s="3">
        <v>3528300</v>
      </c>
      <c r="H1444" s="3">
        <v>3236800</v>
      </c>
    </row>
    <row r="1445" spans="1:8" x14ac:dyDescent="0.35">
      <c r="A1445" t="str">
        <f t="shared" si="33"/>
        <v>30241</v>
      </c>
      <c r="B1445" t="s">
        <v>36</v>
      </c>
      <c r="C1445" t="s">
        <v>649</v>
      </c>
      <c r="D1445" s="5" t="str">
        <f>"016"</f>
        <v>016</v>
      </c>
      <c r="E1445" s="5">
        <v>2013</v>
      </c>
      <c r="F1445" s="3">
        <v>1571900</v>
      </c>
      <c r="G1445" s="3">
        <v>179671400</v>
      </c>
      <c r="H1445" s="3">
        <v>178099500</v>
      </c>
    </row>
    <row r="1446" spans="1:8" x14ac:dyDescent="0.35">
      <c r="A1446" t="str">
        <f t="shared" si="33"/>
        <v>30241</v>
      </c>
      <c r="B1446" t="s">
        <v>36</v>
      </c>
      <c r="C1446" t="s">
        <v>649</v>
      </c>
      <c r="D1446" s="5" t="str">
        <f>"017"</f>
        <v>017</v>
      </c>
      <c r="E1446" s="5">
        <v>2014</v>
      </c>
      <c r="F1446" s="3">
        <v>50900</v>
      </c>
      <c r="G1446" s="3">
        <v>14209100</v>
      </c>
      <c r="H1446" s="3">
        <v>14158200</v>
      </c>
    </row>
    <row r="1447" spans="1:8" x14ac:dyDescent="0.35">
      <c r="A1447" t="str">
        <f t="shared" si="33"/>
        <v>30241</v>
      </c>
      <c r="B1447" t="s">
        <v>36</v>
      </c>
      <c r="C1447" t="s">
        <v>649</v>
      </c>
      <c r="D1447" s="5" t="str">
        <f>"018"</f>
        <v>018</v>
      </c>
      <c r="E1447" s="5">
        <v>2015</v>
      </c>
      <c r="F1447" s="3">
        <v>182300</v>
      </c>
      <c r="G1447" s="3">
        <v>12835500</v>
      </c>
      <c r="H1447" s="3">
        <v>12653200</v>
      </c>
    </row>
    <row r="1448" spans="1:8" x14ac:dyDescent="0.35">
      <c r="A1448" t="str">
        <f t="shared" si="33"/>
        <v>30241</v>
      </c>
      <c r="B1448" t="s">
        <v>36</v>
      </c>
      <c r="C1448" t="s">
        <v>649</v>
      </c>
      <c r="D1448" s="5" t="str">
        <f>"019"</f>
        <v>019</v>
      </c>
      <c r="E1448" s="5">
        <v>2017</v>
      </c>
      <c r="F1448" s="3">
        <v>398800</v>
      </c>
      <c r="G1448" s="3">
        <v>577400</v>
      </c>
      <c r="H1448" s="3">
        <v>178600</v>
      </c>
    </row>
    <row r="1449" spans="1:8" x14ac:dyDescent="0.35">
      <c r="A1449" t="str">
        <f t="shared" si="33"/>
        <v>30241</v>
      </c>
      <c r="B1449" t="s">
        <v>36</v>
      </c>
      <c r="C1449" t="s">
        <v>649</v>
      </c>
      <c r="D1449" s="5" t="str">
        <f>"021"</f>
        <v>021</v>
      </c>
      <c r="E1449" s="5">
        <v>2017</v>
      </c>
      <c r="F1449" s="3">
        <v>19400</v>
      </c>
      <c r="G1449" s="3">
        <v>76949300</v>
      </c>
      <c r="H1449" s="3">
        <v>76929900</v>
      </c>
    </row>
    <row r="1450" spans="1:8" x14ac:dyDescent="0.35">
      <c r="A1450" t="str">
        <f t="shared" si="33"/>
        <v>30241</v>
      </c>
      <c r="B1450" t="s">
        <v>36</v>
      </c>
      <c r="C1450" t="s">
        <v>649</v>
      </c>
      <c r="D1450" s="5" t="str">
        <f>"023"</f>
        <v>023</v>
      </c>
      <c r="E1450" s="5">
        <v>2018</v>
      </c>
      <c r="F1450" s="3">
        <v>0</v>
      </c>
      <c r="G1450" s="3">
        <v>0</v>
      </c>
      <c r="H1450" s="3">
        <v>0</v>
      </c>
    </row>
    <row r="1451" spans="1:8" x14ac:dyDescent="0.35">
      <c r="A1451" t="str">
        <f t="shared" si="33"/>
        <v>30241</v>
      </c>
      <c r="B1451" t="s">
        <v>36</v>
      </c>
      <c r="C1451" t="s">
        <v>649</v>
      </c>
      <c r="D1451" s="5" t="str">
        <f>"024"</f>
        <v>024</v>
      </c>
      <c r="E1451" s="5">
        <v>2018</v>
      </c>
      <c r="F1451" s="3">
        <v>0</v>
      </c>
      <c r="G1451" s="3">
        <v>0</v>
      </c>
      <c r="H1451" s="3">
        <v>0</v>
      </c>
    </row>
    <row r="1452" spans="1:8" x14ac:dyDescent="0.35">
      <c r="A1452" t="str">
        <f t="shared" si="33"/>
        <v>30241</v>
      </c>
      <c r="B1452" t="s">
        <v>36</v>
      </c>
      <c r="C1452" t="s">
        <v>649</v>
      </c>
      <c r="D1452" s="5" t="str">
        <f>"025"</f>
        <v>025</v>
      </c>
      <c r="E1452" s="5">
        <v>2018</v>
      </c>
      <c r="F1452" s="3">
        <v>121800</v>
      </c>
      <c r="G1452" s="3">
        <v>1125100</v>
      </c>
      <c r="H1452" s="3">
        <v>1003300</v>
      </c>
    </row>
    <row r="1453" spans="1:8" x14ac:dyDescent="0.35">
      <c r="A1453" t="str">
        <f t="shared" si="33"/>
        <v>30241</v>
      </c>
      <c r="B1453" t="s">
        <v>36</v>
      </c>
      <c r="C1453" t="s">
        <v>649</v>
      </c>
      <c r="D1453" s="5" t="str">
        <f>"026"</f>
        <v>026</v>
      </c>
      <c r="E1453" s="5">
        <v>2018</v>
      </c>
      <c r="F1453" s="3">
        <v>4635200</v>
      </c>
      <c r="G1453" s="3">
        <v>100980600</v>
      </c>
      <c r="H1453" s="3">
        <v>96345400</v>
      </c>
    </row>
    <row r="1454" spans="1:8" x14ac:dyDescent="0.35">
      <c r="A1454" t="str">
        <f t="shared" si="33"/>
        <v>30241</v>
      </c>
      <c r="B1454" t="s">
        <v>36</v>
      </c>
      <c r="C1454" t="s">
        <v>649</v>
      </c>
      <c r="D1454" s="5" t="str">
        <f>"027"</f>
        <v>027</v>
      </c>
      <c r="E1454" s="5">
        <v>2019</v>
      </c>
      <c r="F1454" s="3">
        <v>3154800</v>
      </c>
      <c r="G1454" s="3">
        <v>32990400</v>
      </c>
      <c r="H1454" s="3">
        <v>29835600</v>
      </c>
    </row>
    <row r="1455" spans="1:8" x14ac:dyDescent="0.35">
      <c r="A1455" t="str">
        <f t="shared" si="33"/>
        <v>30241</v>
      </c>
      <c r="B1455" t="s">
        <v>36</v>
      </c>
      <c r="C1455" t="s">
        <v>649</v>
      </c>
      <c r="D1455" s="5" t="str">
        <f>"029"</f>
        <v>029</v>
      </c>
      <c r="E1455" s="5">
        <v>2020</v>
      </c>
      <c r="F1455" s="3">
        <v>17774400</v>
      </c>
      <c r="G1455" s="3">
        <v>60208400</v>
      </c>
      <c r="H1455" s="3">
        <v>42434000</v>
      </c>
    </row>
    <row r="1456" spans="1:8" x14ac:dyDescent="0.35">
      <c r="A1456" t="str">
        <f t="shared" si="33"/>
        <v>30241</v>
      </c>
      <c r="B1456" t="s">
        <v>36</v>
      </c>
      <c r="C1456" t="s">
        <v>649</v>
      </c>
      <c r="D1456" s="5" t="str">
        <f>"030"</f>
        <v>030</v>
      </c>
      <c r="E1456" s="5">
        <v>2020</v>
      </c>
      <c r="F1456" s="3">
        <v>300500</v>
      </c>
      <c r="G1456" s="3">
        <v>1110900</v>
      </c>
      <c r="H1456" s="3">
        <v>810400</v>
      </c>
    </row>
    <row r="1457" spans="1:9" x14ac:dyDescent="0.35">
      <c r="A1457" t="str">
        <f t="shared" si="33"/>
        <v>30241</v>
      </c>
      <c r="B1457" t="s">
        <v>36</v>
      </c>
      <c r="C1457" t="s">
        <v>649</v>
      </c>
      <c r="D1457" s="5" t="str">
        <f>"031"</f>
        <v>031</v>
      </c>
      <c r="E1457" s="5">
        <v>2020</v>
      </c>
      <c r="F1457" s="3">
        <v>207800</v>
      </c>
      <c r="G1457" s="3">
        <v>0</v>
      </c>
      <c r="H1457" s="3">
        <v>0</v>
      </c>
    </row>
    <row r="1458" spans="1:9" x14ac:dyDescent="0.35">
      <c r="A1458" t="str">
        <f t="shared" si="33"/>
        <v>30241</v>
      </c>
      <c r="B1458" t="s">
        <v>36</v>
      </c>
      <c r="C1458" t="s">
        <v>649</v>
      </c>
      <c r="D1458" s="5" t="str">
        <f>"032"</f>
        <v>032</v>
      </c>
      <c r="E1458" s="5">
        <v>2021</v>
      </c>
      <c r="F1458" s="3">
        <v>9457600</v>
      </c>
      <c r="G1458" s="3">
        <v>21584800</v>
      </c>
      <c r="H1458" s="3">
        <v>12127200</v>
      </c>
    </row>
    <row r="1459" spans="1:9" x14ac:dyDescent="0.35">
      <c r="A1459" t="str">
        <f t="shared" si="33"/>
        <v>30241</v>
      </c>
      <c r="B1459" t="s">
        <v>36</v>
      </c>
      <c r="C1459" t="s">
        <v>649</v>
      </c>
      <c r="D1459" s="5" t="str">
        <f>"033"</f>
        <v>033</v>
      </c>
      <c r="E1459" s="5">
        <v>2021</v>
      </c>
      <c r="F1459" s="3">
        <v>3647700</v>
      </c>
      <c r="G1459" s="3">
        <v>21631700</v>
      </c>
      <c r="H1459" s="3">
        <v>17984000</v>
      </c>
    </row>
    <row r="1460" spans="1:9" x14ac:dyDescent="0.35">
      <c r="A1460" t="str">
        <f t="shared" si="33"/>
        <v>30241</v>
      </c>
      <c r="B1460" t="s">
        <v>36</v>
      </c>
      <c r="C1460" t="s">
        <v>649</v>
      </c>
      <c r="D1460" s="5" t="str">
        <f>"034"</f>
        <v>034</v>
      </c>
      <c r="E1460" s="5">
        <v>2022</v>
      </c>
      <c r="F1460" s="3">
        <v>23100</v>
      </c>
      <c r="G1460" s="3">
        <v>21000</v>
      </c>
      <c r="H1460" s="3">
        <v>0</v>
      </c>
    </row>
    <row r="1461" spans="1:9" x14ac:dyDescent="0.35">
      <c r="A1461" t="str">
        <f t="shared" si="33"/>
        <v>30241</v>
      </c>
      <c r="B1461" t="s">
        <v>36</v>
      </c>
      <c r="C1461" t="s">
        <v>649</v>
      </c>
      <c r="D1461" s="5" t="str">
        <f>"035"</f>
        <v>035</v>
      </c>
      <c r="E1461" s="5">
        <v>2024</v>
      </c>
      <c r="F1461" s="3">
        <v>0</v>
      </c>
      <c r="G1461" s="3">
        <v>0</v>
      </c>
      <c r="H1461" s="3">
        <v>0</v>
      </c>
    </row>
    <row r="1462" spans="1:9" x14ac:dyDescent="0.35">
      <c r="A1462" t="str">
        <f t="shared" si="33"/>
        <v>30241</v>
      </c>
      <c r="B1462" t="s">
        <v>36</v>
      </c>
      <c r="C1462" t="s">
        <v>649</v>
      </c>
      <c r="D1462" s="5" t="str">
        <f>"036"</f>
        <v>036</v>
      </c>
      <c r="E1462" s="5">
        <v>2024</v>
      </c>
      <c r="F1462" s="3">
        <v>8910500</v>
      </c>
      <c r="G1462" s="3">
        <v>7975200</v>
      </c>
      <c r="H1462" s="3">
        <v>0</v>
      </c>
    </row>
    <row r="1463" spans="1:9" x14ac:dyDescent="0.35">
      <c r="A1463" t="str">
        <f t="shared" si="33"/>
        <v>30241</v>
      </c>
      <c r="B1463" t="s">
        <v>36</v>
      </c>
      <c r="C1463" t="s">
        <v>649</v>
      </c>
      <c r="D1463" s="5" t="str">
        <f>"037"</f>
        <v>037</v>
      </c>
      <c r="E1463" s="5">
        <v>2024</v>
      </c>
      <c r="F1463" s="3">
        <v>4564600</v>
      </c>
      <c r="G1463" s="3">
        <v>5778500</v>
      </c>
      <c r="H1463" s="3">
        <v>1213900</v>
      </c>
    </row>
    <row r="1464" spans="1:9" x14ac:dyDescent="0.35">
      <c r="A1464" t="str">
        <f t="shared" si="33"/>
        <v>30241</v>
      </c>
      <c r="B1464" t="s">
        <v>36</v>
      </c>
      <c r="C1464" t="s">
        <v>649</v>
      </c>
      <c r="D1464" s="5" t="str">
        <f>"038"</f>
        <v>038</v>
      </c>
      <c r="E1464" s="5">
        <v>2024</v>
      </c>
      <c r="F1464" s="3">
        <v>126600</v>
      </c>
      <c r="G1464" s="3">
        <v>4896300</v>
      </c>
      <c r="H1464" s="3">
        <v>4769700</v>
      </c>
    </row>
    <row r="1465" spans="1:9" x14ac:dyDescent="0.35">
      <c r="A1465" t="str">
        <f t="shared" si="33"/>
        <v>30241</v>
      </c>
      <c r="B1465" t="s">
        <v>36</v>
      </c>
      <c r="C1465" t="s">
        <v>649</v>
      </c>
      <c r="D1465" s="5" t="s">
        <v>11</v>
      </c>
      <c r="E1465" s="5" t="s">
        <v>12</v>
      </c>
      <c r="F1465" s="3" t="s">
        <v>13</v>
      </c>
      <c r="G1465" s="3" t="s">
        <v>13</v>
      </c>
      <c r="H1465" s="3" t="s">
        <v>13</v>
      </c>
      <c r="I1465" s="3">
        <v>12043267300</v>
      </c>
    </row>
    <row r="1466" spans="1:9" x14ac:dyDescent="0.35">
      <c r="A1466" t="s">
        <v>30</v>
      </c>
      <c r="B1466" t="s">
        <v>38</v>
      </c>
      <c r="C1466" t="s">
        <v>32</v>
      </c>
      <c r="D1466" s="5" t="s">
        <v>11</v>
      </c>
      <c r="E1466" s="5" t="s">
        <v>12</v>
      </c>
      <c r="F1466" s="3" t="s">
        <v>13</v>
      </c>
      <c r="G1466" s="3" t="s">
        <v>13</v>
      </c>
      <c r="H1466" s="3" t="s">
        <v>13</v>
      </c>
      <c r="I1466" s="3">
        <v>12043267300</v>
      </c>
    </row>
    <row r="1467" spans="1:9" x14ac:dyDescent="0.35">
      <c r="A1467" t="s">
        <v>30</v>
      </c>
      <c r="B1467" t="s">
        <v>39</v>
      </c>
      <c r="C1467" t="s">
        <v>649</v>
      </c>
      <c r="D1467" s="5" t="s">
        <v>11</v>
      </c>
      <c r="E1467" s="5" t="s">
        <v>12</v>
      </c>
      <c r="F1467" s="3" t="s">
        <v>13</v>
      </c>
      <c r="G1467" s="3" t="s">
        <v>13</v>
      </c>
      <c r="H1467" s="3" t="s">
        <v>13</v>
      </c>
      <c r="I1467" s="3">
        <v>27986426300</v>
      </c>
    </row>
    <row r="1468" spans="1:9" x14ac:dyDescent="0.35">
      <c r="A1468" t="str">
        <f>"31002"</f>
        <v>31002</v>
      </c>
      <c r="B1468" t="s">
        <v>9</v>
      </c>
      <c r="C1468" t="s">
        <v>650</v>
      </c>
      <c r="D1468" s="5" t="s">
        <v>11</v>
      </c>
      <c r="E1468" s="5" t="s">
        <v>12</v>
      </c>
      <c r="F1468" s="3" t="s">
        <v>13</v>
      </c>
      <c r="G1468" s="3" t="s">
        <v>13</v>
      </c>
      <c r="H1468" s="3" t="s">
        <v>13</v>
      </c>
      <c r="I1468" s="3">
        <v>169784400</v>
      </c>
    </row>
    <row r="1469" spans="1:9" x14ac:dyDescent="0.35">
      <c r="A1469" t="str">
        <f>"31004"</f>
        <v>31004</v>
      </c>
      <c r="B1469" t="s">
        <v>9</v>
      </c>
      <c r="C1469" t="s">
        <v>651</v>
      </c>
      <c r="D1469" s="5" t="s">
        <v>11</v>
      </c>
      <c r="E1469" s="5" t="s">
        <v>12</v>
      </c>
      <c r="F1469" s="3" t="s">
        <v>13</v>
      </c>
      <c r="G1469" s="3" t="s">
        <v>13</v>
      </c>
      <c r="H1469" s="3" t="s">
        <v>13</v>
      </c>
      <c r="I1469" s="3">
        <v>202534100</v>
      </c>
    </row>
    <row r="1470" spans="1:9" x14ac:dyDescent="0.35">
      <c r="A1470" t="str">
        <f>"31006"</f>
        <v>31006</v>
      </c>
      <c r="B1470" t="s">
        <v>9</v>
      </c>
      <c r="C1470" t="s">
        <v>652</v>
      </c>
      <c r="D1470" s="5" t="s">
        <v>11</v>
      </c>
      <c r="E1470" s="5" t="s">
        <v>12</v>
      </c>
      <c r="F1470" s="3" t="s">
        <v>13</v>
      </c>
      <c r="G1470" s="3" t="s">
        <v>13</v>
      </c>
      <c r="H1470" s="3" t="s">
        <v>13</v>
      </c>
      <c r="I1470" s="3">
        <v>217353300</v>
      </c>
    </row>
    <row r="1471" spans="1:9" x14ac:dyDescent="0.35">
      <c r="A1471" t="str">
        <f>"31008"</f>
        <v>31008</v>
      </c>
      <c r="B1471" t="s">
        <v>9</v>
      </c>
      <c r="C1471" t="s">
        <v>588</v>
      </c>
      <c r="D1471" s="5" t="s">
        <v>11</v>
      </c>
      <c r="E1471" s="5" t="s">
        <v>12</v>
      </c>
      <c r="F1471" s="3" t="s">
        <v>13</v>
      </c>
      <c r="G1471" s="3" t="s">
        <v>13</v>
      </c>
      <c r="H1471" s="3" t="s">
        <v>13</v>
      </c>
      <c r="I1471" s="3">
        <v>196524000</v>
      </c>
    </row>
    <row r="1472" spans="1:9" x14ac:dyDescent="0.35">
      <c r="A1472" t="str">
        <f>"31010"</f>
        <v>31010</v>
      </c>
      <c r="B1472" t="s">
        <v>9</v>
      </c>
      <c r="C1472" t="s">
        <v>20</v>
      </c>
      <c r="D1472" s="5" t="s">
        <v>11</v>
      </c>
      <c r="E1472" s="5" t="s">
        <v>12</v>
      </c>
      <c r="F1472" s="3" t="s">
        <v>13</v>
      </c>
      <c r="G1472" s="3" t="s">
        <v>13</v>
      </c>
      <c r="H1472" s="3" t="s">
        <v>13</v>
      </c>
      <c r="I1472" s="3">
        <v>218363500</v>
      </c>
    </row>
    <row r="1473" spans="1:9" x14ac:dyDescent="0.35">
      <c r="A1473" t="str">
        <f>"31012"</f>
        <v>31012</v>
      </c>
      <c r="B1473" t="s">
        <v>9</v>
      </c>
      <c r="C1473" t="s">
        <v>653</v>
      </c>
      <c r="D1473" s="5" t="s">
        <v>11</v>
      </c>
      <c r="E1473" s="5" t="s">
        <v>12</v>
      </c>
      <c r="F1473" s="3" t="s">
        <v>13</v>
      </c>
      <c r="G1473" s="3" t="s">
        <v>13</v>
      </c>
      <c r="H1473" s="3" t="s">
        <v>13</v>
      </c>
      <c r="I1473" s="3">
        <v>297669900</v>
      </c>
    </row>
    <row r="1474" spans="1:9" x14ac:dyDescent="0.35">
      <c r="A1474" t="str">
        <f>"31014"</f>
        <v>31014</v>
      </c>
      <c r="B1474" t="s">
        <v>9</v>
      </c>
      <c r="C1474" t="s">
        <v>654</v>
      </c>
      <c r="D1474" s="5" t="s">
        <v>11</v>
      </c>
      <c r="E1474" s="5" t="s">
        <v>12</v>
      </c>
      <c r="F1474" s="3" t="s">
        <v>13</v>
      </c>
      <c r="G1474" s="3" t="s">
        <v>13</v>
      </c>
      <c r="H1474" s="3" t="s">
        <v>13</v>
      </c>
      <c r="I1474" s="3">
        <v>227217100</v>
      </c>
    </row>
    <row r="1475" spans="1:9" x14ac:dyDescent="0.35">
      <c r="A1475" t="str">
        <f>"31016"</f>
        <v>31016</v>
      </c>
      <c r="B1475" t="s">
        <v>9</v>
      </c>
      <c r="C1475" t="s">
        <v>655</v>
      </c>
      <c r="D1475" s="5" t="s">
        <v>11</v>
      </c>
      <c r="E1475" s="5" t="s">
        <v>12</v>
      </c>
      <c r="F1475" s="3" t="s">
        <v>13</v>
      </c>
      <c r="G1475" s="3" t="s">
        <v>13</v>
      </c>
      <c r="H1475" s="3" t="s">
        <v>13</v>
      </c>
      <c r="I1475" s="3">
        <v>162567900</v>
      </c>
    </row>
    <row r="1476" spans="1:9" x14ac:dyDescent="0.35">
      <c r="A1476" t="str">
        <f>"31018"</f>
        <v>31018</v>
      </c>
      <c r="B1476" t="s">
        <v>9</v>
      </c>
      <c r="C1476" t="s">
        <v>656</v>
      </c>
      <c r="D1476" s="5" t="s">
        <v>11</v>
      </c>
      <c r="E1476" s="5" t="s">
        <v>12</v>
      </c>
      <c r="F1476" s="3" t="s">
        <v>13</v>
      </c>
      <c r="G1476" s="3" t="s">
        <v>13</v>
      </c>
      <c r="H1476" s="3" t="s">
        <v>13</v>
      </c>
      <c r="I1476" s="3">
        <v>318023000</v>
      </c>
    </row>
    <row r="1477" spans="1:9" x14ac:dyDescent="0.35">
      <c r="A1477" t="str">
        <f>"31020"</f>
        <v>31020</v>
      </c>
      <c r="B1477" t="s">
        <v>9</v>
      </c>
      <c r="C1477" t="s">
        <v>657</v>
      </c>
      <c r="D1477" s="5" t="s">
        <v>11</v>
      </c>
      <c r="E1477" s="5" t="s">
        <v>12</v>
      </c>
      <c r="F1477" s="3" t="s">
        <v>13</v>
      </c>
      <c r="G1477" s="3" t="s">
        <v>13</v>
      </c>
      <c r="H1477" s="3" t="s">
        <v>13</v>
      </c>
      <c r="I1477" s="3">
        <v>209494500</v>
      </c>
    </row>
    <row r="1478" spans="1:9" x14ac:dyDescent="0.35">
      <c r="A1478" t="s">
        <v>30</v>
      </c>
      <c r="B1478" t="s">
        <v>31</v>
      </c>
      <c r="C1478" t="s">
        <v>32</v>
      </c>
      <c r="D1478" s="5" t="s">
        <v>11</v>
      </c>
      <c r="E1478" s="5" t="s">
        <v>12</v>
      </c>
      <c r="F1478" s="3" t="s">
        <v>13</v>
      </c>
      <c r="G1478" s="3" t="s">
        <v>13</v>
      </c>
      <c r="H1478" s="3" t="s">
        <v>13</v>
      </c>
      <c r="I1478" s="3">
        <v>2219531700</v>
      </c>
    </row>
    <row r="1479" spans="1:9" x14ac:dyDescent="0.35">
      <c r="A1479" t="str">
        <f>"31111"</f>
        <v>31111</v>
      </c>
      <c r="B1479" t="s">
        <v>33</v>
      </c>
      <c r="C1479" t="s">
        <v>652</v>
      </c>
      <c r="D1479" s="5" t="s">
        <v>11</v>
      </c>
      <c r="E1479" s="5" t="s">
        <v>12</v>
      </c>
      <c r="F1479" s="3" t="s">
        <v>13</v>
      </c>
      <c r="G1479" s="3" t="s">
        <v>13</v>
      </c>
      <c r="H1479" s="3" t="s">
        <v>13</v>
      </c>
      <c r="I1479" s="3">
        <v>78581000</v>
      </c>
    </row>
    <row r="1480" spans="1:9" x14ac:dyDescent="0.35">
      <c r="A1480" t="str">
        <f>"31146"</f>
        <v>31146</v>
      </c>
      <c r="B1480" t="s">
        <v>33</v>
      </c>
      <c r="C1480" t="s">
        <v>653</v>
      </c>
      <c r="D1480" s="5" t="str">
        <f>"002"</f>
        <v>002</v>
      </c>
      <c r="E1480" s="5">
        <v>2022</v>
      </c>
      <c r="F1480" s="3">
        <v>11678900</v>
      </c>
      <c r="G1480" s="3">
        <v>36529400</v>
      </c>
      <c r="H1480" s="3">
        <v>24850500</v>
      </c>
    </row>
    <row r="1481" spans="1:9" x14ac:dyDescent="0.35">
      <c r="A1481" t="str">
        <f>"31146"</f>
        <v>31146</v>
      </c>
      <c r="B1481" t="s">
        <v>33</v>
      </c>
      <c r="C1481" t="s">
        <v>653</v>
      </c>
      <c r="D1481" s="5" t="s">
        <v>11</v>
      </c>
      <c r="E1481" s="5" t="s">
        <v>12</v>
      </c>
      <c r="F1481" s="3" t="s">
        <v>13</v>
      </c>
      <c r="G1481" s="3" t="s">
        <v>13</v>
      </c>
      <c r="H1481" s="3" t="s">
        <v>13</v>
      </c>
      <c r="I1481" s="3">
        <v>363892100</v>
      </c>
    </row>
    <row r="1482" spans="1:9" x14ac:dyDescent="0.35">
      <c r="A1482" t="s">
        <v>30</v>
      </c>
      <c r="B1482" t="s">
        <v>35</v>
      </c>
      <c r="C1482" t="s">
        <v>32</v>
      </c>
      <c r="D1482" s="5" t="s">
        <v>11</v>
      </c>
      <c r="E1482" s="5" t="s">
        <v>12</v>
      </c>
      <c r="F1482" s="3" t="s">
        <v>13</v>
      </c>
      <c r="G1482" s="3" t="s">
        <v>13</v>
      </c>
      <c r="H1482" s="3" t="s">
        <v>13</v>
      </c>
      <c r="I1482" s="3">
        <v>442473100</v>
      </c>
    </row>
    <row r="1483" spans="1:9" x14ac:dyDescent="0.35">
      <c r="A1483" t="str">
        <f>"31201"</f>
        <v>31201</v>
      </c>
      <c r="B1483" t="s">
        <v>36</v>
      </c>
      <c r="C1483" t="s">
        <v>658</v>
      </c>
      <c r="D1483" s="5" t="str">
        <f>"003"</f>
        <v>003</v>
      </c>
      <c r="E1483" s="5">
        <v>2019</v>
      </c>
      <c r="F1483" s="3">
        <v>517700</v>
      </c>
      <c r="G1483" s="3">
        <v>6437300</v>
      </c>
      <c r="H1483" s="3">
        <v>5919600</v>
      </c>
    </row>
    <row r="1484" spans="1:9" x14ac:dyDescent="0.35">
      <c r="A1484" t="str">
        <f>"31201"</f>
        <v>31201</v>
      </c>
      <c r="B1484" t="s">
        <v>36</v>
      </c>
      <c r="C1484" t="s">
        <v>658</v>
      </c>
      <c r="D1484" s="5" t="str">
        <f>"004"</f>
        <v>004</v>
      </c>
      <c r="E1484" s="5">
        <v>2024</v>
      </c>
      <c r="F1484" s="3">
        <v>417400</v>
      </c>
      <c r="G1484" s="3">
        <v>10051400</v>
      </c>
      <c r="H1484" s="3">
        <v>9634000</v>
      </c>
    </row>
    <row r="1485" spans="1:9" x14ac:dyDescent="0.35">
      <c r="A1485" t="str">
        <f>"31201"</f>
        <v>31201</v>
      </c>
      <c r="B1485" t="s">
        <v>36</v>
      </c>
      <c r="C1485" t="s">
        <v>658</v>
      </c>
      <c r="D1485" s="5" t="str">
        <f>"005"</f>
        <v>005</v>
      </c>
      <c r="E1485" s="5">
        <v>2025</v>
      </c>
      <c r="F1485" s="3">
        <v>6219500</v>
      </c>
      <c r="G1485" s="3">
        <v>6371900</v>
      </c>
      <c r="H1485" s="3">
        <v>152400</v>
      </c>
    </row>
    <row r="1486" spans="1:9" x14ac:dyDescent="0.35">
      <c r="A1486" t="str">
        <f>"31201"</f>
        <v>31201</v>
      </c>
      <c r="B1486" t="s">
        <v>36</v>
      </c>
      <c r="C1486" t="s">
        <v>658</v>
      </c>
      <c r="D1486" s="5" t="s">
        <v>11</v>
      </c>
      <c r="E1486" s="5" t="s">
        <v>12</v>
      </c>
      <c r="F1486" s="3" t="s">
        <v>13</v>
      </c>
      <c r="G1486" s="3" t="s">
        <v>13</v>
      </c>
      <c r="H1486" s="3" t="s">
        <v>13</v>
      </c>
      <c r="I1486" s="3">
        <v>379864500</v>
      </c>
    </row>
    <row r="1487" spans="1:9" x14ac:dyDescent="0.35">
      <c r="A1487" t="str">
        <f>"31241"</f>
        <v>31241</v>
      </c>
      <c r="B1487" t="s">
        <v>36</v>
      </c>
      <c r="C1487" t="s">
        <v>659</v>
      </c>
      <c r="D1487" s="5" t="str">
        <f>"003"</f>
        <v>003</v>
      </c>
      <c r="E1487" s="5">
        <v>2020</v>
      </c>
      <c r="F1487" s="3">
        <v>9076500</v>
      </c>
      <c r="G1487" s="3">
        <v>17519200</v>
      </c>
      <c r="H1487" s="3">
        <v>8442700</v>
      </c>
    </row>
    <row r="1488" spans="1:9" x14ac:dyDescent="0.35">
      <c r="A1488" t="str">
        <f>"31241"</f>
        <v>31241</v>
      </c>
      <c r="B1488" t="s">
        <v>36</v>
      </c>
      <c r="C1488" t="s">
        <v>659</v>
      </c>
      <c r="D1488" s="5" t="s">
        <v>11</v>
      </c>
      <c r="E1488" s="5" t="s">
        <v>12</v>
      </c>
      <c r="F1488" s="3" t="s">
        <v>13</v>
      </c>
      <c r="G1488" s="3" t="s">
        <v>13</v>
      </c>
      <c r="H1488" s="3" t="s">
        <v>13</v>
      </c>
      <c r="I1488" s="3">
        <v>345752700</v>
      </c>
    </row>
    <row r="1489" spans="1:9" x14ac:dyDescent="0.35">
      <c r="A1489" t="s">
        <v>30</v>
      </c>
      <c r="B1489" t="s">
        <v>38</v>
      </c>
      <c r="C1489" t="s">
        <v>32</v>
      </c>
      <c r="D1489" s="5" t="s">
        <v>11</v>
      </c>
      <c r="E1489" s="5" t="s">
        <v>12</v>
      </c>
      <c r="F1489" s="3" t="s">
        <v>13</v>
      </c>
      <c r="G1489" s="3" t="s">
        <v>13</v>
      </c>
      <c r="H1489" s="3" t="s">
        <v>13</v>
      </c>
      <c r="I1489" s="3">
        <v>725617200</v>
      </c>
    </row>
    <row r="1490" spans="1:9" x14ac:dyDescent="0.35">
      <c r="A1490" t="s">
        <v>30</v>
      </c>
      <c r="B1490" t="s">
        <v>39</v>
      </c>
      <c r="C1490" t="s">
        <v>659</v>
      </c>
      <c r="D1490" s="5" t="s">
        <v>11</v>
      </c>
      <c r="E1490" s="5" t="s">
        <v>12</v>
      </c>
      <c r="F1490" s="3" t="s">
        <v>13</v>
      </c>
      <c r="G1490" s="3" t="s">
        <v>13</v>
      </c>
      <c r="H1490" s="3" t="s">
        <v>13</v>
      </c>
      <c r="I1490" s="3">
        <v>3387622000</v>
      </c>
    </row>
    <row r="1491" spans="1:9" x14ac:dyDescent="0.35">
      <c r="A1491" t="str">
        <f>"32002"</f>
        <v>32002</v>
      </c>
      <c r="B1491" t="s">
        <v>9</v>
      </c>
      <c r="C1491" t="s">
        <v>660</v>
      </c>
      <c r="D1491" s="5" t="s">
        <v>11</v>
      </c>
      <c r="E1491" s="5" t="s">
        <v>12</v>
      </c>
      <c r="F1491" s="3" t="s">
        <v>13</v>
      </c>
      <c r="G1491" s="3" t="s">
        <v>13</v>
      </c>
      <c r="H1491" s="3" t="s">
        <v>13</v>
      </c>
      <c r="I1491" s="3">
        <v>112602500</v>
      </c>
    </row>
    <row r="1492" spans="1:9" x14ac:dyDescent="0.35">
      <c r="A1492" t="str">
        <f>"32004"</f>
        <v>32004</v>
      </c>
      <c r="B1492" t="s">
        <v>9</v>
      </c>
      <c r="C1492" t="s">
        <v>661</v>
      </c>
      <c r="D1492" s="5" t="s">
        <v>11</v>
      </c>
      <c r="E1492" s="5" t="s">
        <v>12</v>
      </c>
      <c r="F1492" s="3" t="s">
        <v>13</v>
      </c>
      <c r="G1492" s="3" t="s">
        <v>13</v>
      </c>
      <c r="H1492" s="3" t="s">
        <v>13</v>
      </c>
      <c r="I1492" s="3">
        <v>234356200</v>
      </c>
    </row>
    <row r="1493" spans="1:9" x14ac:dyDescent="0.35">
      <c r="A1493" t="str">
        <f>"32006"</f>
        <v>32006</v>
      </c>
      <c r="B1493" t="s">
        <v>9</v>
      </c>
      <c r="C1493" t="s">
        <v>662</v>
      </c>
      <c r="D1493" s="5" t="s">
        <v>11</v>
      </c>
      <c r="E1493" s="5" t="s">
        <v>12</v>
      </c>
      <c r="F1493" s="3" t="s">
        <v>13</v>
      </c>
      <c r="G1493" s="3" t="s">
        <v>13</v>
      </c>
      <c r="H1493" s="3" t="s">
        <v>13</v>
      </c>
      <c r="I1493" s="3">
        <v>194581000</v>
      </c>
    </row>
    <row r="1494" spans="1:9" x14ac:dyDescent="0.35">
      <c r="A1494" t="str">
        <f>"32008"</f>
        <v>32008</v>
      </c>
      <c r="B1494" t="s">
        <v>9</v>
      </c>
      <c r="C1494" t="s">
        <v>663</v>
      </c>
      <c r="D1494" s="5" t="s">
        <v>11</v>
      </c>
      <c r="E1494" s="5" t="s">
        <v>12</v>
      </c>
      <c r="F1494" s="3" t="s">
        <v>13</v>
      </c>
      <c r="G1494" s="3" t="s">
        <v>13</v>
      </c>
      <c r="H1494" s="3" t="s">
        <v>13</v>
      </c>
      <c r="I1494" s="3">
        <v>624111800</v>
      </c>
    </row>
    <row r="1495" spans="1:9" x14ac:dyDescent="0.35">
      <c r="A1495" t="str">
        <f>"32010"</f>
        <v>32010</v>
      </c>
      <c r="B1495" t="s">
        <v>9</v>
      </c>
      <c r="C1495" t="s">
        <v>605</v>
      </c>
      <c r="D1495" s="5" t="s">
        <v>11</v>
      </c>
      <c r="E1495" s="5" t="s">
        <v>12</v>
      </c>
      <c r="F1495" s="3" t="s">
        <v>13</v>
      </c>
      <c r="G1495" s="3" t="s">
        <v>13</v>
      </c>
      <c r="H1495" s="3" t="s">
        <v>13</v>
      </c>
      <c r="I1495" s="3">
        <v>343651200</v>
      </c>
    </row>
    <row r="1496" spans="1:9" x14ac:dyDescent="0.35">
      <c r="A1496" t="str">
        <f>"32012"</f>
        <v>32012</v>
      </c>
      <c r="B1496" t="s">
        <v>9</v>
      </c>
      <c r="C1496" t="s">
        <v>664</v>
      </c>
      <c r="D1496" s="5" t="s">
        <v>11</v>
      </c>
      <c r="E1496" s="5" t="s">
        <v>12</v>
      </c>
      <c r="F1496" s="3" t="s">
        <v>13</v>
      </c>
      <c r="G1496" s="3" t="s">
        <v>13</v>
      </c>
      <c r="H1496" s="3" t="s">
        <v>13</v>
      </c>
      <c r="I1496" s="3">
        <v>367253400</v>
      </c>
    </row>
    <row r="1497" spans="1:9" x14ac:dyDescent="0.35">
      <c r="A1497" t="str">
        <f>"32014"</f>
        <v>32014</v>
      </c>
      <c r="B1497" t="s">
        <v>9</v>
      </c>
      <c r="C1497" t="s">
        <v>665</v>
      </c>
      <c r="D1497" s="5" t="s">
        <v>11</v>
      </c>
      <c r="E1497" s="5" t="s">
        <v>12</v>
      </c>
      <c r="F1497" s="3" t="s">
        <v>13</v>
      </c>
      <c r="G1497" s="3" t="s">
        <v>13</v>
      </c>
      <c r="H1497" s="3" t="s">
        <v>13</v>
      </c>
      <c r="I1497" s="3">
        <v>487142400</v>
      </c>
    </row>
    <row r="1498" spans="1:9" x14ac:dyDescent="0.35">
      <c r="A1498" t="str">
        <f>"32016"</f>
        <v>32016</v>
      </c>
      <c r="B1498" t="s">
        <v>9</v>
      </c>
      <c r="C1498" t="s">
        <v>110</v>
      </c>
      <c r="D1498" s="5" t="s">
        <v>11</v>
      </c>
      <c r="E1498" s="5" t="s">
        <v>12</v>
      </c>
      <c r="F1498" s="3" t="s">
        <v>13</v>
      </c>
      <c r="G1498" s="3" t="s">
        <v>13</v>
      </c>
      <c r="H1498" s="3" t="s">
        <v>13</v>
      </c>
      <c r="I1498" s="3">
        <v>806609100</v>
      </c>
    </row>
    <row r="1499" spans="1:9" x14ac:dyDescent="0.35">
      <c r="A1499" t="str">
        <f>"32018"</f>
        <v>32018</v>
      </c>
      <c r="B1499" t="s">
        <v>9</v>
      </c>
      <c r="C1499" t="s">
        <v>666</v>
      </c>
      <c r="D1499" s="5" t="s">
        <v>11</v>
      </c>
      <c r="E1499" s="5" t="s">
        <v>12</v>
      </c>
      <c r="F1499" s="3" t="s">
        <v>13</v>
      </c>
      <c r="G1499" s="3" t="s">
        <v>13</v>
      </c>
      <c r="H1499" s="3" t="s">
        <v>13</v>
      </c>
      <c r="I1499" s="3">
        <v>324301000</v>
      </c>
    </row>
    <row r="1500" spans="1:9" x14ac:dyDescent="0.35">
      <c r="A1500" t="str">
        <f>"32020"</f>
        <v>32020</v>
      </c>
      <c r="B1500" t="s">
        <v>9</v>
      </c>
      <c r="C1500" t="s">
        <v>667</v>
      </c>
      <c r="D1500" s="5" t="s">
        <v>11</v>
      </c>
      <c r="E1500" s="5" t="s">
        <v>12</v>
      </c>
      <c r="F1500" s="3" t="s">
        <v>13</v>
      </c>
      <c r="G1500" s="3" t="s">
        <v>13</v>
      </c>
      <c r="H1500" s="3" t="s">
        <v>13</v>
      </c>
      <c r="I1500" s="3">
        <v>1146240300</v>
      </c>
    </row>
    <row r="1501" spans="1:9" x14ac:dyDescent="0.35">
      <c r="A1501" t="str">
        <f>"32022"</f>
        <v>32022</v>
      </c>
      <c r="B1501" t="s">
        <v>9</v>
      </c>
      <c r="C1501" t="s">
        <v>668</v>
      </c>
      <c r="D1501" s="5" t="s">
        <v>11</v>
      </c>
      <c r="E1501" s="5" t="s">
        <v>12</v>
      </c>
      <c r="F1501" s="3" t="s">
        <v>13</v>
      </c>
      <c r="G1501" s="3" t="s">
        <v>13</v>
      </c>
      <c r="H1501" s="3" t="s">
        <v>13</v>
      </c>
      <c r="I1501" s="3">
        <v>802893300</v>
      </c>
    </row>
    <row r="1502" spans="1:9" x14ac:dyDescent="0.35">
      <c r="A1502" t="str">
        <f>"32024"</f>
        <v>32024</v>
      </c>
      <c r="B1502" t="s">
        <v>9</v>
      </c>
      <c r="C1502" t="s">
        <v>392</v>
      </c>
      <c r="D1502" s="5" t="s">
        <v>11</v>
      </c>
      <c r="E1502" s="5" t="s">
        <v>12</v>
      </c>
      <c r="F1502" s="3" t="s">
        <v>13</v>
      </c>
      <c r="G1502" s="3" t="s">
        <v>13</v>
      </c>
      <c r="H1502" s="3" t="s">
        <v>13</v>
      </c>
      <c r="I1502" s="3">
        <v>96385700</v>
      </c>
    </row>
    <row r="1503" spans="1:9" x14ac:dyDescent="0.35">
      <c r="A1503" t="s">
        <v>30</v>
      </c>
      <c r="B1503" t="s">
        <v>31</v>
      </c>
      <c r="C1503" t="s">
        <v>32</v>
      </c>
      <c r="D1503" s="5" t="s">
        <v>11</v>
      </c>
      <c r="E1503" s="5" t="s">
        <v>12</v>
      </c>
      <c r="F1503" s="3" t="s">
        <v>13</v>
      </c>
      <c r="G1503" s="3" t="s">
        <v>13</v>
      </c>
      <c r="H1503" s="3" t="s">
        <v>13</v>
      </c>
      <c r="I1503" s="3">
        <v>5540127900</v>
      </c>
    </row>
    <row r="1504" spans="1:9" x14ac:dyDescent="0.35">
      <c r="A1504" t="str">
        <f>"32106"</f>
        <v>32106</v>
      </c>
      <c r="B1504" t="s">
        <v>33</v>
      </c>
      <c r="C1504" t="s">
        <v>660</v>
      </c>
      <c r="D1504" s="5" t="str">
        <f>"001"</f>
        <v>001</v>
      </c>
      <c r="E1504" s="5">
        <v>2008</v>
      </c>
      <c r="F1504" s="3">
        <v>393000</v>
      </c>
      <c r="G1504" s="3">
        <v>6497600</v>
      </c>
      <c r="H1504" s="3">
        <v>6104600</v>
      </c>
    </row>
    <row r="1505" spans="1:9" x14ac:dyDescent="0.35">
      <c r="A1505" t="str">
        <f>"32106"</f>
        <v>32106</v>
      </c>
      <c r="B1505" t="s">
        <v>33</v>
      </c>
      <c r="C1505" t="s">
        <v>660</v>
      </c>
      <c r="D1505" s="5" t="str">
        <f>"002"</f>
        <v>002</v>
      </c>
      <c r="E1505" s="5">
        <v>2015</v>
      </c>
      <c r="F1505" s="3">
        <v>618700</v>
      </c>
      <c r="G1505" s="3">
        <v>4455200</v>
      </c>
      <c r="H1505" s="3">
        <v>3836500</v>
      </c>
    </row>
    <row r="1506" spans="1:9" x14ac:dyDescent="0.35">
      <c r="A1506" t="str">
        <f>"32106"</f>
        <v>32106</v>
      </c>
      <c r="B1506" t="s">
        <v>33</v>
      </c>
      <c r="C1506" t="s">
        <v>660</v>
      </c>
      <c r="D1506" s="5" t="s">
        <v>11</v>
      </c>
      <c r="E1506" s="5" t="s">
        <v>12</v>
      </c>
      <c r="F1506" s="3" t="s">
        <v>13</v>
      </c>
      <c r="G1506" s="3" t="s">
        <v>13</v>
      </c>
      <c r="H1506" s="3" t="s">
        <v>13</v>
      </c>
      <c r="I1506" s="3">
        <v>170476200</v>
      </c>
    </row>
    <row r="1507" spans="1:9" x14ac:dyDescent="0.35">
      <c r="A1507" t="str">
        <f>"32136"</f>
        <v>32136</v>
      </c>
      <c r="B1507" t="s">
        <v>33</v>
      </c>
      <c r="C1507" t="s">
        <v>669</v>
      </c>
      <c r="D1507" s="5" t="str">
        <f>"002"</f>
        <v>002</v>
      </c>
      <c r="E1507" s="5">
        <v>2009</v>
      </c>
      <c r="F1507" s="3">
        <v>2647000</v>
      </c>
      <c r="G1507" s="3">
        <v>190022300</v>
      </c>
      <c r="H1507" s="3">
        <v>187375300</v>
      </c>
    </row>
    <row r="1508" spans="1:9" x14ac:dyDescent="0.35">
      <c r="A1508" t="str">
        <f>"32136"</f>
        <v>32136</v>
      </c>
      <c r="B1508" t="s">
        <v>33</v>
      </c>
      <c r="C1508" t="s">
        <v>669</v>
      </c>
      <c r="D1508" s="5" t="str">
        <f>"003"</f>
        <v>003</v>
      </c>
      <c r="E1508" s="5">
        <v>2015</v>
      </c>
      <c r="F1508" s="3">
        <v>37362300</v>
      </c>
      <c r="G1508" s="3">
        <v>161096000</v>
      </c>
      <c r="H1508" s="3">
        <v>123733700</v>
      </c>
    </row>
    <row r="1509" spans="1:9" x14ac:dyDescent="0.35">
      <c r="A1509" t="str">
        <f>"32136"</f>
        <v>32136</v>
      </c>
      <c r="B1509" t="s">
        <v>33</v>
      </c>
      <c r="C1509" t="s">
        <v>669</v>
      </c>
      <c r="D1509" s="5" t="s">
        <v>11</v>
      </c>
      <c r="E1509" s="5" t="s">
        <v>12</v>
      </c>
      <c r="F1509" s="3" t="s">
        <v>13</v>
      </c>
      <c r="G1509" s="3" t="s">
        <v>13</v>
      </c>
      <c r="H1509" s="3" t="s">
        <v>13</v>
      </c>
      <c r="I1509" s="3">
        <v>1468225200</v>
      </c>
    </row>
    <row r="1510" spans="1:9" x14ac:dyDescent="0.35">
      <c r="A1510" t="str">
        <f>"32176"</f>
        <v>32176</v>
      </c>
      <c r="B1510" t="s">
        <v>33</v>
      </c>
      <c r="C1510" t="s">
        <v>117</v>
      </c>
      <c r="D1510" s="5" t="str">
        <f>"001"</f>
        <v>001</v>
      </c>
      <c r="E1510" s="5">
        <v>2010</v>
      </c>
      <c r="F1510" s="3">
        <v>1176300</v>
      </c>
      <c r="G1510" s="3">
        <v>11974900</v>
      </c>
      <c r="H1510" s="3">
        <v>10798600</v>
      </c>
    </row>
    <row r="1511" spans="1:9" x14ac:dyDescent="0.35">
      <c r="A1511" t="str">
        <f>"32176"</f>
        <v>32176</v>
      </c>
      <c r="B1511" t="s">
        <v>33</v>
      </c>
      <c r="C1511" t="s">
        <v>117</v>
      </c>
      <c r="D1511" s="5" t="s">
        <v>11</v>
      </c>
      <c r="E1511" s="5" t="s">
        <v>12</v>
      </c>
      <c r="F1511" s="3" t="s">
        <v>13</v>
      </c>
      <c r="G1511" s="3" t="s">
        <v>13</v>
      </c>
      <c r="H1511" s="3" t="s">
        <v>13</v>
      </c>
      <c r="I1511" s="3">
        <v>76249000</v>
      </c>
    </row>
    <row r="1512" spans="1:9" x14ac:dyDescent="0.35">
      <c r="A1512" t="str">
        <f>"32191"</f>
        <v>32191</v>
      </c>
      <c r="B1512" t="s">
        <v>33</v>
      </c>
      <c r="C1512" t="s">
        <v>670</v>
      </c>
      <c r="D1512" s="5" t="str">
        <f>"002"</f>
        <v>002</v>
      </c>
      <c r="E1512" s="5">
        <v>2022</v>
      </c>
      <c r="F1512" s="3">
        <v>17038200</v>
      </c>
      <c r="G1512" s="3">
        <v>74347400</v>
      </c>
      <c r="H1512" s="3">
        <v>57309200</v>
      </c>
    </row>
    <row r="1513" spans="1:9" x14ac:dyDescent="0.35">
      <c r="A1513" t="str">
        <f>"32191"</f>
        <v>32191</v>
      </c>
      <c r="B1513" t="s">
        <v>33</v>
      </c>
      <c r="C1513" t="s">
        <v>670</v>
      </c>
      <c r="D1513" s="5" t="s">
        <v>11</v>
      </c>
      <c r="E1513" s="5" t="s">
        <v>12</v>
      </c>
      <c r="F1513" s="3" t="s">
        <v>13</v>
      </c>
      <c r="G1513" s="3" t="s">
        <v>13</v>
      </c>
      <c r="H1513" s="3" t="s">
        <v>13</v>
      </c>
      <c r="I1513" s="3">
        <v>783777200</v>
      </c>
    </row>
    <row r="1514" spans="1:9" x14ac:dyDescent="0.35">
      <c r="A1514" t="s">
        <v>30</v>
      </c>
      <c r="B1514" t="s">
        <v>35</v>
      </c>
      <c r="C1514" t="s">
        <v>32</v>
      </c>
      <c r="D1514" s="5" t="s">
        <v>11</v>
      </c>
      <c r="E1514" s="5" t="s">
        <v>12</v>
      </c>
      <c r="F1514" s="3" t="s">
        <v>13</v>
      </c>
      <c r="G1514" s="3" t="s">
        <v>13</v>
      </c>
      <c r="H1514" s="3" t="s">
        <v>13</v>
      </c>
      <c r="I1514" s="3">
        <v>2498727600</v>
      </c>
    </row>
    <row r="1515" spans="1:9" x14ac:dyDescent="0.35">
      <c r="A1515" t="str">
        <f t="shared" ref="A1515:A1527" si="34">"32246"</f>
        <v>32246</v>
      </c>
      <c r="B1515" t="s">
        <v>36</v>
      </c>
      <c r="C1515" t="s">
        <v>671</v>
      </c>
      <c r="D1515" s="5" t="str">
        <f>"010"</f>
        <v>010</v>
      </c>
      <c r="E1515" s="5">
        <v>2003</v>
      </c>
      <c r="F1515" s="3">
        <v>2062600</v>
      </c>
      <c r="G1515" s="3">
        <v>21275000</v>
      </c>
      <c r="H1515" s="3">
        <v>19212400</v>
      </c>
    </row>
    <row r="1516" spans="1:9" x14ac:dyDescent="0.35">
      <c r="A1516" t="str">
        <f t="shared" si="34"/>
        <v>32246</v>
      </c>
      <c r="B1516" t="s">
        <v>36</v>
      </c>
      <c r="C1516" t="s">
        <v>671</v>
      </c>
      <c r="D1516" s="5" t="str">
        <f>"011"</f>
        <v>011</v>
      </c>
      <c r="E1516" s="5">
        <v>2005</v>
      </c>
      <c r="F1516" s="3">
        <v>119726700</v>
      </c>
      <c r="G1516" s="3">
        <v>310710200</v>
      </c>
      <c r="H1516" s="3">
        <v>190983500</v>
      </c>
    </row>
    <row r="1517" spans="1:9" x14ac:dyDescent="0.35">
      <c r="A1517" t="str">
        <f t="shared" si="34"/>
        <v>32246</v>
      </c>
      <c r="B1517" t="s">
        <v>36</v>
      </c>
      <c r="C1517" t="s">
        <v>671</v>
      </c>
      <c r="D1517" s="5" t="str">
        <f>"012"</f>
        <v>012</v>
      </c>
      <c r="E1517" s="5">
        <v>2005</v>
      </c>
      <c r="F1517" s="3">
        <v>16765200</v>
      </c>
      <c r="G1517" s="3">
        <v>50282400</v>
      </c>
      <c r="H1517" s="3">
        <v>33517200</v>
      </c>
    </row>
    <row r="1518" spans="1:9" x14ac:dyDescent="0.35">
      <c r="A1518" t="str">
        <f t="shared" si="34"/>
        <v>32246</v>
      </c>
      <c r="B1518" t="s">
        <v>36</v>
      </c>
      <c r="C1518" t="s">
        <v>671</v>
      </c>
      <c r="D1518" s="5" t="str">
        <f>"013"</f>
        <v>013</v>
      </c>
      <c r="E1518" s="5">
        <v>2006</v>
      </c>
      <c r="F1518" s="3">
        <v>44039800</v>
      </c>
      <c r="G1518" s="3">
        <v>173140100</v>
      </c>
      <c r="H1518" s="3">
        <v>129100300</v>
      </c>
    </row>
    <row r="1519" spans="1:9" x14ac:dyDescent="0.35">
      <c r="A1519" t="str">
        <f t="shared" si="34"/>
        <v>32246</v>
      </c>
      <c r="B1519" t="s">
        <v>36</v>
      </c>
      <c r="C1519" t="s">
        <v>671</v>
      </c>
      <c r="D1519" s="5" t="str">
        <f>"014"</f>
        <v>014</v>
      </c>
      <c r="E1519" s="5">
        <v>2006</v>
      </c>
      <c r="F1519" s="3">
        <v>52685300</v>
      </c>
      <c r="G1519" s="3">
        <v>145167000</v>
      </c>
      <c r="H1519" s="3">
        <v>92481700</v>
      </c>
    </row>
    <row r="1520" spans="1:9" x14ac:dyDescent="0.35">
      <c r="A1520" t="str">
        <f t="shared" si="34"/>
        <v>32246</v>
      </c>
      <c r="B1520" t="s">
        <v>36</v>
      </c>
      <c r="C1520" t="s">
        <v>671</v>
      </c>
      <c r="D1520" s="5" t="str">
        <f>"015"</f>
        <v>015</v>
      </c>
      <c r="E1520" s="5">
        <v>2013</v>
      </c>
      <c r="F1520" s="3">
        <v>45892700</v>
      </c>
      <c r="G1520" s="3">
        <v>118679000</v>
      </c>
      <c r="H1520" s="3">
        <v>72786300</v>
      </c>
    </row>
    <row r="1521" spans="1:9" x14ac:dyDescent="0.35">
      <c r="A1521" t="str">
        <f t="shared" si="34"/>
        <v>32246</v>
      </c>
      <c r="B1521" t="s">
        <v>36</v>
      </c>
      <c r="C1521" t="s">
        <v>671</v>
      </c>
      <c r="D1521" s="5" t="str">
        <f>"016"</f>
        <v>016</v>
      </c>
      <c r="E1521" s="5">
        <v>2014</v>
      </c>
      <c r="F1521" s="3">
        <v>16717400</v>
      </c>
      <c r="G1521" s="3">
        <v>46809700</v>
      </c>
      <c r="H1521" s="3">
        <v>30092300</v>
      </c>
    </row>
    <row r="1522" spans="1:9" x14ac:dyDescent="0.35">
      <c r="A1522" t="str">
        <f t="shared" si="34"/>
        <v>32246</v>
      </c>
      <c r="B1522" t="s">
        <v>36</v>
      </c>
      <c r="C1522" t="s">
        <v>671</v>
      </c>
      <c r="D1522" s="5" t="str">
        <f>"017"</f>
        <v>017</v>
      </c>
      <c r="E1522" s="5">
        <v>2015</v>
      </c>
      <c r="F1522" s="3">
        <v>13038100</v>
      </c>
      <c r="G1522" s="3">
        <v>81602900</v>
      </c>
      <c r="H1522" s="3">
        <v>68564800</v>
      </c>
    </row>
    <row r="1523" spans="1:9" x14ac:dyDescent="0.35">
      <c r="A1523" t="str">
        <f t="shared" si="34"/>
        <v>32246</v>
      </c>
      <c r="B1523" t="s">
        <v>36</v>
      </c>
      <c r="C1523" t="s">
        <v>671</v>
      </c>
      <c r="D1523" s="5" t="str">
        <f>"018"</f>
        <v>018</v>
      </c>
      <c r="E1523" s="5">
        <v>2020</v>
      </c>
      <c r="F1523" s="3">
        <v>6788600</v>
      </c>
      <c r="G1523" s="3">
        <v>23673800</v>
      </c>
      <c r="H1523" s="3">
        <v>16885200</v>
      </c>
    </row>
    <row r="1524" spans="1:9" x14ac:dyDescent="0.35">
      <c r="A1524" t="str">
        <f t="shared" si="34"/>
        <v>32246</v>
      </c>
      <c r="B1524" t="s">
        <v>36</v>
      </c>
      <c r="C1524" t="s">
        <v>671</v>
      </c>
      <c r="D1524" s="5" t="str">
        <f>"019"</f>
        <v>019</v>
      </c>
      <c r="E1524" s="5">
        <v>2020</v>
      </c>
      <c r="F1524" s="3">
        <v>5061100</v>
      </c>
      <c r="G1524" s="3">
        <v>3889300</v>
      </c>
      <c r="H1524" s="3">
        <v>0</v>
      </c>
    </row>
    <row r="1525" spans="1:9" x14ac:dyDescent="0.35">
      <c r="A1525" t="str">
        <f t="shared" si="34"/>
        <v>32246</v>
      </c>
      <c r="B1525" t="s">
        <v>36</v>
      </c>
      <c r="C1525" t="s">
        <v>671</v>
      </c>
      <c r="D1525" s="5" t="str">
        <f>"020"</f>
        <v>020</v>
      </c>
      <c r="E1525" s="5">
        <v>2020</v>
      </c>
      <c r="F1525" s="3">
        <v>13422100</v>
      </c>
      <c r="G1525" s="3">
        <v>12750800</v>
      </c>
      <c r="H1525" s="3">
        <v>0</v>
      </c>
    </row>
    <row r="1526" spans="1:9" x14ac:dyDescent="0.35">
      <c r="A1526" t="str">
        <f t="shared" si="34"/>
        <v>32246</v>
      </c>
      <c r="B1526" t="s">
        <v>36</v>
      </c>
      <c r="C1526" t="s">
        <v>671</v>
      </c>
      <c r="D1526" s="5" t="str">
        <f>"021"</f>
        <v>021</v>
      </c>
      <c r="E1526" s="5">
        <v>2023</v>
      </c>
      <c r="F1526" s="3">
        <v>0</v>
      </c>
      <c r="G1526" s="3">
        <v>0</v>
      </c>
      <c r="H1526" s="3">
        <v>0</v>
      </c>
    </row>
    <row r="1527" spans="1:9" x14ac:dyDescent="0.35">
      <c r="A1527" t="str">
        <f t="shared" si="34"/>
        <v>32246</v>
      </c>
      <c r="B1527" t="s">
        <v>36</v>
      </c>
      <c r="C1527" t="s">
        <v>671</v>
      </c>
      <c r="D1527" s="5" t="s">
        <v>11</v>
      </c>
      <c r="E1527" s="5" t="s">
        <v>12</v>
      </c>
      <c r="F1527" s="3" t="s">
        <v>13</v>
      </c>
      <c r="G1527" s="3" t="s">
        <v>13</v>
      </c>
      <c r="H1527" s="3" t="s">
        <v>13</v>
      </c>
      <c r="I1527" s="3">
        <v>5796931900</v>
      </c>
    </row>
    <row r="1528" spans="1:9" x14ac:dyDescent="0.35">
      <c r="A1528" t="str">
        <f>"32265"</f>
        <v>32265</v>
      </c>
      <c r="B1528" t="s">
        <v>36</v>
      </c>
      <c r="C1528" t="s">
        <v>667</v>
      </c>
      <c r="D1528" s="5" t="str">
        <f>"005"</f>
        <v>005</v>
      </c>
      <c r="E1528" s="5">
        <v>2019</v>
      </c>
      <c r="F1528" s="3">
        <v>0</v>
      </c>
      <c r="G1528" s="3">
        <v>21286000</v>
      </c>
      <c r="H1528" s="3">
        <v>21286000</v>
      </c>
    </row>
    <row r="1529" spans="1:9" x14ac:dyDescent="0.35">
      <c r="A1529" t="str">
        <f>"32265"</f>
        <v>32265</v>
      </c>
      <c r="B1529" t="s">
        <v>36</v>
      </c>
      <c r="C1529" t="s">
        <v>667</v>
      </c>
      <c r="D1529" s="5" t="str">
        <f>"006"</f>
        <v>006</v>
      </c>
      <c r="E1529" s="5">
        <v>2020</v>
      </c>
      <c r="F1529" s="3">
        <v>13813900</v>
      </c>
      <c r="G1529" s="3">
        <v>49074500</v>
      </c>
      <c r="H1529" s="3">
        <v>35260600</v>
      </c>
    </row>
    <row r="1530" spans="1:9" x14ac:dyDescent="0.35">
      <c r="A1530" t="str">
        <f>"32265"</f>
        <v>32265</v>
      </c>
      <c r="B1530" t="s">
        <v>36</v>
      </c>
      <c r="C1530" t="s">
        <v>667</v>
      </c>
      <c r="D1530" s="5" t="s">
        <v>11</v>
      </c>
      <c r="E1530" s="5" t="s">
        <v>12</v>
      </c>
      <c r="F1530" s="3" t="s">
        <v>13</v>
      </c>
      <c r="G1530" s="3" t="s">
        <v>13</v>
      </c>
      <c r="H1530" s="3" t="s">
        <v>13</v>
      </c>
      <c r="I1530" s="3">
        <v>3642999200</v>
      </c>
    </row>
    <row r="1531" spans="1:9" x14ac:dyDescent="0.35">
      <c r="A1531" t="s">
        <v>30</v>
      </c>
      <c r="B1531" t="s">
        <v>38</v>
      </c>
      <c r="C1531" t="s">
        <v>32</v>
      </c>
      <c r="D1531" s="5" t="s">
        <v>11</v>
      </c>
      <c r="E1531" s="5" t="s">
        <v>12</v>
      </c>
      <c r="F1531" s="3" t="s">
        <v>13</v>
      </c>
      <c r="G1531" s="3" t="s">
        <v>13</v>
      </c>
      <c r="H1531" s="3" t="s">
        <v>13</v>
      </c>
      <c r="I1531" s="3">
        <v>9439931100</v>
      </c>
    </row>
    <row r="1532" spans="1:9" x14ac:dyDescent="0.35">
      <c r="A1532" t="s">
        <v>30</v>
      </c>
      <c r="B1532" t="s">
        <v>39</v>
      </c>
      <c r="C1532" t="s">
        <v>671</v>
      </c>
      <c r="D1532" s="5" t="s">
        <v>11</v>
      </c>
      <c r="E1532" s="5" t="s">
        <v>12</v>
      </c>
      <c r="F1532" s="3" t="s">
        <v>13</v>
      </c>
      <c r="G1532" s="3" t="s">
        <v>13</v>
      </c>
      <c r="H1532" s="3" t="s">
        <v>13</v>
      </c>
      <c r="I1532" s="3">
        <v>17478786600</v>
      </c>
    </row>
    <row r="1533" spans="1:9" x14ac:dyDescent="0.35">
      <c r="A1533" t="str">
        <f>"33002"</f>
        <v>33002</v>
      </c>
      <c r="B1533" t="s">
        <v>9</v>
      </c>
      <c r="C1533" t="s">
        <v>672</v>
      </c>
      <c r="D1533" s="5" t="s">
        <v>11</v>
      </c>
      <c r="E1533" s="5" t="s">
        <v>12</v>
      </c>
      <c r="F1533" s="3" t="s">
        <v>13</v>
      </c>
      <c r="G1533" s="3" t="s">
        <v>13</v>
      </c>
      <c r="H1533" s="3" t="s">
        <v>13</v>
      </c>
      <c r="I1533" s="3">
        <v>98491800</v>
      </c>
    </row>
    <row r="1534" spans="1:9" x14ac:dyDescent="0.35">
      <c r="A1534" t="str">
        <f>"33004"</f>
        <v>33004</v>
      </c>
      <c r="B1534" t="s">
        <v>9</v>
      </c>
      <c r="C1534" t="s">
        <v>673</v>
      </c>
      <c r="D1534" s="5" t="s">
        <v>11</v>
      </c>
      <c r="E1534" s="5" t="s">
        <v>12</v>
      </c>
      <c r="F1534" s="3" t="s">
        <v>13</v>
      </c>
      <c r="G1534" s="3" t="s">
        <v>13</v>
      </c>
      <c r="H1534" s="3" t="s">
        <v>13</v>
      </c>
      <c r="I1534" s="3">
        <v>103575000</v>
      </c>
    </row>
    <row r="1535" spans="1:9" x14ac:dyDescent="0.35">
      <c r="A1535" t="str">
        <f>"33006"</f>
        <v>33006</v>
      </c>
      <c r="B1535" t="s">
        <v>9</v>
      </c>
      <c r="C1535" t="s">
        <v>674</v>
      </c>
      <c r="D1535" s="5" t="s">
        <v>11</v>
      </c>
      <c r="E1535" s="5" t="s">
        <v>12</v>
      </c>
      <c r="F1535" s="3" t="s">
        <v>13</v>
      </c>
      <c r="G1535" s="3" t="s">
        <v>13</v>
      </c>
      <c r="H1535" s="3" t="s">
        <v>13</v>
      </c>
      <c r="I1535" s="3">
        <v>73729500</v>
      </c>
    </row>
    <row r="1536" spans="1:9" x14ac:dyDescent="0.35">
      <c r="A1536" t="str">
        <f>"33008"</f>
        <v>33008</v>
      </c>
      <c r="B1536" t="s">
        <v>9</v>
      </c>
      <c r="C1536" t="s">
        <v>675</v>
      </c>
      <c r="D1536" s="5" t="s">
        <v>11</v>
      </c>
      <c r="E1536" s="5" t="s">
        <v>12</v>
      </c>
      <c r="F1536" s="3" t="s">
        <v>13</v>
      </c>
      <c r="G1536" s="3" t="s">
        <v>13</v>
      </c>
      <c r="H1536" s="3" t="s">
        <v>13</v>
      </c>
      <c r="I1536" s="3">
        <v>56944000</v>
      </c>
    </row>
    <row r="1537" spans="1:9" x14ac:dyDescent="0.35">
      <c r="A1537" t="str">
        <f>"33010"</f>
        <v>33010</v>
      </c>
      <c r="B1537" t="s">
        <v>9</v>
      </c>
      <c r="C1537" t="s">
        <v>676</v>
      </c>
      <c r="D1537" s="5" t="s">
        <v>11</v>
      </c>
      <c r="E1537" s="5" t="s">
        <v>12</v>
      </c>
      <c r="F1537" s="3" t="s">
        <v>13</v>
      </c>
      <c r="G1537" s="3" t="s">
        <v>13</v>
      </c>
      <c r="H1537" s="3" t="s">
        <v>13</v>
      </c>
      <c r="I1537" s="3">
        <v>153387900</v>
      </c>
    </row>
    <row r="1538" spans="1:9" x14ac:dyDescent="0.35">
      <c r="A1538" t="str">
        <f>"33012"</f>
        <v>33012</v>
      </c>
      <c r="B1538" t="s">
        <v>9</v>
      </c>
      <c r="C1538" t="s">
        <v>677</v>
      </c>
      <c r="D1538" s="5" t="s">
        <v>11</v>
      </c>
      <c r="E1538" s="5" t="s">
        <v>12</v>
      </c>
      <c r="F1538" s="3" t="s">
        <v>13</v>
      </c>
      <c r="G1538" s="3" t="s">
        <v>13</v>
      </c>
      <c r="H1538" s="3" t="s">
        <v>13</v>
      </c>
      <c r="I1538" s="3">
        <v>65302900</v>
      </c>
    </row>
    <row r="1539" spans="1:9" x14ac:dyDescent="0.35">
      <c r="A1539" t="str">
        <f>"33014"</f>
        <v>33014</v>
      </c>
      <c r="B1539" t="s">
        <v>9</v>
      </c>
      <c r="C1539" t="s">
        <v>678</v>
      </c>
      <c r="D1539" s="5" t="s">
        <v>11</v>
      </c>
      <c r="E1539" s="5" t="s">
        <v>12</v>
      </c>
      <c r="F1539" s="3" t="s">
        <v>13</v>
      </c>
      <c r="G1539" s="3" t="s">
        <v>13</v>
      </c>
      <c r="H1539" s="3" t="s">
        <v>13</v>
      </c>
      <c r="I1539" s="3">
        <v>61004400</v>
      </c>
    </row>
    <row r="1540" spans="1:9" x14ac:dyDescent="0.35">
      <c r="A1540" t="str">
        <f>"33016"</f>
        <v>33016</v>
      </c>
      <c r="B1540" t="s">
        <v>9</v>
      </c>
      <c r="C1540" t="s">
        <v>679</v>
      </c>
      <c r="D1540" s="5" t="s">
        <v>11</v>
      </c>
      <c r="E1540" s="5" t="s">
        <v>12</v>
      </c>
      <c r="F1540" s="3" t="s">
        <v>13</v>
      </c>
      <c r="G1540" s="3" t="s">
        <v>13</v>
      </c>
      <c r="H1540" s="3" t="s">
        <v>13</v>
      </c>
      <c r="I1540" s="3">
        <v>86177500</v>
      </c>
    </row>
    <row r="1541" spans="1:9" x14ac:dyDescent="0.35">
      <c r="A1541" t="str">
        <f>"33018"</f>
        <v>33018</v>
      </c>
      <c r="B1541" t="s">
        <v>9</v>
      </c>
      <c r="C1541" t="s">
        <v>680</v>
      </c>
      <c r="D1541" s="5" t="s">
        <v>11</v>
      </c>
      <c r="E1541" s="5" t="s">
        <v>12</v>
      </c>
      <c r="F1541" s="3" t="s">
        <v>13</v>
      </c>
      <c r="G1541" s="3" t="s">
        <v>13</v>
      </c>
      <c r="H1541" s="3" t="s">
        <v>13</v>
      </c>
      <c r="I1541" s="3">
        <v>66633800</v>
      </c>
    </row>
    <row r="1542" spans="1:9" x14ac:dyDescent="0.35">
      <c r="A1542" t="str">
        <f>"33020"</f>
        <v>33020</v>
      </c>
      <c r="B1542" t="s">
        <v>9</v>
      </c>
      <c r="C1542" t="s">
        <v>681</v>
      </c>
      <c r="D1542" s="5" t="s">
        <v>11</v>
      </c>
      <c r="E1542" s="5" t="s">
        <v>12</v>
      </c>
      <c r="F1542" s="3" t="s">
        <v>13</v>
      </c>
      <c r="G1542" s="3" t="s">
        <v>13</v>
      </c>
      <c r="H1542" s="3" t="s">
        <v>13</v>
      </c>
      <c r="I1542" s="3">
        <v>37393500</v>
      </c>
    </row>
    <row r="1543" spans="1:9" x14ac:dyDescent="0.35">
      <c r="A1543" t="str">
        <f>"33022"</f>
        <v>33022</v>
      </c>
      <c r="B1543" t="s">
        <v>9</v>
      </c>
      <c r="C1543" t="s">
        <v>543</v>
      </c>
      <c r="D1543" s="5" t="s">
        <v>11</v>
      </c>
      <c r="E1543" s="5" t="s">
        <v>12</v>
      </c>
      <c r="F1543" s="3" t="s">
        <v>13</v>
      </c>
      <c r="G1543" s="3" t="s">
        <v>13</v>
      </c>
      <c r="H1543" s="3" t="s">
        <v>13</v>
      </c>
      <c r="I1543" s="3">
        <v>22665200</v>
      </c>
    </row>
    <row r="1544" spans="1:9" x14ac:dyDescent="0.35">
      <c r="A1544" t="str">
        <f>"33024"</f>
        <v>33024</v>
      </c>
      <c r="B1544" t="s">
        <v>9</v>
      </c>
      <c r="C1544" t="s">
        <v>682</v>
      </c>
      <c r="D1544" s="5" t="s">
        <v>11</v>
      </c>
      <c r="E1544" s="5" t="s">
        <v>12</v>
      </c>
      <c r="F1544" s="3" t="s">
        <v>13</v>
      </c>
      <c r="G1544" s="3" t="s">
        <v>13</v>
      </c>
      <c r="H1544" s="3" t="s">
        <v>13</v>
      </c>
      <c r="I1544" s="3">
        <v>60350900</v>
      </c>
    </row>
    <row r="1545" spans="1:9" x14ac:dyDescent="0.35">
      <c r="A1545" t="str">
        <f>"33026"</f>
        <v>33026</v>
      </c>
      <c r="B1545" t="s">
        <v>9</v>
      </c>
      <c r="C1545" t="s">
        <v>443</v>
      </c>
      <c r="D1545" s="5" t="s">
        <v>11</v>
      </c>
      <c r="E1545" s="5" t="s">
        <v>12</v>
      </c>
      <c r="F1545" s="3" t="s">
        <v>13</v>
      </c>
      <c r="G1545" s="3" t="s">
        <v>13</v>
      </c>
      <c r="H1545" s="3" t="s">
        <v>13</v>
      </c>
      <c r="I1545" s="3">
        <v>68021600</v>
      </c>
    </row>
    <row r="1546" spans="1:9" x14ac:dyDescent="0.35">
      <c r="A1546" t="str">
        <f>"33028"</f>
        <v>33028</v>
      </c>
      <c r="B1546" t="s">
        <v>9</v>
      </c>
      <c r="C1546" t="s">
        <v>683</v>
      </c>
      <c r="D1546" s="5" t="s">
        <v>11</v>
      </c>
      <c r="E1546" s="5" t="s">
        <v>12</v>
      </c>
      <c r="F1546" s="3" t="s">
        <v>13</v>
      </c>
      <c r="G1546" s="3" t="s">
        <v>13</v>
      </c>
      <c r="H1546" s="3" t="s">
        <v>13</v>
      </c>
      <c r="I1546" s="3">
        <v>69411100</v>
      </c>
    </row>
    <row r="1547" spans="1:9" x14ac:dyDescent="0.35">
      <c r="A1547" t="str">
        <f>"33030"</f>
        <v>33030</v>
      </c>
      <c r="B1547" t="s">
        <v>9</v>
      </c>
      <c r="C1547" t="s">
        <v>684</v>
      </c>
      <c r="D1547" s="5" t="s">
        <v>11</v>
      </c>
      <c r="E1547" s="5" t="s">
        <v>12</v>
      </c>
      <c r="F1547" s="3" t="s">
        <v>13</v>
      </c>
      <c r="G1547" s="3" t="s">
        <v>13</v>
      </c>
      <c r="H1547" s="3" t="s">
        <v>13</v>
      </c>
      <c r="I1547" s="3">
        <v>62791100</v>
      </c>
    </row>
    <row r="1548" spans="1:9" x14ac:dyDescent="0.35">
      <c r="A1548" t="str">
        <f>"33032"</f>
        <v>33032</v>
      </c>
      <c r="B1548" t="s">
        <v>9</v>
      </c>
      <c r="C1548" t="s">
        <v>685</v>
      </c>
      <c r="D1548" s="5" t="s">
        <v>11</v>
      </c>
      <c r="E1548" s="5" t="s">
        <v>12</v>
      </c>
      <c r="F1548" s="3" t="s">
        <v>13</v>
      </c>
      <c r="G1548" s="3" t="s">
        <v>13</v>
      </c>
      <c r="H1548" s="3" t="s">
        <v>13</v>
      </c>
      <c r="I1548" s="3">
        <v>20534000</v>
      </c>
    </row>
    <row r="1549" spans="1:9" x14ac:dyDescent="0.35">
      <c r="A1549" t="str">
        <f>"33034"</f>
        <v>33034</v>
      </c>
      <c r="B1549" t="s">
        <v>9</v>
      </c>
      <c r="C1549" t="s">
        <v>686</v>
      </c>
      <c r="D1549" s="5" t="s">
        <v>11</v>
      </c>
      <c r="E1549" s="5" t="s">
        <v>12</v>
      </c>
      <c r="F1549" s="3" t="s">
        <v>13</v>
      </c>
      <c r="G1549" s="3" t="s">
        <v>13</v>
      </c>
      <c r="H1549" s="3" t="s">
        <v>13</v>
      </c>
      <c r="I1549" s="3">
        <v>136390200</v>
      </c>
    </row>
    <row r="1550" spans="1:9" x14ac:dyDescent="0.35">
      <c r="A1550" t="str">
        <f>"33036"</f>
        <v>33036</v>
      </c>
      <c r="B1550" t="s">
        <v>9</v>
      </c>
      <c r="C1550" t="s">
        <v>687</v>
      </c>
      <c r="D1550" s="5" t="s">
        <v>11</v>
      </c>
      <c r="E1550" s="5" t="s">
        <v>12</v>
      </c>
      <c r="F1550" s="3" t="s">
        <v>13</v>
      </c>
      <c r="G1550" s="3" t="s">
        <v>13</v>
      </c>
      <c r="H1550" s="3" t="s">
        <v>13</v>
      </c>
      <c r="I1550" s="3">
        <v>140194500</v>
      </c>
    </row>
    <row r="1551" spans="1:9" x14ac:dyDescent="0.35">
      <c r="A1551" t="s">
        <v>30</v>
      </c>
      <c r="B1551" t="s">
        <v>31</v>
      </c>
      <c r="C1551" t="s">
        <v>32</v>
      </c>
      <c r="D1551" s="5" t="s">
        <v>11</v>
      </c>
      <c r="E1551" s="5" t="s">
        <v>12</v>
      </c>
      <c r="F1551" s="3" t="s">
        <v>13</v>
      </c>
      <c r="G1551" s="3" t="s">
        <v>13</v>
      </c>
      <c r="H1551" s="3" t="s">
        <v>13</v>
      </c>
      <c r="I1551" s="3">
        <v>1382998900</v>
      </c>
    </row>
    <row r="1552" spans="1:9" x14ac:dyDescent="0.35">
      <c r="A1552" t="str">
        <f>"33101"</f>
        <v>33101</v>
      </c>
      <c r="B1552" t="s">
        <v>33</v>
      </c>
      <c r="C1552" t="s">
        <v>672</v>
      </c>
      <c r="D1552" s="5" t="str">
        <f>"003"</f>
        <v>003</v>
      </c>
      <c r="E1552" s="5">
        <v>2012</v>
      </c>
      <c r="F1552" s="3">
        <v>1751500</v>
      </c>
      <c r="G1552" s="3">
        <v>6900300</v>
      </c>
      <c r="H1552" s="3">
        <v>5148800</v>
      </c>
    </row>
    <row r="1553" spans="1:9" x14ac:dyDescent="0.35">
      <c r="A1553" t="str">
        <f>"33101"</f>
        <v>33101</v>
      </c>
      <c r="B1553" t="s">
        <v>33</v>
      </c>
      <c r="C1553" t="s">
        <v>672</v>
      </c>
      <c r="D1553" s="5" t="s">
        <v>11</v>
      </c>
      <c r="E1553" s="5" t="s">
        <v>12</v>
      </c>
      <c r="F1553" s="3" t="s">
        <v>13</v>
      </c>
      <c r="G1553" s="3" t="s">
        <v>13</v>
      </c>
      <c r="H1553" s="3" t="s">
        <v>13</v>
      </c>
      <c r="I1553" s="3">
        <v>73408600</v>
      </c>
    </row>
    <row r="1554" spans="1:9" x14ac:dyDescent="0.35">
      <c r="A1554" t="str">
        <f>"33106"</f>
        <v>33106</v>
      </c>
      <c r="B1554" t="s">
        <v>33</v>
      </c>
      <c r="C1554" t="s">
        <v>673</v>
      </c>
      <c r="D1554" s="5" t="str">
        <f>"001"</f>
        <v>001</v>
      </c>
      <c r="E1554" s="5">
        <v>2004</v>
      </c>
      <c r="F1554" s="3">
        <v>56000</v>
      </c>
      <c r="G1554" s="3">
        <v>11954800</v>
      </c>
      <c r="H1554" s="3">
        <v>11898800</v>
      </c>
    </row>
    <row r="1555" spans="1:9" x14ac:dyDescent="0.35">
      <c r="A1555" t="str">
        <f>"33106"</f>
        <v>33106</v>
      </c>
      <c r="B1555" t="s">
        <v>33</v>
      </c>
      <c r="C1555" t="s">
        <v>673</v>
      </c>
      <c r="D1555" s="5" t="str">
        <f>"002"</f>
        <v>002</v>
      </c>
      <c r="E1555" s="5">
        <v>2025</v>
      </c>
      <c r="F1555" s="3">
        <v>2616300</v>
      </c>
      <c r="G1555" s="3">
        <v>2633900</v>
      </c>
      <c r="H1555" s="3">
        <v>17600</v>
      </c>
    </row>
    <row r="1556" spans="1:9" x14ac:dyDescent="0.35">
      <c r="A1556" t="str">
        <f>"33106"</f>
        <v>33106</v>
      </c>
      <c r="B1556" t="s">
        <v>33</v>
      </c>
      <c r="C1556" t="s">
        <v>673</v>
      </c>
      <c r="D1556" s="5" t="s">
        <v>11</v>
      </c>
      <c r="E1556" s="5" t="s">
        <v>12</v>
      </c>
      <c r="F1556" s="3" t="s">
        <v>13</v>
      </c>
      <c r="G1556" s="3" t="s">
        <v>13</v>
      </c>
      <c r="H1556" s="3" t="s">
        <v>13</v>
      </c>
      <c r="I1556" s="3">
        <v>113181700</v>
      </c>
    </row>
    <row r="1557" spans="1:9" x14ac:dyDescent="0.35">
      <c r="A1557" t="str">
        <f>"33107"</f>
        <v>33107</v>
      </c>
      <c r="B1557" t="s">
        <v>33</v>
      </c>
      <c r="C1557" t="s">
        <v>674</v>
      </c>
      <c r="D1557" s="5" t="s">
        <v>11</v>
      </c>
      <c r="E1557" s="5" t="s">
        <v>12</v>
      </c>
      <c r="F1557" s="3" t="s">
        <v>13</v>
      </c>
      <c r="G1557" s="3" t="s">
        <v>13</v>
      </c>
      <c r="H1557" s="3" t="s">
        <v>13</v>
      </c>
      <c r="I1557" s="3">
        <v>89745200</v>
      </c>
    </row>
    <row r="1558" spans="1:9" x14ac:dyDescent="0.35">
      <c r="A1558" t="str">
        <f>"33108"</f>
        <v>33108</v>
      </c>
      <c r="B1558" t="s">
        <v>33</v>
      </c>
      <c r="C1558" t="s">
        <v>568</v>
      </c>
      <c r="D1558" s="5" t="str">
        <f>"001"</f>
        <v>001</v>
      </c>
      <c r="E1558" s="5">
        <v>2024</v>
      </c>
      <c r="F1558" s="3">
        <v>4838100</v>
      </c>
      <c r="G1558" s="3">
        <v>6407100</v>
      </c>
      <c r="H1558" s="3">
        <v>1569000</v>
      </c>
    </row>
    <row r="1559" spans="1:9" x14ac:dyDescent="0.35">
      <c r="A1559" t="str">
        <f>"33108"</f>
        <v>33108</v>
      </c>
      <c r="B1559" t="s">
        <v>33</v>
      </c>
      <c r="C1559" t="s">
        <v>568</v>
      </c>
      <c r="D1559" s="5" t="s">
        <v>11</v>
      </c>
      <c r="E1559" s="5" t="s">
        <v>12</v>
      </c>
      <c r="F1559" s="3" t="s">
        <v>13</v>
      </c>
      <c r="G1559" s="3" t="s">
        <v>13</v>
      </c>
      <c r="H1559" s="3" t="s">
        <v>13</v>
      </c>
      <c r="I1559" s="3">
        <v>60276000</v>
      </c>
    </row>
    <row r="1560" spans="1:9" x14ac:dyDescent="0.35">
      <c r="A1560" t="str">
        <f>"33131"</f>
        <v>33131</v>
      </c>
      <c r="B1560" t="s">
        <v>33</v>
      </c>
      <c r="C1560" t="s">
        <v>679</v>
      </c>
      <c r="D1560" s="5" t="str">
        <f>"001"</f>
        <v>001</v>
      </c>
      <c r="E1560" s="5">
        <v>2001</v>
      </c>
      <c r="F1560" s="3">
        <v>449900</v>
      </c>
      <c r="G1560" s="3">
        <v>2158100</v>
      </c>
      <c r="H1560" s="3">
        <v>1708200</v>
      </c>
    </row>
    <row r="1561" spans="1:9" x14ac:dyDescent="0.35">
      <c r="A1561" t="str">
        <f>"33131"</f>
        <v>33131</v>
      </c>
      <c r="B1561" t="s">
        <v>33</v>
      </c>
      <c r="C1561" t="s">
        <v>679</v>
      </c>
      <c r="D1561" s="5" t="s">
        <v>11</v>
      </c>
      <c r="E1561" s="5" t="s">
        <v>12</v>
      </c>
      <c r="F1561" s="3" t="s">
        <v>13</v>
      </c>
      <c r="G1561" s="3" t="s">
        <v>13</v>
      </c>
      <c r="H1561" s="3" t="s">
        <v>13</v>
      </c>
      <c r="I1561" s="3">
        <v>13498300</v>
      </c>
    </row>
    <row r="1562" spans="1:9" x14ac:dyDescent="0.35">
      <c r="A1562" t="str">
        <f>"33136"</f>
        <v>33136</v>
      </c>
      <c r="B1562" t="s">
        <v>33</v>
      </c>
      <c r="C1562" t="s">
        <v>500</v>
      </c>
      <c r="D1562" s="5" t="s">
        <v>11</v>
      </c>
      <c r="E1562" s="5" t="s">
        <v>12</v>
      </c>
      <c r="F1562" s="3" t="s">
        <v>13</v>
      </c>
      <c r="G1562" s="3" t="s">
        <v>13</v>
      </c>
      <c r="H1562" s="3" t="s">
        <v>13</v>
      </c>
      <c r="I1562" s="3">
        <v>2413900</v>
      </c>
    </row>
    <row r="1563" spans="1:9" x14ac:dyDescent="0.35">
      <c r="A1563" t="str">
        <f>"33181"</f>
        <v>33181</v>
      </c>
      <c r="B1563" t="s">
        <v>33</v>
      </c>
      <c r="C1563" t="s">
        <v>688</v>
      </c>
      <c r="D1563" s="5" t="s">
        <v>11</v>
      </c>
      <c r="E1563" s="5" t="s">
        <v>12</v>
      </c>
      <c r="F1563" s="3" t="s">
        <v>13</v>
      </c>
      <c r="G1563" s="3" t="s">
        <v>13</v>
      </c>
      <c r="H1563" s="3" t="s">
        <v>13</v>
      </c>
      <c r="I1563" s="3">
        <v>39516100</v>
      </c>
    </row>
    <row r="1564" spans="1:9" x14ac:dyDescent="0.35">
      <c r="A1564" t="s">
        <v>30</v>
      </c>
      <c r="B1564" t="s">
        <v>35</v>
      </c>
      <c r="C1564" t="s">
        <v>32</v>
      </c>
      <c r="D1564" s="5" t="s">
        <v>11</v>
      </c>
      <c r="E1564" s="5" t="s">
        <v>12</v>
      </c>
      <c r="F1564" s="3" t="s">
        <v>13</v>
      </c>
      <c r="G1564" s="3" t="s">
        <v>13</v>
      </c>
      <c r="H1564" s="3" t="s">
        <v>13</v>
      </c>
      <c r="I1564" s="3">
        <v>392039800</v>
      </c>
    </row>
    <row r="1565" spans="1:9" x14ac:dyDescent="0.35">
      <c r="A1565" t="str">
        <f>"33211"</f>
        <v>33211</v>
      </c>
      <c r="B1565" t="s">
        <v>36</v>
      </c>
      <c r="C1565" t="s">
        <v>529</v>
      </c>
      <c r="D1565" s="5" t="str">
        <f>"004"</f>
        <v>004</v>
      </c>
      <c r="E1565" s="5">
        <v>2019</v>
      </c>
      <c r="F1565" s="3">
        <v>2233100</v>
      </c>
      <c r="G1565" s="3">
        <v>3864200</v>
      </c>
      <c r="H1565" s="3">
        <v>1631100</v>
      </c>
    </row>
    <row r="1566" spans="1:9" x14ac:dyDescent="0.35">
      <c r="A1566" t="str">
        <f>"33211"</f>
        <v>33211</v>
      </c>
      <c r="B1566" t="s">
        <v>36</v>
      </c>
      <c r="C1566" t="s">
        <v>529</v>
      </c>
      <c r="D1566" s="5" t="s">
        <v>11</v>
      </c>
      <c r="E1566" s="5" t="s">
        <v>12</v>
      </c>
      <c r="F1566" s="3" t="s">
        <v>13</v>
      </c>
      <c r="G1566" s="3" t="s">
        <v>13</v>
      </c>
      <c r="H1566" s="3" t="s">
        <v>13</v>
      </c>
      <c r="I1566" s="3">
        <v>29481800</v>
      </c>
    </row>
    <row r="1567" spans="1:9" x14ac:dyDescent="0.35">
      <c r="A1567" t="str">
        <f>"33216"</f>
        <v>33216</v>
      </c>
      <c r="B1567" t="s">
        <v>36</v>
      </c>
      <c r="C1567" t="s">
        <v>676</v>
      </c>
      <c r="D1567" s="5" t="str">
        <f>"008"</f>
        <v>008</v>
      </c>
      <c r="E1567" s="5">
        <v>2018</v>
      </c>
      <c r="F1567" s="3">
        <v>19600</v>
      </c>
      <c r="G1567" s="3">
        <v>3423700</v>
      </c>
      <c r="H1567" s="3">
        <v>3404100</v>
      </c>
    </row>
    <row r="1568" spans="1:9" x14ac:dyDescent="0.35">
      <c r="A1568" t="str">
        <f>"33216"</f>
        <v>33216</v>
      </c>
      <c r="B1568" t="s">
        <v>36</v>
      </c>
      <c r="C1568" t="s">
        <v>676</v>
      </c>
      <c r="D1568" s="5" t="s">
        <v>11</v>
      </c>
      <c r="E1568" s="5" t="s">
        <v>12</v>
      </c>
      <c r="F1568" s="3" t="s">
        <v>13</v>
      </c>
      <c r="G1568" s="3" t="s">
        <v>13</v>
      </c>
      <c r="H1568" s="3" t="s">
        <v>13</v>
      </c>
      <c r="I1568" s="3">
        <v>209850900</v>
      </c>
    </row>
    <row r="1569" spans="1:9" x14ac:dyDescent="0.35">
      <c r="A1569" t="str">
        <f t="shared" ref="A1569:A1574" si="35">"33281"</f>
        <v>33281</v>
      </c>
      <c r="B1569" t="s">
        <v>36</v>
      </c>
      <c r="C1569" t="s">
        <v>683</v>
      </c>
      <c r="D1569" s="5" t="str">
        <f>"003"</f>
        <v>003</v>
      </c>
      <c r="E1569" s="5">
        <v>1997</v>
      </c>
      <c r="F1569" s="3">
        <v>1311800</v>
      </c>
      <c r="G1569" s="3">
        <v>9540800</v>
      </c>
      <c r="H1569" s="3">
        <v>8229000</v>
      </c>
    </row>
    <row r="1570" spans="1:9" x14ac:dyDescent="0.35">
      <c r="A1570" t="str">
        <f t="shared" si="35"/>
        <v>33281</v>
      </c>
      <c r="B1570" t="s">
        <v>36</v>
      </c>
      <c r="C1570" t="s">
        <v>683</v>
      </c>
      <c r="D1570" s="5" t="str">
        <f>"004"</f>
        <v>004</v>
      </c>
      <c r="E1570" s="5">
        <v>1997</v>
      </c>
      <c r="F1570" s="3">
        <v>15000</v>
      </c>
      <c r="G1570" s="3">
        <v>1676100</v>
      </c>
      <c r="H1570" s="3">
        <v>1661100</v>
      </c>
    </row>
    <row r="1571" spans="1:9" x14ac:dyDescent="0.35">
      <c r="A1571" t="str">
        <f t="shared" si="35"/>
        <v>33281</v>
      </c>
      <c r="B1571" t="s">
        <v>36</v>
      </c>
      <c r="C1571" t="s">
        <v>683</v>
      </c>
      <c r="D1571" s="5" t="str">
        <f>"005"</f>
        <v>005</v>
      </c>
      <c r="E1571" s="5">
        <v>2005</v>
      </c>
      <c r="F1571" s="3">
        <v>161500</v>
      </c>
      <c r="G1571" s="3">
        <v>861600</v>
      </c>
      <c r="H1571" s="3">
        <v>700100</v>
      </c>
    </row>
    <row r="1572" spans="1:9" x14ac:dyDescent="0.35">
      <c r="A1572" t="str">
        <f t="shared" si="35"/>
        <v>33281</v>
      </c>
      <c r="B1572" t="s">
        <v>36</v>
      </c>
      <c r="C1572" t="s">
        <v>683</v>
      </c>
      <c r="D1572" s="5" t="str">
        <f>"006"</f>
        <v>006</v>
      </c>
      <c r="E1572" s="5">
        <v>2010</v>
      </c>
      <c r="F1572" s="3">
        <v>12400</v>
      </c>
      <c r="G1572" s="3">
        <v>4585800</v>
      </c>
      <c r="H1572" s="3">
        <v>4573400</v>
      </c>
    </row>
    <row r="1573" spans="1:9" x14ac:dyDescent="0.35">
      <c r="A1573" t="str">
        <f t="shared" si="35"/>
        <v>33281</v>
      </c>
      <c r="B1573" t="s">
        <v>36</v>
      </c>
      <c r="C1573" t="s">
        <v>683</v>
      </c>
      <c r="D1573" s="5" t="str">
        <f>"007"</f>
        <v>007</v>
      </c>
      <c r="E1573" s="5">
        <v>2010</v>
      </c>
      <c r="F1573" s="3">
        <v>913500</v>
      </c>
      <c r="G1573" s="3">
        <v>4166900</v>
      </c>
      <c r="H1573" s="3">
        <v>3253400</v>
      </c>
    </row>
    <row r="1574" spans="1:9" x14ac:dyDescent="0.35">
      <c r="A1574" t="str">
        <f t="shared" si="35"/>
        <v>33281</v>
      </c>
      <c r="B1574" t="s">
        <v>36</v>
      </c>
      <c r="C1574" t="s">
        <v>683</v>
      </c>
      <c r="D1574" s="5" t="s">
        <v>11</v>
      </c>
      <c r="E1574" s="5" t="s">
        <v>12</v>
      </c>
      <c r="F1574" s="3" t="s">
        <v>13</v>
      </c>
      <c r="G1574" s="3" t="s">
        <v>13</v>
      </c>
      <c r="H1574" s="3" t="s">
        <v>13</v>
      </c>
      <c r="I1574" s="3">
        <v>98231400</v>
      </c>
    </row>
    <row r="1575" spans="1:9" x14ac:dyDescent="0.35">
      <c r="A1575" t="s">
        <v>30</v>
      </c>
      <c r="B1575" t="s">
        <v>38</v>
      </c>
      <c r="C1575" t="s">
        <v>32</v>
      </c>
      <c r="D1575" s="5" t="s">
        <v>11</v>
      </c>
      <c r="E1575" s="5" t="s">
        <v>12</v>
      </c>
      <c r="F1575" s="3" t="s">
        <v>13</v>
      </c>
      <c r="G1575" s="3" t="s">
        <v>13</v>
      </c>
      <c r="H1575" s="3" t="s">
        <v>13</v>
      </c>
      <c r="I1575" s="3">
        <v>337564100</v>
      </c>
    </row>
    <row r="1576" spans="1:9" x14ac:dyDescent="0.35">
      <c r="A1576" t="s">
        <v>30</v>
      </c>
      <c r="B1576" t="s">
        <v>39</v>
      </c>
      <c r="C1576" t="s">
        <v>200</v>
      </c>
      <c r="D1576" s="5" t="s">
        <v>11</v>
      </c>
      <c r="E1576" s="5" t="s">
        <v>12</v>
      </c>
      <c r="F1576" s="3" t="s">
        <v>13</v>
      </c>
      <c r="G1576" s="3" t="s">
        <v>13</v>
      </c>
      <c r="H1576" s="3" t="s">
        <v>13</v>
      </c>
      <c r="I1576" s="3">
        <v>2112602800</v>
      </c>
    </row>
    <row r="1577" spans="1:9" x14ac:dyDescent="0.35">
      <c r="A1577" t="str">
        <f>"34002"</f>
        <v>34002</v>
      </c>
      <c r="B1577" t="s">
        <v>9</v>
      </c>
      <c r="C1577" t="s">
        <v>689</v>
      </c>
      <c r="D1577" s="5" t="s">
        <v>11</v>
      </c>
      <c r="E1577" s="5" t="s">
        <v>12</v>
      </c>
      <c r="F1577" s="3" t="s">
        <v>13</v>
      </c>
      <c r="G1577" s="3" t="s">
        <v>13</v>
      </c>
      <c r="H1577" s="3" t="s">
        <v>13</v>
      </c>
      <c r="I1577" s="3">
        <v>74513400</v>
      </c>
    </row>
    <row r="1578" spans="1:9" x14ac:dyDescent="0.35">
      <c r="A1578" t="str">
        <f>"34004"</f>
        <v>34004</v>
      </c>
      <c r="B1578" t="s">
        <v>9</v>
      </c>
      <c r="C1578" t="s">
        <v>690</v>
      </c>
      <c r="D1578" s="5" t="s">
        <v>11</v>
      </c>
      <c r="E1578" s="5" t="s">
        <v>12</v>
      </c>
      <c r="F1578" s="3" t="s">
        <v>13</v>
      </c>
      <c r="G1578" s="3" t="s">
        <v>13</v>
      </c>
      <c r="H1578" s="3" t="s">
        <v>13</v>
      </c>
      <c r="I1578" s="3">
        <v>145043300</v>
      </c>
    </row>
    <row r="1579" spans="1:9" x14ac:dyDescent="0.35">
      <c r="A1579" t="str">
        <f>"34006"</f>
        <v>34006</v>
      </c>
      <c r="B1579" t="s">
        <v>9</v>
      </c>
      <c r="C1579" t="s">
        <v>691</v>
      </c>
      <c r="D1579" s="5" t="s">
        <v>11</v>
      </c>
      <c r="E1579" s="5" t="s">
        <v>12</v>
      </c>
      <c r="F1579" s="3" t="s">
        <v>13</v>
      </c>
      <c r="G1579" s="3" t="s">
        <v>13</v>
      </c>
      <c r="H1579" s="3" t="s">
        <v>13</v>
      </c>
      <c r="I1579" s="3">
        <v>193662000</v>
      </c>
    </row>
    <row r="1580" spans="1:9" x14ac:dyDescent="0.35">
      <c r="A1580" t="str">
        <f>"34008"</f>
        <v>34008</v>
      </c>
      <c r="B1580" t="s">
        <v>9</v>
      </c>
      <c r="C1580" t="s">
        <v>692</v>
      </c>
      <c r="D1580" s="5" t="s">
        <v>11</v>
      </c>
      <c r="E1580" s="5" t="s">
        <v>12</v>
      </c>
      <c r="F1580" s="3" t="s">
        <v>13</v>
      </c>
      <c r="G1580" s="3" t="s">
        <v>13</v>
      </c>
      <c r="H1580" s="3" t="s">
        <v>13</v>
      </c>
      <c r="I1580" s="3">
        <v>542209400</v>
      </c>
    </row>
    <row r="1581" spans="1:9" x14ac:dyDescent="0.35">
      <c r="A1581" t="str">
        <f>"34010"</f>
        <v>34010</v>
      </c>
      <c r="B1581" t="s">
        <v>9</v>
      </c>
      <c r="C1581" t="s">
        <v>693</v>
      </c>
      <c r="D1581" s="5" t="s">
        <v>11</v>
      </c>
      <c r="E1581" s="5" t="s">
        <v>12</v>
      </c>
      <c r="F1581" s="3" t="s">
        <v>13</v>
      </c>
      <c r="G1581" s="3" t="s">
        <v>13</v>
      </c>
      <c r="H1581" s="3" t="s">
        <v>13</v>
      </c>
      <c r="I1581" s="3">
        <v>71969700</v>
      </c>
    </row>
    <row r="1582" spans="1:9" x14ac:dyDescent="0.35">
      <c r="A1582" t="str">
        <f>"34012"</f>
        <v>34012</v>
      </c>
      <c r="B1582" t="s">
        <v>9</v>
      </c>
      <c r="C1582" t="s">
        <v>694</v>
      </c>
      <c r="D1582" s="5" t="s">
        <v>11</v>
      </c>
      <c r="E1582" s="5" t="s">
        <v>12</v>
      </c>
      <c r="F1582" s="3" t="s">
        <v>13</v>
      </c>
      <c r="G1582" s="3" t="s">
        <v>13</v>
      </c>
      <c r="H1582" s="3" t="s">
        <v>13</v>
      </c>
      <c r="I1582" s="3">
        <v>104611500</v>
      </c>
    </row>
    <row r="1583" spans="1:9" x14ac:dyDescent="0.35">
      <c r="A1583" t="str">
        <f>"34014"</f>
        <v>34014</v>
      </c>
      <c r="B1583" t="s">
        <v>9</v>
      </c>
      <c r="C1583" t="s">
        <v>695</v>
      </c>
      <c r="D1583" s="5" t="s">
        <v>11</v>
      </c>
      <c r="E1583" s="5" t="s">
        <v>12</v>
      </c>
      <c r="F1583" s="3" t="s">
        <v>13</v>
      </c>
      <c r="G1583" s="3" t="s">
        <v>13</v>
      </c>
      <c r="H1583" s="3" t="s">
        <v>13</v>
      </c>
      <c r="I1583" s="3">
        <v>134203300</v>
      </c>
    </row>
    <row r="1584" spans="1:9" x14ac:dyDescent="0.35">
      <c r="A1584" t="str">
        <f>"34016"</f>
        <v>34016</v>
      </c>
      <c r="B1584" t="s">
        <v>9</v>
      </c>
      <c r="C1584" t="s">
        <v>696</v>
      </c>
      <c r="D1584" s="5" t="s">
        <v>11</v>
      </c>
      <c r="E1584" s="5" t="s">
        <v>12</v>
      </c>
      <c r="F1584" s="3" t="s">
        <v>13</v>
      </c>
      <c r="G1584" s="3" t="s">
        <v>13</v>
      </c>
      <c r="H1584" s="3" t="s">
        <v>13</v>
      </c>
      <c r="I1584" s="3">
        <v>132170300</v>
      </c>
    </row>
    <row r="1585" spans="1:9" x14ac:dyDescent="0.35">
      <c r="A1585" t="str">
        <f>"34018"</f>
        <v>34018</v>
      </c>
      <c r="B1585" t="s">
        <v>9</v>
      </c>
      <c r="C1585" t="s">
        <v>697</v>
      </c>
      <c r="D1585" s="5" t="s">
        <v>11</v>
      </c>
      <c r="E1585" s="5" t="s">
        <v>12</v>
      </c>
      <c r="F1585" s="3" t="s">
        <v>13</v>
      </c>
      <c r="G1585" s="3" t="s">
        <v>13</v>
      </c>
      <c r="H1585" s="3" t="s">
        <v>13</v>
      </c>
      <c r="I1585" s="3">
        <v>27042600</v>
      </c>
    </row>
    <row r="1586" spans="1:9" x14ac:dyDescent="0.35">
      <c r="A1586" t="str">
        <f>"34020"</f>
        <v>34020</v>
      </c>
      <c r="B1586" t="s">
        <v>9</v>
      </c>
      <c r="C1586" t="s">
        <v>698</v>
      </c>
      <c r="D1586" s="5" t="s">
        <v>11</v>
      </c>
      <c r="E1586" s="5" t="s">
        <v>12</v>
      </c>
      <c r="F1586" s="3" t="s">
        <v>13</v>
      </c>
      <c r="G1586" s="3" t="s">
        <v>13</v>
      </c>
      <c r="H1586" s="3" t="s">
        <v>13</v>
      </c>
      <c r="I1586" s="3">
        <v>53058300</v>
      </c>
    </row>
    <row r="1587" spans="1:9" x14ac:dyDescent="0.35">
      <c r="A1587" t="str">
        <f>"34022"</f>
        <v>34022</v>
      </c>
      <c r="B1587" t="s">
        <v>9</v>
      </c>
      <c r="C1587" t="s">
        <v>699</v>
      </c>
      <c r="D1587" s="5" t="s">
        <v>11</v>
      </c>
      <c r="E1587" s="5" t="s">
        <v>12</v>
      </c>
      <c r="F1587" s="3" t="s">
        <v>13</v>
      </c>
      <c r="G1587" s="3" t="s">
        <v>13</v>
      </c>
      <c r="H1587" s="3" t="s">
        <v>13</v>
      </c>
      <c r="I1587" s="3">
        <v>160858100</v>
      </c>
    </row>
    <row r="1588" spans="1:9" x14ac:dyDescent="0.35">
      <c r="A1588" t="str">
        <f>"34024"</f>
        <v>34024</v>
      </c>
      <c r="B1588" t="s">
        <v>9</v>
      </c>
      <c r="C1588" t="s">
        <v>700</v>
      </c>
      <c r="D1588" s="5" t="s">
        <v>11</v>
      </c>
      <c r="E1588" s="5" t="s">
        <v>12</v>
      </c>
      <c r="F1588" s="3" t="s">
        <v>13</v>
      </c>
      <c r="G1588" s="3" t="s">
        <v>13</v>
      </c>
      <c r="H1588" s="3" t="s">
        <v>13</v>
      </c>
      <c r="I1588" s="3">
        <v>34160800</v>
      </c>
    </row>
    <row r="1589" spans="1:9" x14ac:dyDescent="0.35">
      <c r="A1589" t="str">
        <f>"34026"</f>
        <v>34026</v>
      </c>
      <c r="B1589" t="s">
        <v>9</v>
      </c>
      <c r="C1589" t="s">
        <v>701</v>
      </c>
      <c r="D1589" s="5" t="s">
        <v>11</v>
      </c>
      <c r="E1589" s="5" t="s">
        <v>12</v>
      </c>
      <c r="F1589" s="3" t="s">
        <v>13</v>
      </c>
      <c r="G1589" s="3" t="s">
        <v>13</v>
      </c>
      <c r="H1589" s="3" t="s">
        <v>13</v>
      </c>
      <c r="I1589" s="3">
        <v>196744100</v>
      </c>
    </row>
    <row r="1590" spans="1:9" x14ac:dyDescent="0.35">
      <c r="A1590" t="str">
        <f>"34028"</f>
        <v>34028</v>
      </c>
      <c r="B1590" t="s">
        <v>9</v>
      </c>
      <c r="C1590" t="s">
        <v>407</v>
      </c>
      <c r="D1590" s="5" t="s">
        <v>11</v>
      </c>
      <c r="E1590" s="5" t="s">
        <v>12</v>
      </c>
      <c r="F1590" s="3" t="s">
        <v>13</v>
      </c>
      <c r="G1590" s="3" t="s">
        <v>13</v>
      </c>
      <c r="H1590" s="3" t="s">
        <v>13</v>
      </c>
      <c r="I1590" s="3">
        <v>40796900</v>
      </c>
    </row>
    <row r="1591" spans="1:9" x14ac:dyDescent="0.35">
      <c r="A1591" t="str">
        <f>"34030"</f>
        <v>34030</v>
      </c>
      <c r="B1591" t="s">
        <v>9</v>
      </c>
      <c r="C1591" t="s">
        <v>702</v>
      </c>
      <c r="D1591" s="5" t="s">
        <v>11</v>
      </c>
      <c r="E1591" s="5" t="s">
        <v>12</v>
      </c>
      <c r="F1591" s="3" t="s">
        <v>13</v>
      </c>
      <c r="G1591" s="3" t="s">
        <v>13</v>
      </c>
      <c r="H1591" s="3" t="s">
        <v>13</v>
      </c>
      <c r="I1591" s="3">
        <v>395527700</v>
      </c>
    </row>
    <row r="1592" spans="1:9" x14ac:dyDescent="0.35">
      <c r="A1592" t="str">
        <f>"34032"</f>
        <v>34032</v>
      </c>
      <c r="B1592" t="s">
        <v>9</v>
      </c>
      <c r="C1592" t="s">
        <v>703</v>
      </c>
      <c r="D1592" s="5" t="s">
        <v>11</v>
      </c>
      <c r="E1592" s="5" t="s">
        <v>12</v>
      </c>
      <c r="F1592" s="3" t="s">
        <v>13</v>
      </c>
      <c r="G1592" s="3" t="s">
        <v>13</v>
      </c>
      <c r="H1592" s="3" t="s">
        <v>13</v>
      </c>
      <c r="I1592" s="3">
        <v>54588100</v>
      </c>
    </row>
    <row r="1593" spans="1:9" x14ac:dyDescent="0.35">
      <c r="A1593" t="str">
        <f>"34034"</f>
        <v>34034</v>
      </c>
      <c r="B1593" t="s">
        <v>9</v>
      </c>
      <c r="C1593" t="s">
        <v>704</v>
      </c>
      <c r="D1593" s="5" t="s">
        <v>11</v>
      </c>
      <c r="E1593" s="5" t="s">
        <v>12</v>
      </c>
      <c r="F1593" s="3" t="s">
        <v>13</v>
      </c>
      <c r="G1593" s="3" t="s">
        <v>13</v>
      </c>
      <c r="H1593" s="3" t="s">
        <v>13</v>
      </c>
      <c r="I1593" s="3">
        <v>242899700</v>
      </c>
    </row>
    <row r="1594" spans="1:9" x14ac:dyDescent="0.35">
      <c r="A1594" t="s">
        <v>30</v>
      </c>
      <c r="B1594" t="s">
        <v>31</v>
      </c>
      <c r="C1594" t="s">
        <v>32</v>
      </c>
      <c r="D1594" s="5" t="s">
        <v>11</v>
      </c>
      <c r="E1594" s="5" t="s">
        <v>12</v>
      </c>
      <c r="F1594" s="3" t="s">
        <v>13</v>
      </c>
      <c r="G1594" s="3" t="s">
        <v>13</v>
      </c>
      <c r="H1594" s="3" t="s">
        <v>13</v>
      </c>
      <c r="I1594" s="3">
        <v>2604059200</v>
      </c>
    </row>
    <row r="1595" spans="1:9" x14ac:dyDescent="0.35">
      <c r="A1595" t="str">
        <f>"34191"</f>
        <v>34191</v>
      </c>
      <c r="B1595" t="s">
        <v>33</v>
      </c>
      <c r="C1595" t="s">
        <v>705</v>
      </c>
      <c r="D1595" s="5" t="str">
        <f>"002"</f>
        <v>002</v>
      </c>
      <c r="E1595" s="5">
        <v>2021</v>
      </c>
      <c r="F1595" s="3">
        <v>2543800</v>
      </c>
      <c r="G1595" s="3">
        <v>4832800</v>
      </c>
      <c r="H1595" s="3">
        <v>2289000</v>
      </c>
    </row>
    <row r="1596" spans="1:9" x14ac:dyDescent="0.35">
      <c r="A1596" t="str">
        <f>"34191"</f>
        <v>34191</v>
      </c>
      <c r="B1596" t="s">
        <v>33</v>
      </c>
      <c r="C1596" t="s">
        <v>705</v>
      </c>
      <c r="D1596" s="5" t="s">
        <v>11</v>
      </c>
      <c r="E1596" s="5" t="s">
        <v>12</v>
      </c>
      <c r="F1596" s="3" t="s">
        <v>13</v>
      </c>
      <c r="G1596" s="3" t="s">
        <v>13</v>
      </c>
      <c r="H1596" s="3" t="s">
        <v>13</v>
      </c>
      <c r="I1596" s="3">
        <v>34662000</v>
      </c>
    </row>
    <row r="1597" spans="1:9" x14ac:dyDescent="0.35">
      <c r="A1597" t="s">
        <v>30</v>
      </c>
      <c r="B1597" t="s">
        <v>35</v>
      </c>
      <c r="C1597" t="s">
        <v>32</v>
      </c>
      <c r="D1597" s="5" t="s">
        <v>11</v>
      </c>
      <c r="E1597" s="5" t="s">
        <v>12</v>
      </c>
      <c r="F1597" s="3" t="s">
        <v>13</v>
      </c>
      <c r="G1597" s="3" t="s">
        <v>13</v>
      </c>
      <c r="H1597" s="3" t="s">
        <v>13</v>
      </c>
      <c r="I1597" s="3">
        <v>34662000</v>
      </c>
    </row>
    <row r="1598" spans="1:9" x14ac:dyDescent="0.35">
      <c r="A1598" t="str">
        <f>"34201"</f>
        <v>34201</v>
      </c>
      <c r="B1598" t="s">
        <v>36</v>
      </c>
      <c r="C1598" t="s">
        <v>691</v>
      </c>
      <c r="D1598" s="5" t="str">
        <f>"004"</f>
        <v>004</v>
      </c>
      <c r="E1598" s="5">
        <v>1999</v>
      </c>
      <c r="F1598" s="3">
        <v>16270800</v>
      </c>
      <c r="G1598" s="3">
        <v>34043200</v>
      </c>
      <c r="H1598" s="3">
        <v>17772400</v>
      </c>
    </row>
    <row r="1599" spans="1:9" x14ac:dyDescent="0.35">
      <c r="A1599" t="str">
        <f>"34201"</f>
        <v>34201</v>
      </c>
      <c r="B1599" t="s">
        <v>36</v>
      </c>
      <c r="C1599" t="s">
        <v>691</v>
      </c>
      <c r="D1599" s="5" t="str">
        <f>"005"</f>
        <v>005</v>
      </c>
      <c r="E1599" s="5">
        <v>2001</v>
      </c>
      <c r="F1599" s="3">
        <v>8854800</v>
      </c>
      <c r="G1599" s="3">
        <v>19794500</v>
      </c>
      <c r="H1599" s="3">
        <v>10939700</v>
      </c>
    </row>
    <row r="1600" spans="1:9" x14ac:dyDescent="0.35">
      <c r="A1600" t="str">
        <f>"34201"</f>
        <v>34201</v>
      </c>
      <c r="B1600" t="s">
        <v>36</v>
      </c>
      <c r="C1600" t="s">
        <v>691</v>
      </c>
      <c r="D1600" s="5" t="str">
        <f>"006"</f>
        <v>006</v>
      </c>
      <c r="E1600" s="5">
        <v>2008</v>
      </c>
      <c r="F1600" s="3">
        <v>628400</v>
      </c>
      <c r="G1600" s="3">
        <v>11182800</v>
      </c>
      <c r="H1600" s="3">
        <v>10554400</v>
      </c>
    </row>
    <row r="1601" spans="1:9" x14ac:dyDescent="0.35">
      <c r="A1601" t="str">
        <f>"34201"</f>
        <v>34201</v>
      </c>
      <c r="B1601" t="s">
        <v>36</v>
      </c>
      <c r="C1601" t="s">
        <v>691</v>
      </c>
      <c r="D1601" s="5" t="str">
        <f>"007"</f>
        <v>007</v>
      </c>
      <c r="E1601" s="5">
        <v>2010</v>
      </c>
      <c r="F1601" s="3">
        <v>12583900</v>
      </c>
      <c r="G1601" s="3">
        <v>18013300</v>
      </c>
      <c r="H1601" s="3">
        <v>5429400</v>
      </c>
    </row>
    <row r="1602" spans="1:9" x14ac:dyDescent="0.35">
      <c r="A1602" t="str">
        <f>"34201"</f>
        <v>34201</v>
      </c>
      <c r="B1602" t="s">
        <v>36</v>
      </c>
      <c r="C1602" t="s">
        <v>691</v>
      </c>
      <c r="D1602" s="5" t="s">
        <v>11</v>
      </c>
      <c r="E1602" s="5" t="s">
        <v>12</v>
      </c>
      <c r="F1602" s="3" t="s">
        <v>13</v>
      </c>
      <c r="G1602" s="3" t="s">
        <v>13</v>
      </c>
      <c r="H1602" s="3" t="s">
        <v>13</v>
      </c>
      <c r="I1602" s="3">
        <v>599243000</v>
      </c>
    </row>
    <row r="1603" spans="1:9" x14ac:dyDescent="0.35">
      <c r="A1603" t="s">
        <v>30</v>
      </c>
      <c r="B1603" t="s">
        <v>38</v>
      </c>
      <c r="C1603" t="s">
        <v>32</v>
      </c>
      <c r="D1603" s="5" t="s">
        <v>11</v>
      </c>
      <c r="E1603" s="5" t="s">
        <v>12</v>
      </c>
      <c r="F1603" s="3" t="s">
        <v>13</v>
      </c>
      <c r="G1603" s="3" t="s">
        <v>13</v>
      </c>
      <c r="H1603" s="3" t="s">
        <v>13</v>
      </c>
      <c r="I1603" s="3">
        <v>599243000</v>
      </c>
    </row>
    <row r="1604" spans="1:9" x14ac:dyDescent="0.35">
      <c r="A1604" t="s">
        <v>30</v>
      </c>
      <c r="B1604" t="s">
        <v>39</v>
      </c>
      <c r="C1604" t="s">
        <v>694</v>
      </c>
      <c r="D1604" s="5" t="s">
        <v>11</v>
      </c>
      <c r="E1604" s="5" t="s">
        <v>12</v>
      </c>
      <c r="F1604" s="3" t="s">
        <v>13</v>
      </c>
      <c r="G1604" s="3" t="s">
        <v>13</v>
      </c>
      <c r="H1604" s="3" t="s">
        <v>13</v>
      </c>
      <c r="I1604" s="3">
        <v>3237964200</v>
      </c>
    </row>
    <row r="1605" spans="1:9" x14ac:dyDescent="0.35">
      <c r="A1605" t="str">
        <f>"35002"</f>
        <v>35002</v>
      </c>
      <c r="B1605" t="s">
        <v>9</v>
      </c>
      <c r="C1605" t="s">
        <v>706</v>
      </c>
      <c r="D1605" s="5" t="s">
        <v>11</v>
      </c>
      <c r="E1605" s="5" t="s">
        <v>12</v>
      </c>
      <c r="F1605" s="3" t="s">
        <v>13</v>
      </c>
      <c r="G1605" s="3" t="s">
        <v>13</v>
      </c>
      <c r="H1605" s="3" t="s">
        <v>13</v>
      </c>
      <c r="I1605" s="3">
        <v>69557900</v>
      </c>
    </row>
    <row r="1606" spans="1:9" x14ac:dyDescent="0.35">
      <c r="A1606" t="str">
        <f>"35004"</f>
        <v>35004</v>
      </c>
      <c r="B1606" t="s">
        <v>9</v>
      </c>
      <c r="C1606" t="s">
        <v>707</v>
      </c>
      <c r="D1606" s="5" t="s">
        <v>11</v>
      </c>
      <c r="E1606" s="5" t="s">
        <v>12</v>
      </c>
      <c r="F1606" s="3" t="s">
        <v>13</v>
      </c>
      <c r="G1606" s="3" t="s">
        <v>13</v>
      </c>
      <c r="H1606" s="3" t="s">
        <v>13</v>
      </c>
      <c r="I1606" s="3">
        <v>847902600</v>
      </c>
    </row>
    <row r="1607" spans="1:9" x14ac:dyDescent="0.35">
      <c r="A1607" t="str">
        <f>"35006"</f>
        <v>35006</v>
      </c>
      <c r="B1607" t="s">
        <v>9</v>
      </c>
      <c r="C1607" t="s">
        <v>708</v>
      </c>
      <c r="D1607" s="5" t="s">
        <v>11</v>
      </c>
      <c r="E1607" s="5" t="s">
        <v>12</v>
      </c>
      <c r="F1607" s="3" t="s">
        <v>13</v>
      </c>
      <c r="G1607" s="3" t="s">
        <v>13</v>
      </c>
      <c r="H1607" s="3" t="s">
        <v>13</v>
      </c>
      <c r="I1607" s="3">
        <v>128826500</v>
      </c>
    </row>
    <row r="1608" spans="1:9" x14ac:dyDescent="0.35">
      <c r="A1608" t="str">
        <f>"35008"</f>
        <v>35008</v>
      </c>
      <c r="B1608" t="s">
        <v>9</v>
      </c>
      <c r="C1608" t="s">
        <v>709</v>
      </c>
      <c r="D1608" s="5" t="s">
        <v>11</v>
      </c>
      <c r="E1608" s="5" t="s">
        <v>12</v>
      </c>
      <c r="F1608" s="3" t="s">
        <v>13</v>
      </c>
      <c r="G1608" s="3" t="s">
        <v>13</v>
      </c>
      <c r="H1608" s="3" t="s">
        <v>13</v>
      </c>
      <c r="I1608" s="3">
        <v>82369500</v>
      </c>
    </row>
    <row r="1609" spans="1:9" x14ac:dyDescent="0.35">
      <c r="A1609" t="str">
        <f>"35010"</f>
        <v>35010</v>
      </c>
      <c r="B1609" t="s">
        <v>9</v>
      </c>
      <c r="C1609" t="s">
        <v>174</v>
      </c>
      <c r="D1609" s="5" t="s">
        <v>11</v>
      </c>
      <c r="E1609" s="5" t="s">
        <v>12</v>
      </c>
      <c r="F1609" s="3" t="s">
        <v>13</v>
      </c>
      <c r="G1609" s="3" t="s">
        <v>13</v>
      </c>
      <c r="H1609" s="3" t="s">
        <v>13</v>
      </c>
      <c r="I1609" s="3">
        <v>354791000</v>
      </c>
    </row>
    <row r="1610" spans="1:9" x14ac:dyDescent="0.35">
      <c r="A1610" t="str">
        <f>"35012"</f>
        <v>35012</v>
      </c>
      <c r="B1610" t="s">
        <v>9</v>
      </c>
      <c r="C1610" t="s">
        <v>710</v>
      </c>
      <c r="D1610" s="5" t="s">
        <v>11</v>
      </c>
      <c r="E1610" s="5" t="s">
        <v>12</v>
      </c>
      <c r="F1610" s="3" t="s">
        <v>13</v>
      </c>
      <c r="G1610" s="3" t="s">
        <v>13</v>
      </c>
      <c r="H1610" s="3" t="s">
        <v>13</v>
      </c>
      <c r="I1610" s="3">
        <v>315409000</v>
      </c>
    </row>
    <row r="1611" spans="1:9" x14ac:dyDescent="0.35">
      <c r="A1611" t="str">
        <f>"35014"</f>
        <v>35014</v>
      </c>
      <c r="B1611" t="s">
        <v>9</v>
      </c>
      <c r="C1611" t="s">
        <v>711</v>
      </c>
      <c r="D1611" s="5" t="s">
        <v>11</v>
      </c>
      <c r="E1611" s="5" t="s">
        <v>12</v>
      </c>
      <c r="F1611" s="3" t="s">
        <v>13</v>
      </c>
      <c r="G1611" s="3" t="s">
        <v>13</v>
      </c>
      <c r="H1611" s="3" t="s">
        <v>13</v>
      </c>
      <c r="I1611" s="3">
        <v>361477100</v>
      </c>
    </row>
    <row r="1612" spans="1:9" x14ac:dyDescent="0.35">
      <c r="A1612" t="str">
        <f>"35016"</f>
        <v>35016</v>
      </c>
      <c r="B1612" t="s">
        <v>9</v>
      </c>
      <c r="C1612" t="s">
        <v>712</v>
      </c>
      <c r="D1612" s="5" t="s">
        <v>11</v>
      </c>
      <c r="E1612" s="5" t="s">
        <v>12</v>
      </c>
      <c r="F1612" s="3" t="s">
        <v>13</v>
      </c>
      <c r="G1612" s="3" t="s">
        <v>13</v>
      </c>
      <c r="H1612" s="3" t="s">
        <v>13</v>
      </c>
      <c r="I1612" s="3">
        <v>258915100</v>
      </c>
    </row>
    <row r="1613" spans="1:9" x14ac:dyDescent="0.35">
      <c r="A1613" t="str">
        <f>"35018"</f>
        <v>35018</v>
      </c>
      <c r="B1613" t="s">
        <v>9</v>
      </c>
      <c r="C1613" t="s">
        <v>713</v>
      </c>
      <c r="D1613" s="5" t="s">
        <v>11</v>
      </c>
      <c r="E1613" s="5" t="s">
        <v>12</v>
      </c>
      <c r="F1613" s="3" t="s">
        <v>13</v>
      </c>
      <c r="G1613" s="3" t="s">
        <v>13</v>
      </c>
      <c r="H1613" s="3" t="s">
        <v>13</v>
      </c>
      <c r="I1613" s="3">
        <v>167283400</v>
      </c>
    </row>
    <row r="1614" spans="1:9" x14ac:dyDescent="0.35">
      <c r="A1614" t="str">
        <f>"35020"</f>
        <v>35020</v>
      </c>
      <c r="B1614" t="s">
        <v>9</v>
      </c>
      <c r="C1614" t="s">
        <v>104</v>
      </c>
      <c r="D1614" s="5" t="s">
        <v>11</v>
      </c>
      <c r="E1614" s="5" t="s">
        <v>12</v>
      </c>
      <c r="F1614" s="3" t="s">
        <v>13</v>
      </c>
      <c r="G1614" s="3" t="s">
        <v>13</v>
      </c>
      <c r="H1614" s="3" t="s">
        <v>13</v>
      </c>
      <c r="I1614" s="3">
        <v>79388700</v>
      </c>
    </row>
    <row r="1615" spans="1:9" x14ac:dyDescent="0.35">
      <c r="A1615" t="str">
        <f>"35022"</f>
        <v>35022</v>
      </c>
      <c r="B1615" t="s">
        <v>9</v>
      </c>
      <c r="C1615" t="s">
        <v>714</v>
      </c>
      <c r="D1615" s="5" t="s">
        <v>11</v>
      </c>
      <c r="E1615" s="5" t="s">
        <v>12</v>
      </c>
      <c r="F1615" s="3" t="s">
        <v>13</v>
      </c>
      <c r="G1615" s="3" t="s">
        <v>13</v>
      </c>
      <c r="H1615" s="3" t="s">
        <v>13</v>
      </c>
      <c r="I1615" s="3">
        <v>131459700</v>
      </c>
    </row>
    <row r="1616" spans="1:9" x14ac:dyDescent="0.35">
      <c r="A1616" t="str">
        <f>"35024"</f>
        <v>35024</v>
      </c>
      <c r="B1616" t="s">
        <v>9</v>
      </c>
      <c r="C1616" t="s">
        <v>118</v>
      </c>
      <c r="D1616" s="5" t="s">
        <v>11</v>
      </c>
      <c r="E1616" s="5" t="s">
        <v>12</v>
      </c>
      <c r="F1616" s="3" t="s">
        <v>13</v>
      </c>
      <c r="G1616" s="3" t="s">
        <v>13</v>
      </c>
      <c r="H1616" s="3" t="s">
        <v>13</v>
      </c>
      <c r="I1616" s="3">
        <v>211528900</v>
      </c>
    </row>
    <row r="1617" spans="1:9" x14ac:dyDescent="0.35">
      <c r="A1617" t="str">
        <f>"35026"</f>
        <v>35026</v>
      </c>
      <c r="B1617" t="s">
        <v>9</v>
      </c>
      <c r="C1617" t="s">
        <v>715</v>
      </c>
      <c r="D1617" s="5" t="s">
        <v>11</v>
      </c>
      <c r="E1617" s="5" t="s">
        <v>12</v>
      </c>
      <c r="F1617" s="3" t="s">
        <v>13</v>
      </c>
      <c r="G1617" s="3" t="s">
        <v>13</v>
      </c>
      <c r="H1617" s="3" t="s">
        <v>13</v>
      </c>
      <c r="I1617" s="3">
        <v>91292500</v>
      </c>
    </row>
    <row r="1618" spans="1:9" x14ac:dyDescent="0.35">
      <c r="A1618" t="str">
        <f>"35028"</f>
        <v>35028</v>
      </c>
      <c r="B1618" t="s">
        <v>9</v>
      </c>
      <c r="C1618" t="s">
        <v>716</v>
      </c>
      <c r="D1618" s="5" t="s">
        <v>11</v>
      </c>
      <c r="E1618" s="5" t="s">
        <v>12</v>
      </c>
      <c r="F1618" s="3" t="s">
        <v>13</v>
      </c>
      <c r="G1618" s="3" t="s">
        <v>13</v>
      </c>
      <c r="H1618" s="3" t="s">
        <v>13</v>
      </c>
      <c r="I1618" s="3">
        <v>37577400</v>
      </c>
    </row>
    <row r="1619" spans="1:9" x14ac:dyDescent="0.35">
      <c r="A1619" t="str">
        <f>"35030"</f>
        <v>35030</v>
      </c>
      <c r="B1619" t="s">
        <v>9</v>
      </c>
      <c r="C1619" t="s">
        <v>717</v>
      </c>
      <c r="D1619" s="5" t="s">
        <v>11</v>
      </c>
      <c r="E1619" s="5" t="s">
        <v>12</v>
      </c>
      <c r="F1619" s="3" t="s">
        <v>13</v>
      </c>
      <c r="G1619" s="3" t="s">
        <v>13</v>
      </c>
      <c r="H1619" s="3" t="s">
        <v>13</v>
      </c>
      <c r="I1619" s="3">
        <v>139747500</v>
      </c>
    </row>
    <row r="1620" spans="1:9" x14ac:dyDescent="0.35">
      <c r="A1620" t="str">
        <f>"35032"</f>
        <v>35032</v>
      </c>
      <c r="B1620" t="s">
        <v>9</v>
      </c>
      <c r="C1620" t="s">
        <v>430</v>
      </c>
      <c r="D1620" s="5" t="s">
        <v>11</v>
      </c>
      <c r="E1620" s="5" t="s">
        <v>12</v>
      </c>
      <c r="F1620" s="3" t="s">
        <v>13</v>
      </c>
      <c r="G1620" s="3" t="s">
        <v>13</v>
      </c>
      <c r="H1620" s="3" t="s">
        <v>13</v>
      </c>
      <c r="I1620" s="3">
        <v>131599500</v>
      </c>
    </row>
    <row r="1621" spans="1:9" x14ac:dyDescent="0.35">
      <c r="A1621" t="s">
        <v>30</v>
      </c>
      <c r="B1621" t="s">
        <v>31</v>
      </c>
      <c r="C1621" t="s">
        <v>32</v>
      </c>
      <c r="D1621" s="5" t="s">
        <v>11</v>
      </c>
      <c r="E1621" s="5" t="s">
        <v>12</v>
      </c>
      <c r="F1621" s="3" t="s">
        <v>13</v>
      </c>
      <c r="G1621" s="3" t="s">
        <v>13</v>
      </c>
      <c r="H1621" s="3" t="s">
        <v>13</v>
      </c>
      <c r="I1621" s="3">
        <v>3409126300</v>
      </c>
    </row>
    <row r="1622" spans="1:9" x14ac:dyDescent="0.35">
      <c r="A1622" t="str">
        <f t="shared" ref="A1622:A1633" si="36">"35251"</f>
        <v>35251</v>
      </c>
      <c r="B1622" t="s">
        <v>36</v>
      </c>
      <c r="C1622" t="s">
        <v>711</v>
      </c>
      <c r="D1622" s="5" t="str">
        <f>"003"</f>
        <v>003</v>
      </c>
      <c r="E1622" s="5">
        <v>2005</v>
      </c>
      <c r="F1622" s="3">
        <v>15367900</v>
      </c>
      <c r="G1622" s="3">
        <v>55678200</v>
      </c>
      <c r="H1622" s="3">
        <v>40310300</v>
      </c>
    </row>
    <row r="1623" spans="1:9" x14ac:dyDescent="0.35">
      <c r="A1623" t="str">
        <f t="shared" si="36"/>
        <v>35251</v>
      </c>
      <c r="B1623" t="s">
        <v>36</v>
      </c>
      <c r="C1623" t="s">
        <v>711</v>
      </c>
      <c r="D1623" s="5" t="str">
        <f>"004"</f>
        <v>004</v>
      </c>
      <c r="E1623" s="5">
        <v>2007</v>
      </c>
      <c r="F1623" s="3">
        <v>8884500</v>
      </c>
      <c r="G1623" s="3">
        <v>14988900</v>
      </c>
      <c r="H1623" s="3">
        <v>6104400</v>
      </c>
    </row>
    <row r="1624" spans="1:9" x14ac:dyDescent="0.35">
      <c r="A1624" t="str">
        <f t="shared" si="36"/>
        <v>35251</v>
      </c>
      <c r="B1624" t="s">
        <v>36</v>
      </c>
      <c r="C1624" t="s">
        <v>711</v>
      </c>
      <c r="D1624" s="5" t="str">
        <f>"006"</f>
        <v>006</v>
      </c>
      <c r="E1624" s="5">
        <v>2009</v>
      </c>
      <c r="F1624" s="3">
        <v>11982400</v>
      </c>
      <c r="G1624" s="3">
        <v>20376000</v>
      </c>
      <c r="H1624" s="3">
        <v>8393600</v>
      </c>
    </row>
    <row r="1625" spans="1:9" x14ac:dyDescent="0.35">
      <c r="A1625" t="str">
        <f t="shared" si="36"/>
        <v>35251</v>
      </c>
      <c r="B1625" t="s">
        <v>36</v>
      </c>
      <c r="C1625" t="s">
        <v>711</v>
      </c>
      <c r="D1625" s="5" t="str">
        <f>"007"</f>
        <v>007</v>
      </c>
      <c r="E1625" s="5">
        <v>2009</v>
      </c>
      <c r="F1625" s="3">
        <v>7787000</v>
      </c>
      <c r="G1625" s="3">
        <v>20173900</v>
      </c>
      <c r="H1625" s="3">
        <v>12386900</v>
      </c>
    </row>
    <row r="1626" spans="1:9" x14ac:dyDescent="0.35">
      <c r="A1626" t="str">
        <f t="shared" si="36"/>
        <v>35251</v>
      </c>
      <c r="B1626" t="s">
        <v>36</v>
      </c>
      <c r="C1626" t="s">
        <v>711</v>
      </c>
      <c r="D1626" s="5" t="str">
        <f>"008"</f>
        <v>008</v>
      </c>
      <c r="E1626" s="5">
        <v>2011</v>
      </c>
      <c r="F1626" s="3">
        <v>17316700</v>
      </c>
      <c r="G1626" s="3">
        <v>41094600</v>
      </c>
      <c r="H1626" s="3">
        <v>23777900</v>
      </c>
    </row>
    <row r="1627" spans="1:9" x14ac:dyDescent="0.35">
      <c r="A1627" t="str">
        <f t="shared" si="36"/>
        <v>35251</v>
      </c>
      <c r="B1627" t="s">
        <v>36</v>
      </c>
      <c r="C1627" t="s">
        <v>711</v>
      </c>
      <c r="D1627" s="5" t="str">
        <f>"009"</f>
        <v>009</v>
      </c>
      <c r="E1627" s="5">
        <v>2013</v>
      </c>
      <c r="F1627" s="3">
        <v>5936000</v>
      </c>
      <c r="G1627" s="3">
        <v>5936000</v>
      </c>
      <c r="H1627" s="3">
        <v>0</v>
      </c>
    </row>
    <row r="1628" spans="1:9" x14ac:dyDescent="0.35">
      <c r="A1628" t="str">
        <f t="shared" si="36"/>
        <v>35251</v>
      </c>
      <c r="B1628" t="s">
        <v>36</v>
      </c>
      <c r="C1628" t="s">
        <v>711</v>
      </c>
      <c r="D1628" s="5" t="str">
        <f>"010"</f>
        <v>010</v>
      </c>
      <c r="E1628" s="5">
        <v>2015</v>
      </c>
      <c r="F1628" s="3">
        <v>296800</v>
      </c>
      <c r="G1628" s="3">
        <v>6692200</v>
      </c>
      <c r="H1628" s="3">
        <v>6395400</v>
      </c>
    </row>
    <row r="1629" spans="1:9" x14ac:dyDescent="0.35">
      <c r="A1629" t="str">
        <f t="shared" si="36"/>
        <v>35251</v>
      </c>
      <c r="B1629" t="s">
        <v>36</v>
      </c>
      <c r="C1629" t="s">
        <v>711</v>
      </c>
      <c r="D1629" s="5" t="str">
        <f>"011"</f>
        <v>011</v>
      </c>
      <c r="E1629" s="5">
        <v>2016</v>
      </c>
      <c r="F1629" s="3">
        <v>14980600</v>
      </c>
      <c r="G1629" s="3">
        <v>39447400</v>
      </c>
      <c r="H1629" s="3">
        <v>24466800</v>
      </c>
    </row>
    <row r="1630" spans="1:9" x14ac:dyDescent="0.35">
      <c r="A1630" t="str">
        <f t="shared" si="36"/>
        <v>35251</v>
      </c>
      <c r="B1630" t="s">
        <v>36</v>
      </c>
      <c r="C1630" t="s">
        <v>711</v>
      </c>
      <c r="D1630" s="5" t="str">
        <f>"012"</f>
        <v>012</v>
      </c>
      <c r="E1630" s="5">
        <v>2017</v>
      </c>
      <c r="F1630" s="3">
        <v>1594700</v>
      </c>
      <c r="G1630" s="3">
        <v>3947700</v>
      </c>
      <c r="H1630" s="3">
        <v>2353000</v>
      </c>
    </row>
    <row r="1631" spans="1:9" x14ac:dyDescent="0.35">
      <c r="A1631" t="str">
        <f t="shared" si="36"/>
        <v>35251</v>
      </c>
      <c r="B1631" t="s">
        <v>36</v>
      </c>
      <c r="C1631" t="s">
        <v>711</v>
      </c>
      <c r="D1631" s="5" t="str">
        <f>"013"</f>
        <v>013</v>
      </c>
      <c r="E1631" s="5">
        <v>2021</v>
      </c>
      <c r="F1631" s="3">
        <v>68100</v>
      </c>
      <c r="G1631" s="3">
        <v>56400</v>
      </c>
      <c r="H1631" s="3">
        <v>0</v>
      </c>
    </row>
    <row r="1632" spans="1:9" x14ac:dyDescent="0.35">
      <c r="A1632" t="str">
        <f t="shared" si="36"/>
        <v>35251</v>
      </c>
      <c r="B1632" t="s">
        <v>36</v>
      </c>
      <c r="C1632" t="s">
        <v>711</v>
      </c>
      <c r="D1632" s="5" t="str">
        <f>"014"</f>
        <v>014</v>
      </c>
      <c r="E1632" s="5">
        <v>2021</v>
      </c>
      <c r="F1632" s="3">
        <v>263000</v>
      </c>
      <c r="G1632" s="3">
        <v>720900</v>
      </c>
      <c r="H1632" s="3">
        <v>457900</v>
      </c>
    </row>
    <row r="1633" spans="1:9" x14ac:dyDescent="0.35">
      <c r="A1633" t="str">
        <f t="shared" si="36"/>
        <v>35251</v>
      </c>
      <c r="B1633" t="s">
        <v>36</v>
      </c>
      <c r="C1633" t="s">
        <v>711</v>
      </c>
      <c r="D1633" s="5" t="s">
        <v>11</v>
      </c>
      <c r="E1633" s="5" t="s">
        <v>12</v>
      </c>
      <c r="F1633" s="3" t="s">
        <v>13</v>
      </c>
      <c r="G1633" s="3" t="s">
        <v>13</v>
      </c>
      <c r="H1633" s="3" t="s">
        <v>13</v>
      </c>
      <c r="I1633" s="3">
        <v>669010000</v>
      </c>
    </row>
    <row r="1634" spans="1:9" x14ac:dyDescent="0.35">
      <c r="A1634" t="str">
        <f>"35286"</f>
        <v>35286</v>
      </c>
      <c r="B1634" t="s">
        <v>36</v>
      </c>
      <c r="C1634" t="s">
        <v>717</v>
      </c>
      <c r="D1634" s="5" t="str">
        <f>"003"</f>
        <v>003</v>
      </c>
      <c r="E1634" s="5">
        <v>2008</v>
      </c>
      <c r="F1634" s="3">
        <v>178200</v>
      </c>
      <c r="G1634" s="3">
        <v>1704300</v>
      </c>
      <c r="H1634" s="3">
        <v>1526100</v>
      </c>
    </row>
    <row r="1635" spans="1:9" x14ac:dyDescent="0.35">
      <c r="A1635" t="str">
        <f>"35286"</f>
        <v>35286</v>
      </c>
      <c r="B1635" t="s">
        <v>36</v>
      </c>
      <c r="C1635" t="s">
        <v>717</v>
      </c>
      <c r="D1635" s="5" t="str">
        <f>"004"</f>
        <v>004</v>
      </c>
      <c r="E1635" s="5">
        <v>2013</v>
      </c>
      <c r="F1635" s="3">
        <v>2052200</v>
      </c>
      <c r="G1635" s="3">
        <v>9087600</v>
      </c>
      <c r="H1635" s="3">
        <v>7035400</v>
      </c>
    </row>
    <row r="1636" spans="1:9" x14ac:dyDescent="0.35">
      <c r="A1636" t="str">
        <f>"35286"</f>
        <v>35286</v>
      </c>
      <c r="B1636" t="s">
        <v>36</v>
      </c>
      <c r="C1636" t="s">
        <v>717</v>
      </c>
      <c r="D1636" s="5" t="str">
        <f>"005"</f>
        <v>005</v>
      </c>
      <c r="E1636" s="5">
        <v>2015</v>
      </c>
      <c r="F1636" s="3">
        <v>610200</v>
      </c>
      <c r="G1636" s="3">
        <v>2172100</v>
      </c>
      <c r="H1636" s="3">
        <v>1561900</v>
      </c>
    </row>
    <row r="1637" spans="1:9" x14ac:dyDescent="0.35">
      <c r="A1637" t="str">
        <f>"35286"</f>
        <v>35286</v>
      </c>
      <c r="B1637" t="s">
        <v>36</v>
      </c>
      <c r="C1637" t="s">
        <v>717</v>
      </c>
      <c r="D1637" s="5" t="str">
        <f>"006"</f>
        <v>006</v>
      </c>
      <c r="E1637" s="5">
        <v>2022</v>
      </c>
      <c r="F1637" s="3">
        <v>1273800</v>
      </c>
      <c r="G1637" s="3">
        <v>3050000</v>
      </c>
      <c r="H1637" s="3">
        <v>1776200</v>
      </c>
    </row>
    <row r="1638" spans="1:9" x14ac:dyDescent="0.35">
      <c r="A1638" t="str">
        <f>"35286"</f>
        <v>35286</v>
      </c>
      <c r="B1638" t="s">
        <v>36</v>
      </c>
      <c r="C1638" t="s">
        <v>717</v>
      </c>
      <c r="D1638" s="5" t="s">
        <v>11</v>
      </c>
      <c r="E1638" s="5" t="s">
        <v>12</v>
      </c>
      <c r="F1638" s="3" t="s">
        <v>13</v>
      </c>
      <c r="G1638" s="3" t="s">
        <v>13</v>
      </c>
      <c r="H1638" s="3" t="s">
        <v>13</v>
      </c>
      <c r="I1638" s="3">
        <v>374425300</v>
      </c>
    </row>
    <row r="1639" spans="1:9" x14ac:dyDescent="0.35">
      <c r="A1639" t="s">
        <v>30</v>
      </c>
      <c r="B1639" t="s">
        <v>38</v>
      </c>
      <c r="C1639" t="s">
        <v>32</v>
      </c>
      <c r="D1639" s="5" t="s">
        <v>11</v>
      </c>
      <c r="E1639" s="5" t="s">
        <v>12</v>
      </c>
      <c r="F1639" s="3" t="s">
        <v>13</v>
      </c>
      <c r="G1639" s="3" t="s">
        <v>13</v>
      </c>
      <c r="H1639" s="3" t="s">
        <v>13</v>
      </c>
      <c r="I1639" s="3">
        <v>1043435300</v>
      </c>
    </row>
    <row r="1640" spans="1:9" x14ac:dyDescent="0.35">
      <c r="A1640" t="s">
        <v>30</v>
      </c>
      <c r="B1640" t="s">
        <v>39</v>
      </c>
      <c r="C1640" t="s">
        <v>20</v>
      </c>
      <c r="D1640" s="5" t="s">
        <v>11</v>
      </c>
      <c r="E1640" s="5" t="s">
        <v>12</v>
      </c>
      <c r="F1640" s="3" t="s">
        <v>13</v>
      </c>
      <c r="G1640" s="3" t="s">
        <v>13</v>
      </c>
      <c r="H1640" s="3" t="s">
        <v>13</v>
      </c>
      <c r="I1640" s="3">
        <v>4452561600</v>
      </c>
    </row>
    <row r="1641" spans="1:9" x14ac:dyDescent="0.35">
      <c r="A1641" t="str">
        <f>"36002"</f>
        <v>36002</v>
      </c>
      <c r="B1641" t="s">
        <v>9</v>
      </c>
      <c r="C1641" t="s">
        <v>718</v>
      </c>
      <c r="D1641" s="5" t="s">
        <v>11</v>
      </c>
      <c r="E1641" s="5" t="s">
        <v>12</v>
      </c>
      <c r="F1641" s="3" t="s">
        <v>13</v>
      </c>
      <c r="G1641" s="3" t="s">
        <v>13</v>
      </c>
      <c r="H1641" s="3" t="s">
        <v>13</v>
      </c>
      <c r="I1641" s="3">
        <v>323407200</v>
      </c>
    </row>
    <row r="1642" spans="1:9" x14ac:dyDescent="0.35">
      <c r="A1642" t="str">
        <f>"36004"</f>
        <v>36004</v>
      </c>
      <c r="B1642" t="s">
        <v>9</v>
      </c>
      <c r="C1642" t="s">
        <v>719</v>
      </c>
      <c r="D1642" s="5" t="s">
        <v>11</v>
      </c>
      <c r="E1642" s="5" t="s">
        <v>12</v>
      </c>
      <c r="F1642" s="3" t="s">
        <v>13</v>
      </c>
      <c r="G1642" s="3" t="s">
        <v>13</v>
      </c>
      <c r="H1642" s="3" t="s">
        <v>13</v>
      </c>
      <c r="I1642" s="3">
        <v>147953500</v>
      </c>
    </row>
    <row r="1643" spans="1:9" x14ac:dyDescent="0.35">
      <c r="A1643" t="str">
        <f>"36006"</f>
        <v>36006</v>
      </c>
      <c r="B1643" t="s">
        <v>9</v>
      </c>
      <c r="C1643" t="s">
        <v>720</v>
      </c>
      <c r="D1643" s="5" t="s">
        <v>11</v>
      </c>
      <c r="E1643" s="5" t="s">
        <v>12</v>
      </c>
      <c r="F1643" s="3" t="s">
        <v>13</v>
      </c>
      <c r="G1643" s="3" t="s">
        <v>13</v>
      </c>
      <c r="H1643" s="3" t="s">
        <v>13</v>
      </c>
      <c r="I1643" s="3">
        <v>223689500</v>
      </c>
    </row>
    <row r="1644" spans="1:9" x14ac:dyDescent="0.35">
      <c r="A1644" t="str">
        <f>"36008"</f>
        <v>36008</v>
      </c>
      <c r="B1644" t="s">
        <v>9</v>
      </c>
      <c r="C1644" t="s">
        <v>107</v>
      </c>
      <c r="D1644" s="5" t="s">
        <v>11</v>
      </c>
      <c r="E1644" s="5" t="s">
        <v>12</v>
      </c>
      <c r="F1644" s="3" t="s">
        <v>13</v>
      </c>
      <c r="G1644" s="3" t="s">
        <v>13</v>
      </c>
      <c r="H1644" s="3" t="s">
        <v>13</v>
      </c>
      <c r="I1644" s="3">
        <v>144796000</v>
      </c>
    </row>
    <row r="1645" spans="1:9" x14ac:dyDescent="0.35">
      <c r="A1645" t="str">
        <f>"36010"</f>
        <v>36010</v>
      </c>
      <c r="B1645" t="s">
        <v>9</v>
      </c>
      <c r="C1645" t="s">
        <v>588</v>
      </c>
      <c r="D1645" s="5" t="s">
        <v>11</v>
      </c>
      <c r="E1645" s="5" t="s">
        <v>12</v>
      </c>
      <c r="F1645" s="3" t="s">
        <v>13</v>
      </c>
      <c r="G1645" s="3" t="s">
        <v>13</v>
      </c>
      <c r="H1645" s="3" t="s">
        <v>13</v>
      </c>
      <c r="I1645" s="3">
        <v>215366200</v>
      </c>
    </row>
    <row r="1646" spans="1:9" x14ac:dyDescent="0.35">
      <c r="A1646" t="str">
        <f>"36012"</f>
        <v>36012</v>
      </c>
      <c r="B1646" t="s">
        <v>9</v>
      </c>
      <c r="C1646" t="s">
        <v>721</v>
      </c>
      <c r="D1646" s="5" t="s">
        <v>11</v>
      </c>
      <c r="E1646" s="5" t="s">
        <v>12</v>
      </c>
      <c r="F1646" s="3" t="s">
        <v>13</v>
      </c>
      <c r="G1646" s="3" t="s">
        <v>13</v>
      </c>
      <c r="H1646" s="3" t="s">
        <v>13</v>
      </c>
      <c r="I1646" s="3">
        <v>227547700</v>
      </c>
    </row>
    <row r="1647" spans="1:9" x14ac:dyDescent="0.35">
      <c r="A1647" t="str">
        <f>"36014"</f>
        <v>36014</v>
      </c>
      <c r="B1647" t="s">
        <v>9</v>
      </c>
      <c r="C1647" t="s">
        <v>722</v>
      </c>
      <c r="D1647" s="5" t="s">
        <v>11</v>
      </c>
      <c r="E1647" s="5" t="s">
        <v>12</v>
      </c>
      <c r="F1647" s="3" t="s">
        <v>13</v>
      </c>
      <c r="G1647" s="3" t="s">
        <v>13</v>
      </c>
      <c r="H1647" s="3" t="s">
        <v>13</v>
      </c>
      <c r="I1647" s="3">
        <v>362849900</v>
      </c>
    </row>
    <row r="1648" spans="1:9" x14ac:dyDescent="0.35">
      <c r="A1648" t="str">
        <f>"36016"</f>
        <v>36016</v>
      </c>
      <c r="B1648" t="s">
        <v>9</v>
      </c>
      <c r="C1648" t="s">
        <v>503</v>
      </c>
      <c r="D1648" s="5" t="s">
        <v>11</v>
      </c>
      <c r="E1648" s="5" t="s">
        <v>12</v>
      </c>
      <c r="F1648" s="3" t="s">
        <v>13</v>
      </c>
      <c r="G1648" s="3" t="s">
        <v>13</v>
      </c>
      <c r="H1648" s="3" t="s">
        <v>13</v>
      </c>
      <c r="I1648" s="3">
        <v>274859800</v>
      </c>
    </row>
    <row r="1649" spans="1:9" x14ac:dyDescent="0.35">
      <c r="A1649" t="str">
        <f>"36018"</f>
        <v>36018</v>
      </c>
      <c r="B1649" t="s">
        <v>9</v>
      </c>
      <c r="C1649" t="s">
        <v>723</v>
      </c>
      <c r="D1649" s="5" t="s">
        <v>11</v>
      </c>
      <c r="E1649" s="5" t="s">
        <v>12</v>
      </c>
      <c r="F1649" s="3" t="s">
        <v>13</v>
      </c>
      <c r="G1649" s="3" t="s">
        <v>13</v>
      </c>
      <c r="H1649" s="3" t="s">
        <v>13</v>
      </c>
      <c r="I1649" s="3">
        <v>183838300</v>
      </c>
    </row>
    <row r="1650" spans="1:9" x14ac:dyDescent="0.35">
      <c r="A1650" t="str">
        <f>"36020"</f>
        <v>36020</v>
      </c>
      <c r="B1650" t="s">
        <v>9</v>
      </c>
      <c r="C1650" t="s">
        <v>724</v>
      </c>
      <c r="D1650" s="5" t="s">
        <v>11</v>
      </c>
      <c r="E1650" s="5" t="s">
        <v>12</v>
      </c>
      <c r="F1650" s="3" t="s">
        <v>13</v>
      </c>
      <c r="G1650" s="3" t="s">
        <v>13</v>
      </c>
      <c r="H1650" s="3" t="s">
        <v>13</v>
      </c>
      <c r="I1650" s="3">
        <v>416705000</v>
      </c>
    </row>
    <row r="1651" spans="1:9" x14ac:dyDescent="0.35">
      <c r="A1651" t="str">
        <f>"36022"</f>
        <v>36022</v>
      </c>
      <c r="B1651" t="s">
        <v>9</v>
      </c>
      <c r="C1651" t="s">
        <v>68</v>
      </c>
      <c r="D1651" s="5" t="s">
        <v>11</v>
      </c>
      <c r="E1651" s="5" t="s">
        <v>12</v>
      </c>
      <c r="F1651" s="3" t="s">
        <v>13</v>
      </c>
      <c r="G1651" s="3" t="s">
        <v>13</v>
      </c>
      <c r="H1651" s="3" t="s">
        <v>13</v>
      </c>
      <c r="I1651" s="3">
        <v>139175900</v>
      </c>
    </row>
    <row r="1652" spans="1:9" x14ac:dyDescent="0.35">
      <c r="A1652" t="str">
        <f>"36024"</f>
        <v>36024</v>
      </c>
      <c r="B1652" t="s">
        <v>9</v>
      </c>
      <c r="C1652" t="s">
        <v>725</v>
      </c>
      <c r="D1652" s="5" t="s">
        <v>11</v>
      </c>
      <c r="E1652" s="5" t="s">
        <v>12</v>
      </c>
      <c r="F1652" s="3" t="s">
        <v>13</v>
      </c>
      <c r="G1652" s="3" t="s">
        <v>13</v>
      </c>
      <c r="H1652" s="3" t="s">
        <v>13</v>
      </c>
      <c r="I1652" s="3">
        <v>250381500</v>
      </c>
    </row>
    <row r="1653" spans="1:9" x14ac:dyDescent="0.35">
      <c r="A1653" t="str">
        <f>"36026"</f>
        <v>36026</v>
      </c>
      <c r="B1653" t="s">
        <v>9</v>
      </c>
      <c r="C1653" t="s">
        <v>726</v>
      </c>
      <c r="D1653" s="5" t="s">
        <v>11</v>
      </c>
      <c r="E1653" s="5" t="s">
        <v>12</v>
      </c>
      <c r="F1653" s="3" t="s">
        <v>13</v>
      </c>
      <c r="G1653" s="3" t="s">
        <v>13</v>
      </c>
      <c r="H1653" s="3" t="s">
        <v>13</v>
      </c>
      <c r="I1653" s="3">
        <v>195309900</v>
      </c>
    </row>
    <row r="1654" spans="1:9" x14ac:dyDescent="0.35">
      <c r="A1654" t="str">
        <f>"36028"</f>
        <v>36028</v>
      </c>
      <c r="B1654" t="s">
        <v>9</v>
      </c>
      <c r="C1654" t="s">
        <v>727</v>
      </c>
      <c r="D1654" s="5" t="s">
        <v>11</v>
      </c>
      <c r="E1654" s="5" t="s">
        <v>12</v>
      </c>
      <c r="F1654" s="3" t="s">
        <v>13</v>
      </c>
      <c r="G1654" s="3" t="s">
        <v>13</v>
      </c>
      <c r="H1654" s="3" t="s">
        <v>13</v>
      </c>
      <c r="I1654" s="3">
        <v>456030400</v>
      </c>
    </row>
    <row r="1655" spans="1:9" x14ac:dyDescent="0.35">
      <c r="A1655" t="str">
        <f>"36030"</f>
        <v>36030</v>
      </c>
      <c r="B1655" t="s">
        <v>9</v>
      </c>
      <c r="C1655" t="s">
        <v>117</v>
      </c>
      <c r="D1655" s="5" t="s">
        <v>11</v>
      </c>
      <c r="E1655" s="5" t="s">
        <v>12</v>
      </c>
      <c r="F1655" s="3" t="s">
        <v>13</v>
      </c>
      <c r="G1655" s="3" t="s">
        <v>13</v>
      </c>
      <c r="H1655" s="3" t="s">
        <v>13</v>
      </c>
      <c r="I1655" s="3">
        <v>189717300</v>
      </c>
    </row>
    <row r="1656" spans="1:9" x14ac:dyDescent="0.35">
      <c r="A1656" t="str">
        <f>"36032"</f>
        <v>36032</v>
      </c>
      <c r="B1656" t="s">
        <v>9</v>
      </c>
      <c r="C1656" t="s">
        <v>728</v>
      </c>
      <c r="D1656" s="5" t="s">
        <v>11</v>
      </c>
      <c r="E1656" s="5" t="s">
        <v>12</v>
      </c>
      <c r="F1656" s="3" t="s">
        <v>13</v>
      </c>
      <c r="G1656" s="3" t="s">
        <v>13</v>
      </c>
      <c r="H1656" s="3" t="s">
        <v>13</v>
      </c>
      <c r="I1656" s="3">
        <v>482492000</v>
      </c>
    </row>
    <row r="1657" spans="1:9" x14ac:dyDescent="0.35">
      <c r="A1657" t="str">
        <f>"36034"</f>
        <v>36034</v>
      </c>
      <c r="B1657" t="s">
        <v>9</v>
      </c>
      <c r="C1657" t="s">
        <v>729</v>
      </c>
      <c r="D1657" s="5" t="s">
        <v>11</v>
      </c>
      <c r="E1657" s="5" t="s">
        <v>12</v>
      </c>
      <c r="F1657" s="3" t="s">
        <v>13</v>
      </c>
      <c r="G1657" s="3" t="s">
        <v>13</v>
      </c>
      <c r="H1657" s="3" t="s">
        <v>13</v>
      </c>
      <c r="I1657" s="3">
        <v>85851400</v>
      </c>
    </row>
    <row r="1658" spans="1:9" x14ac:dyDescent="0.35">
      <c r="A1658" t="str">
        <f>"36036"</f>
        <v>36036</v>
      </c>
      <c r="B1658" t="s">
        <v>9</v>
      </c>
      <c r="C1658" t="s">
        <v>730</v>
      </c>
      <c r="D1658" s="5" t="s">
        <v>11</v>
      </c>
      <c r="E1658" s="5" t="s">
        <v>12</v>
      </c>
      <c r="F1658" s="3" t="s">
        <v>13</v>
      </c>
      <c r="G1658" s="3" t="s">
        <v>13</v>
      </c>
      <c r="H1658" s="3" t="s">
        <v>13</v>
      </c>
      <c r="I1658" s="3">
        <v>274974100</v>
      </c>
    </row>
    <row r="1659" spans="1:9" x14ac:dyDescent="0.35">
      <c r="A1659" t="s">
        <v>30</v>
      </c>
      <c r="B1659" t="s">
        <v>31</v>
      </c>
      <c r="C1659" t="s">
        <v>32</v>
      </c>
      <c r="D1659" s="5" t="s">
        <v>11</v>
      </c>
      <c r="E1659" s="5" t="s">
        <v>12</v>
      </c>
      <c r="F1659" s="3" t="s">
        <v>13</v>
      </c>
      <c r="G1659" s="3" t="s">
        <v>13</v>
      </c>
      <c r="H1659" s="3" t="s">
        <v>13</v>
      </c>
      <c r="I1659" s="3">
        <v>4594945600</v>
      </c>
    </row>
    <row r="1660" spans="1:9" x14ac:dyDescent="0.35">
      <c r="A1660" t="str">
        <f>"36112"</f>
        <v>36112</v>
      </c>
      <c r="B1660" t="s">
        <v>33</v>
      </c>
      <c r="C1660" t="s">
        <v>192</v>
      </c>
      <c r="D1660" s="5" t="str">
        <f>"002"</f>
        <v>002</v>
      </c>
      <c r="E1660" s="5">
        <v>2024</v>
      </c>
      <c r="F1660" s="3">
        <v>891000</v>
      </c>
      <c r="G1660" s="3">
        <v>5865100</v>
      </c>
      <c r="H1660" s="3">
        <v>4974100</v>
      </c>
    </row>
    <row r="1661" spans="1:9" x14ac:dyDescent="0.35">
      <c r="A1661" t="str">
        <f>"36112"</f>
        <v>36112</v>
      </c>
      <c r="B1661" t="s">
        <v>33</v>
      </c>
      <c r="C1661" t="s">
        <v>192</v>
      </c>
      <c r="D1661" s="5" t="s">
        <v>11</v>
      </c>
      <c r="E1661" s="5" t="s">
        <v>12</v>
      </c>
      <c r="F1661" s="3" t="s">
        <v>13</v>
      </c>
      <c r="G1661" s="3" t="s">
        <v>13</v>
      </c>
      <c r="H1661" s="3" t="s">
        <v>13</v>
      </c>
      <c r="I1661" s="3">
        <v>175329900</v>
      </c>
    </row>
    <row r="1662" spans="1:9" x14ac:dyDescent="0.35">
      <c r="A1662" t="str">
        <f>"36126"</f>
        <v>36126</v>
      </c>
      <c r="B1662" t="s">
        <v>33</v>
      </c>
      <c r="C1662" t="s">
        <v>731</v>
      </c>
      <c r="D1662" s="5" t="s">
        <v>11</v>
      </c>
      <c r="E1662" s="5" t="s">
        <v>12</v>
      </c>
      <c r="F1662" s="3" t="s">
        <v>13</v>
      </c>
      <c r="G1662" s="3" t="s">
        <v>13</v>
      </c>
      <c r="H1662" s="3" t="s">
        <v>13</v>
      </c>
      <c r="I1662" s="3">
        <v>85260000</v>
      </c>
    </row>
    <row r="1663" spans="1:9" x14ac:dyDescent="0.35">
      <c r="A1663" t="str">
        <f>"36132"</f>
        <v>36132</v>
      </c>
      <c r="B1663" t="s">
        <v>33</v>
      </c>
      <c r="C1663" t="s">
        <v>732</v>
      </c>
      <c r="D1663" s="5" t="s">
        <v>11</v>
      </c>
      <c r="E1663" s="5" t="s">
        <v>12</v>
      </c>
      <c r="F1663" s="3" t="s">
        <v>13</v>
      </c>
      <c r="G1663" s="3" t="s">
        <v>13</v>
      </c>
      <c r="H1663" s="3" t="s">
        <v>13</v>
      </c>
      <c r="I1663" s="3">
        <v>24615800</v>
      </c>
    </row>
    <row r="1664" spans="1:9" x14ac:dyDescent="0.35">
      <c r="A1664" t="str">
        <f>"36147"</f>
        <v>36147</v>
      </c>
      <c r="B1664" t="s">
        <v>33</v>
      </c>
      <c r="C1664" t="s">
        <v>733</v>
      </c>
      <c r="D1664" s="5" t="str">
        <f>"001"</f>
        <v>001</v>
      </c>
      <c r="E1664" s="5">
        <v>2017</v>
      </c>
      <c r="F1664" s="3">
        <v>1247400</v>
      </c>
      <c r="G1664" s="3">
        <v>3692400</v>
      </c>
      <c r="H1664" s="3">
        <v>2445000</v>
      </c>
    </row>
    <row r="1665" spans="1:9" x14ac:dyDescent="0.35">
      <c r="A1665" t="str">
        <f>"36147"</f>
        <v>36147</v>
      </c>
      <c r="B1665" t="s">
        <v>33</v>
      </c>
      <c r="C1665" t="s">
        <v>733</v>
      </c>
      <c r="D1665" s="5" t="s">
        <v>11</v>
      </c>
      <c r="E1665" s="5" t="s">
        <v>12</v>
      </c>
      <c r="F1665" s="3" t="s">
        <v>13</v>
      </c>
      <c r="G1665" s="3" t="s">
        <v>13</v>
      </c>
      <c r="H1665" s="3" t="s">
        <v>13</v>
      </c>
      <c r="I1665" s="3">
        <v>37616300</v>
      </c>
    </row>
    <row r="1666" spans="1:9" x14ac:dyDescent="0.35">
      <c r="A1666" t="str">
        <f>"36151"</f>
        <v>36151</v>
      </c>
      <c r="B1666" t="s">
        <v>33</v>
      </c>
      <c r="C1666" t="s">
        <v>726</v>
      </c>
      <c r="D1666" s="5" t="str">
        <f>"002"</f>
        <v>002</v>
      </c>
      <c r="E1666" s="5">
        <v>2025</v>
      </c>
      <c r="F1666" s="3">
        <v>4956100</v>
      </c>
      <c r="G1666" s="3">
        <v>9023500</v>
      </c>
      <c r="H1666" s="3">
        <v>4067400</v>
      </c>
    </row>
    <row r="1667" spans="1:9" x14ac:dyDescent="0.35">
      <c r="A1667" t="str">
        <f>"36151"</f>
        <v>36151</v>
      </c>
      <c r="B1667" t="s">
        <v>33</v>
      </c>
      <c r="C1667" t="s">
        <v>726</v>
      </c>
      <c r="D1667" s="5" t="s">
        <v>11</v>
      </c>
      <c r="E1667" s="5" t="s">
        <v>12</v>
      </c>
      <c r="F1667" s="3" t="s">
        <v>13</v>
      </c>
      <c r="G1667" s="3" t="s">
        <v>13</v>
      </c>
      <c r="H1667" s="3" t="s">
        <v>13</v>
      </c>
      <c r="I1667" s="3">
        <v>155902900</v>
      </c>
    </row>
    <row r="1668" spans="1:9" x14ac:dyDescent="0.35">
      <c r="A1668" t="str">
        <f>"36176"</f>
        <v>36176</v>
      </c>
      <c r="B1668" t="s">
        <v>33</v>
      </c>
      <c r="C1668" t="s">
        <v>734</v>
      </c>
      <c r="D1668" s="5" t="s">
        <v>11</v>
      </c>
      <c r="E1668" s="5" t="s">
        <v>12</v>
      </c>
      <c r="F1668" s="3" t="s">
        <v>13</v>
      </c>
      <c r="G1668" s="3" t="s">
        <v>13</v>
      </c>
      <c r="H1668" s="3" t="s">
        <v>13</v>
      </c>
      <c r="I1668" s="3">
        <v>112250800</v>
      </c>
    </row>
    <row r="1669" spans="1:9" x14ac:dyDescent="0.35">
      <c r="A1669" t="str">
        <f>"36181"</f>
        <v>36181</v>
      </c>
      <c r="B1669" t="s">
        <v>33</v>
      </c>
      <c r="C1669" t="s">
        <v>735</v>
      </c>
      <c r="D1669" s="5" t="s">
        <v>11</v>
      </c>
      <c r="E1669" s="5" t="s">
        <v>12</v>
      </c>
      <c r="F1669" s="3" t="s">
        <v>13</v>
      </c>
      <c r="G1669" s="3" t="s">
        <v>13</v>
      </c>
      <c r="H1669" s="3" t="s">
        <v>13</v>
      </c>
      <c r="I1669" s="3">
        <v>72099100</v>
      </c>
    </row>
    <row r="1670" spans="1:9" x14ac:dyDescent="0.35">
      <c r="A1670" t="str">
        <f>"36186"</f>
        <v>36186</v>
      </c>
      <c r="B1670" t="s">
        <v>33</v>
      </c>
      <c r="C1670" t="s">
        <v>736</v>
      </c>
      <c r="D1670" s="5" t="str">
        <f>"002"</f>
        <v>002</v>
      </c>
      <c r="E1670" s="5">
        <v>2017</v>
      </c>
      <c r="F1670" s="3">
        <v>2901900</v>
      </c>
      <c r="G1670" s="3">
        <v>8711600</v>
      </c>
      <c r="H1670" s="3">
        <v>5809700</v>
      </c>
    </row>
    <row r="1671" spans="1:9" x14ac:dyDescent="0.35">
      <c r="A1671" t="str">
        <f>"36186"</f>
        <v>36186</v>
      </c>
      <c r="B1671" t="s">
        <v>33</v>
      </c>
      <c r="C1671" t="s">
        <v>736</v>
      </c>
      <c r="D1671" s="5" t="str">
        <f>"003"</f>
        <v>003</v>
      </c>
      <c r="E1671" s="5">
        <v>2025</v>
      </c>
      <c r="F1671" s="3">
        <v>3055700</v>
      </c>
      <c r="G1671" s="3">
        <v>5126500</v>
      </c>
      <c r="H1671" s="3">
        <v>2070800</v>
      </c>
    </row>
    <row r="1672" spans="1:9" x14ac:dyDescent="0.35">
      <c r="A1672" t="str">
        <f>"36186"</f>
        <v>36186</v>
      </c>
      <c r="B1672" t="s">
        <v>33</v>
      </c>
      <c r="C1672" t="s">
        <v>736</v>
      </c>
      <c r="D1672" s="5" t="s">
        <v>11</v>
      </c>
      <c r="E1672" s="5" t="s">
        <v>12</v>
      </c>
      <c r="F1672" s="3" t="s">
        <v>13</v>
      </c>
      <c r="G1672" s="3" t="s">
        <v>13</v>
      </c>
      <c r="H1672" s="3" t="s">
        <v>13</v>
      </c>
      <c r="I1672" s="3">
        <v>98478400</v>
      </c>
    </row>
    <row r="1673" spans="1:9" x14ac:dyDescent="0.35">
      <c r="A1673" t="str">
        <f>"36191"</f>
        <v>36191</v>
      </c>
      <c r="B1673" t="s">
        <v>33</v>
      </c>
      <c r="C1673" t="s">
        <v>737</v>
      </c>
      <c r="D1673" s="5" t="str">
        <f>"002"</f>
        <v>002</v>
      </c>
      <c r="E1673" s="5">
        <v>2010</v>
      </c>
      <c r="F1673" s="3">
        <v>2290100</v>
      </c>
      <c r="G1673" s="3">
        <v>11903700</v>
      </c>
      <c r="H1673" s="3">
        <v>9613600</v>
      </c>
    </row>
    <row r="1674" spans="1:9" x14ac:dyDescent="0.35">
      <c r="A1674" t="str">
        <f>"36191"</f>
        <v>36191</v>
      </c>
      <c r="B1674" t="s">
        <v>33</v>
      </c>
      <c r="C1674" t="s">
        <v>737</v>
      </c>
      <c r="D1674" s="5" t="s">
        <v>11</v>
      </c>
      <c r="E1674" s="5" t="s">
        <v>12</v>
      </c>
      <c r="F1674" s="3" t="s">
        <v>13</v>
      </c>
      <c r="G1674" s="3" t="s">
        <v>13</v>
      </c>
      <c r="H1674" s="3" t="s">
        <v>13</v>
      </c>
      <c r="I1674" s="3">
        <v>71541500</v>
      </c>
    </row>
    <row r="1675" spans="1:9" x14ac:dyDescent="0.35">
      <c r="A1675" t="s">
        <v>30</v>
      </c>
      <c r="B1675" t="s">
        <v>35</v>
      </c>
      <c r="C1675" t="s">
        <v>32</v>
      </c>
      <c r="D1675" s="5" t="s">
        <v>11</v>
      </c>
      <c r="E1675" s="5" t="s">
        <v>12</v>
      </c>
      <c r="F1675" s="3" t="s">
        <v>13</v>
      </c>
      <c r="G1675" s="3" t="s">
        <v>13</v>
      </c>
      <c r="H1675" s="3" t="s">
        <v>13</v>
      </c>
      <c r="I1675" s="3">
        <v>833094700</v>
      </c>
    </row>
    <row r="1676" spans="1:9" x14ac:dyDescent="0.35">
      <c r="A1676" t="str">
        <f>"36241"</f>
        <v>36241</v>
      </c>
      <c r="B1676" t="s">
        <v>36</v>
      </c>
      <c r="C1676" t="s">
        <v>184</v>
      </c>
      <c r="D1676" s="5" t="str">
        <f>"001E"</f>
        <v>001E</v>
      </c>
      <c r="E1676" s="5">
        <v>2005</v>
      </c>
      <c r="F1676" s="3">
        <v>244900</v>
      </c>
      <c r="G1676" s="3">
        <v>1391200</v>
      </c>
      <c r="H1676" s="3">
        <v>1146300</v>
      </c>
    </row>
    <row r="1677" spans="1:9" x14ac:dyDescent="0.35">
      <c r="A1677" t="str">
        <f>"36241"</f>
        <v>36241</v>
      </c>
      <c r="B1677" t="s">
        <v>36</v>
      </c>
      <c r="C1677" t="s">
        <v>184</v>
      </c>
      <c r="D1677" s="5" t="str">
        <f>"004"</f>
        <v>004</v>
      </c>
      <c r="E1677" s="5">
        <v>2011</v>
      </c>
      <c r="F1677" s="3">
        <v>3599400</v>
      </c>
      <c r="G1677" s="3">
        <v>46616900</v>
      </c>
      <c r="H1677" s="3">
        <v>43017500</v>
      </c>
    </row>
    <row r="1678" spans="1:9" x14ac:dyDescent="0.35">
      <c r="A1678" t="str">
        <f>"36241"</f>
        <v>36241</v>
      </c>
      <c r="B1678" t="s">
        <v>36</v>
      </c>
      <c r="C1678" t="s">
        <v>184</v>
      </c>
      <c r="D1678" s="5" t="s">
        <v>11</v>
      </c>
      <c r="E1678" s="5" t="s">
        <v>12</v>
      </c>
      <c r="F1678" s="3" t="s">
        <v>13</v>
      </c>
      <c r="G1678" s="3" t="s">
        <v>13</v>
      </c>
      <c r="H1678" s="3" t="s">
        <v>13</v>
      </c>
      <c r="I1678" s="3">
        <v>442625100</v>
      </c>
    </row>
    <row r="1679" spans="1:9" x14ac:dyDescent="0.35">
      <c r="A1679" t="str">
        <f t="shared" ref="A1679:A1687" si="37">"36251"</f>
        <v>36251</v>
      </c>
      <c r="B1679" t="s">
        <v>36</v>
      </c>
      <c r="C1679" t="s">
        <v>723</v>
      </c>
      <c r="D1679" s="5" t="str">
        <f>"016"</f>
        <v>016</v>
      </c>
      <c r="E1679" s="5">
        <v>2003</v>
      </c>
      <c r="F1679" s="3">
        <v>23530300</v>
      </c>
      <c r="G1679" s="3">
        <v>52734300</v>
      </c>
      <c r="H1679" s="3">
        <v>29204000</v>
      </c>
    </row>
    <row r="1680" spans="1:9" x14ac:dyDescent="0.35">
      <c r="A1680" t="str">
        <f t="shared" si="37"/>
        <v>36251</v>
      </c>
      <c r="B1680" t="s">
        <v>36</v>
      </c>
      <c r="C1680" t="s">
        <v>723</v>
      </c>
      <c r="D1680" s="5" t="str">
        <f>"018"</f>
        <v>018</v>
      </c>
      <c r="E1680" s="5">
        <v>2015</v>
      </c>
      <c r="F1680" s="3">
        <v>12518200</v>
      </c>
      <c r="G1680" s="3">
        <v>46826500</v>
      </c>
      <c r="H1680" s="3">
        <v>34308300</v>
      </c>
    </row>
    <row r="1681" spans="1:9" x14ac:dyDescent="0.35">
      <c r="A1681" t="str">
        <f t="shared" si="37"/>
        <v>36251</v>
      </c>
      <c r="B1681" t="s">
        <v>36</v>
      </c>
      <c r="C1681" t="s">
        <v>723</v>
      </c>
      <c r="D1681" s="5" t="str">
        <f>"019"</f>
        <v>019</v>
      </c>
      <c r="E1681" s="5">
        <v>2017</v>
      </c>
      <c r="F1681" s="3">
        <v>52252200</v>
      </c>
      <c r="G1681" s="3">
        <v>94519800</v>
      </c>
      <c r="H1681" s="3">
        <v>42267600</v>
      </c>
    </row>
    <row r="1682" spans="1:9" x14ac:dyDescent="0.35">
      <c r="A1682" t="str">
        <f t="shared" si="37"/>
        <v>36251</v>
      </c>
      <c r="B1682" t="s">
        <v>36</v>
      </c>
      <c r="C1682" t="s">
        <v>723</v>
      </c>
      <c r="D1682" s="5" t="str">
        <f>"020"</f>
        <v>020</v>
      </c>
      <c r="E1682" s="5">
        <v>2018</v>
      </c>
      <c r="F1682" s="3">
        <v>19633700</v>
      </c>
      <c r="G1682" s="3">
        <v>44130100</v>
      </c>
      <c r="H1682" s="3">
        <v>24496400</v>
      </c>
    </row>
    <row r="1683" spans="1:9" x14ac:dyDescent="0.35">
      <c r="A1683" t="str">
        <f t="shared" si="37"/>
        <v>36251</v>
      </c>
      <c r="B1683" t="s">
        <v>36</v>
      </c>
      <c r="C1683" t="s">
        <v>723</v>
      </c>
      <c r="D1683" s="5" t="str">
        <f>"021"</f>
        <v>021</v>
      </c>
      <c r="E1683" s="5">
        <v>2018</v>
      </c>
      <c r="F1683" s="3">
        <v>19723100</v>
      </c>
      <c r="G1683" s="3">
        <v>112613400</v>
      </c>
      <c r="H1683" s="3">
        <v>92890300</v>
      </c>
    </row>
    <row r="1684" spans="1:9" x14ac:dyDescent="0.35">
      <c r="A1684" t="str">
        <f t="shared" si="37"/>
        <v>36251</v>
      </c>
      <c r="B1684" t="s">
        <v>36</v>
      </c>
      <c r="C1684" t="s">
        <v>723</v>
      </c>
      <c r="D1684" s="5" t="str">
        <f>"022"</f>
        <v>022</v>
      </c>
      <c r="E1684" s="5">
        <v>2020</v>
      </c>
      <c r="F1684" s="3">
        <v>3113300</v>
      </c>
      <c r="G1684" s="3">
        <v>15887200</v>
      </c>
      <c r="H1684" s="3">
        <v>12773900</v>
      </c>
    </row>
    <row r="1685" spans="1:9" x14ac:dyDescent="0.35">
      <c r="A1685" t="str">
        <f t="shared" si="37"/>
        <v>36251</v>
      </c>
      <c r="B1685" t="s">
        <v>36</v>
      </c>
      <c r="C1685" t="s">
        <v>723</v>
      </c>
      <c r="D1685" s="5" t="str">
        <f>"023"</f>
        <v>023</v>
      </c>
      <c r="E1685" s="5">
        <v>2022</v>
      </c>
      <c r="F1685" s="3">
        <v>10791200</v>
      </c>
      <c r="G1685" s="3">
        <v>44195900</v>
      </c>
      <c r="H1685" s="3">
        <v>33404700</v>
      </c>
    </row>
    <row r="1686" spans="1:9" x14ac:dyDescent="0.35">
      <c r="A1686" t="str">
        <f t="shared" si="37"/>
        <v>36251</v>
      </c>
      <c r="B1686" t="s">
        <v>36</v>
      </c>
      <c r="C1686" t="s">
        <v>723</v>
      </c>
      <c r="D1686" s="5" t="str">
        <f>"024"</f>
        <v>024</v>
      </c>
      <c r="E1686" s="5">
        <v>2024</v>
      </c>
      <c r="F1686" s="3">
        <v>2270200</v>
      </c>
      <c r="G1686" s="3">
        <v>1480400</v>
      </c>
      <c r="H1686" s="3">
        <v>0</v>
      </c>
    </row>
    <row r="1687" spans="1:9" x14ac:dyDescent="0.35">
      <c r="A1687" t="str">
        <f t="shared" si="37"/>
        <v>36251</v>
      </c>
      <c r="B1687" t="s">
        <v>36</v>
      </c>
      <c r="C1687" t="s">
        <v>723</v>
      </c>
      <c r="D1687" s="5" t="s">
        <v>11</v>
      </c>
      <c r="E1687" s="5" t="s">
        <v>12</v>
      </c>
      <c r="F1687" s="3" t="s">
        <v>13</v>
      </c>
      <c r="G1687" s="3" t="s">
        <v>13</v>
      </c>
      <c r="H1687" s="3" t="s">
        <v>13</v>
      </c>
      <c r="I1687" s="3">
        <v>3651123000</v>
      </c>
    </row>
    <row r="1688" spans="1:9" x14ac:dyDescent="0.35">
      <c r="A1688" t="str">
        <f t="shared" ref="A1688:A1698" si="38">"36286"</f>
        <v>36286</v>
      </c>
      <c r="B1688" t="s">
        <v>36</v>
      </c>
      <c r="C1688" t="s">
        <v>730</v>
      </c>
      <c r="D1688" s="5" t="str">
        <f>"006"</f>
        <v>006</v>
      </c>
      <c r="E1688" s="5">
        <v>2000</v>
      </c>
      <c r="F1688" s="3">
        <v>0</v>
      </c>
      <c r="G1688" s="3">
        <v>2160400</v>
      </c>
      <c r="H1688" s="3">
        <v>2160400</v>
      </c>
    </row>
    <row r="1689" spans="1:9" x14ac:dyDescent="0.35">
      <c r="A1689" t="str">
        <f t="shared" si="38"/>
        <v>36286</v>
      </c>
      <c r="B1689" t="s">
        <v>36</v>
      </c>
      <c r="C1689" t="s">
        <v>730</v>
      </c>
      <c r="D1689" s="5" t="str">
        <f>"007"</f>
        <v>007</v>
      </c>
      <c r="E1689" s="5">
        <v>2001</v>
      </c>
      <c r="F1689" s="3">
        <v>0</v>
      </c>
      <c r="G1689" s="3">
        <v>4352200</v>
      </c>
      <c r="H1689" s="3">
        <v>4352200</v>
      </c>
    </row>
    <row r="1690" spans="1:9" x14ac:dyDescent="0.35">
      <c r="A1690" t="str">
        <f t="shared" si="38"/>
        <v>36286</v>
      </c>
      <c r="B1690" t="s">
        <v>36</v>
      </c>
      <c r="C1690" t="s">
        <v>730</v>
      </c>
      <c r="D1690" s="5" t="str">
        <f>"008"</f>
        <v>008</v>
      </c>
      <c r="E1690" s="5">
        <v>2002</v>
      </c>
      <c r="F1690" s="3">
        <v>0</v>
      </c>
      <c r="G1690" s="3">
        <v>15908000</v>
      </c>
      <c r="H1690" s="3">
        <v>15908000</v>
      </c>
    </row>
    <row r="1691" spans="1:9" x14ac:dyDescent="0.35">
      <c r="A1691" t="str">
        <f t="shared" si="38"/>
        <v>36286</v>
      </c>
      <c r="B1691" t="s">
        <v>36</v>
      </c>
      <c r="C1691" t="s">
        <v>730</v>
      </c>
      <c r="D1691" s="5" t="str">
        <f>"009"</f>
        <v>009</v>
      </c>
      <c r="E1691" s="5">
        <v>2003</v>
      </c>
      <c r="F1691" s="3">
        <v>10800</v>
      </c>
      <c r="G1691" s="3">
        <v>10849700</v>
      </c>
      <c r="H1691" s="3">
        <v>10838900</v>
      </c>
    </row>
    <row r="1692" spans="1:9" x14ac:dyDescent="0.35">
      <c r="A1692" t="str">
        <f t="shared" si="38"/>
        <v>36286</v>
      </c>
      <c r="B1692" t="s">
        <v>36</v>
      </c>
      <c r="C1692" t="s">
        <v>730</v>
      </c>
      <c r="D1692" s="5" t="str">
        <f>"010"</f>
        <v>010</v>
      </c>
      <c r="E1692" s="5">
        <v>2014</v>
      </c>
      <c r="F1692" s="3">
        <v>2044500</v>
      </c>
      <c r="G1692" s="3">
        <v>6442800</v>
      </c>
      <c r="H1692" s="3">
        <v>4398300</v>
      </c>
    </row>
    <row r="1693" spans="1:9" x14ac:dyDescent="0.35">
      <c r="A1693" t="str">
        <f t="shared" si="38"/>
        <v>36286</v>
      </c>
      <c r="B1693" t="s">
        <v>36</v>
      </c>
      <c r="C1693" t="s">
        <v>730</v>
      </c>
      <c r="D1693" s="5" t="str">
        <f>"011"</f>
        <v>011</v>
      </c>
      <c r="E1693" s="5">
        <v>2016</v>
      </c>
      <c r="F1693" s="3">
        <v>832800</v>
      </c>
      <c r="G1693" s="3">
        <v>3787800</v>
      </c>
      <c r="H1693" s="3">
        <v>2955000</v>
      </c>
    </row>
    <row r="1694" spans="1:9" x14ac:dyDescent="0.35">
      <c r="A1694" t="str">
        <f t="shared" si="38"/>
        <v>36286</v>
      </c>
      <c r="B1694" t="s">
        <v>36</v>
      </c>
      <c r="C1694" t="s">
        <v>730</v>
      </c>
      <c r="D1694" s="5" t="str">
        <f>"012"</f>
        <v>012</v>
      </c>
      <c r="E1694" s="5">
        <v>2018</v>
      </c>
      <c r="F1694" s="3">
        <v>3138200</v>
      </c>
      <c r="G1694" s="3">
        <v>8908100</v>
      </c>
      <c r="H1694" s="3">
        <v>5769900</v>
      </c>
    </row>
    <row r="1695" spans="1:9" x14ac:dyDescent="0.35">
      <c r="A1695" t="str">
        <f t="shared" si="38"/>
        <v>36286</v>
      </c>
      <c r="B1695" t="s">
        <v>36</v>
      </c>
      <c r="C1695" t="s">
        <v>730</v>
      </c>
      <c r="D1695" s="5" t="str">
        <f>"014"</f>
        <v>014</v>
      </c>
      <c r="E1695" s="5">
        <v>2021</v>
      </c>
      <c r="F1695" s="3">
        <v>7355800</v>
      </c>
      <c r="G1695" s="3">
        <v>12795200</v>
      </c>
      <c r="H1695" s="3">
        <v>5439400</v>
      </c>
    </row>
    <row r="1696" spans="1:9" x14ac:dyDescent="0.35">
      <c r="A1696" t="str">
        <f t="shared" si="38"/>
        <v>36286</v>
      </c>
      <c r="B1696" t="s">
        <v>36</v>
      </c>
      <c r="C1696" t="s">
        <v>730</v>
      </c>
      <c r="D1696" s="5" t="str">
        <f>"015"</f>
        <v>015</v>
      </c>
      <c r="E1696" s="5">
        <v>2021</v>
      </c>
      <c r="F1696" s="3">
        <v>80400</v>
      </c>
      <c r="G1696" s="3">
        <v>120300</v>
      </c>
      <c r="H1696" s="3">
        <v>39900</v>
      </c>
    </row>
    <row r="1697" spans="1:9" x14ac:dyDescent="0.35">
      <c r="A1697" t="str">
        <f t="shared" si="38"/>
        <v>36286</v>
      </c>
      <c r="B1697" t="s">
        <v>36</v>
      </c>
      <c r="C1697" t="s">
        <v>730</v>
      </c>
      <c r="D1697" s="5" t="str">
        <f>"017"</f>
        <v>017</v>
      </c>
      <c r="E1697" s="5">
        <v>2022</v>
      </c>
      <c r="F1697" s="3">
        <v>150600</v>
      </c>
      <c r="G1697" s="3">
        <v>249000</v>
      </c>
      <c r="H1697" s="3">
        <v>98400</v>
      </c>
    </row>
    <row r="1698" spans="1:9" x14ac:dyDescent="0.35">
      <c r="A1698" t="str">
        <f t="shared" si="38"/>
        <v>36286</v>
      </c>
      <c r="B1698" t="s">
        <v>36</v>
      </c>
      <c r="C1698" t="s">
        <v>730</v>
      </c>
      <c r="D1698" s="5" t="s">
        <v>11</v>
      </c>
      <c r="E1698" s="5" t="s">
        <v>12</v>
      </c>
      <c r="F1698" s="3" t="s">
        <v>13</v>
      </c>
      <c r="G1698" s="3" t="s">
        <v>13</v>
      </c>
      <c r="H1698" s="3" t="s">
        <v>13</v>
      </c>
      <c r="I1698" s="3">
        <v>1059804000</v>
      </c>
    </row>
    <row r="1699" spans="1:9" x14ac:dyDescent="0.35">
      <c r="A1699" t="s">
        <v>30</v>
      </c>
      <c r="B1699" t="s">
        <v>38</v>
      </c>
      <c r="C1699" t="s">
        <v>32</v>
      </c>
      <c r="D1699" s="5" t="s">
        <v>11</v>
      </c>
      <c r="E1699" s="5" t="s">
        <v>12</v>
      </c>
      <c r="F1699" s="3" t="s">
        <v>13</v>
      </c>
      <c r="G1699" s="3" t="s">
        <v>13</v>
      </c>
      <c r="H1699" s="3" t="s">
        <v>13</v>
      </c>
      <c r="I1699" s="3">
        <v>5153552100</v>
      </c>
    </row>
    <row r="1700" spans="1:9" x14ac:dyDescent="0.35">
      <c r="A1700" t="s">
        <v>30</v>
      </c>
      <c r="B1700" t="s">
        <v>39</v>
      </c>
      <c r="C1700" t="s">
        <v>723</v>
      </c>
      <c r="D1700" s="5" t="s">
        <v>11</v>
      </c>
      <c r="E1700" s="5" t="s">
        <v>12</v>
      </c>
      <c r="F1700" s="3" t="s">
        <v>13</v>
      </c>
      <c r="G1700" s="3" t="s">
        <v>13</v>
      </c>
      <c r="H1700" s="3" t="s">
        <v>13</v>
      </c>
      <c r="I1700" s="3">
        <v>10581592400</v>
      </c>
    </row>
    <row r="1701" spans="1:9" x14ac:dyDescent="0.35">
      <c r="A1701" t="str">
        <f>"37002"</f>
        <v>37002</v>
      </c>
      <c r="B1701" t="s">
        <v>9</v>
      </c>
      <c r="C1701" t="s">
        <v>738</v>
      </c>
      <c r="D1701" s="5" t="s">
        <v>11</v>
      </c>
      <c r="E1701" s="5" t="s">
        <v>12</v>
      </c>
      <c r="F1701" s="3" t="s">
        <v>13</v>
      </c>
      <c r="G1701" s="3" t="s">
        <v>13</v>
      </c>
      <c r="H1701" s="3" t="s">
        <v>13</v>
      </c>
      <c r="I1701" s="3">
        <v>136344700</v>
      </c>
    </row>
    <row r="1702" spans="1:9" x14ac:dyDescent="0.35">
      <c r="A1702" t="str">
        <f>"37004"</f>
        <v>37004</v>
      </c>
      <c r="B1702" t="s">
        <v>9</v>
      </c>
      <c r="C1702" t="s">
        <v>546</v>
      </c>
      <c r="D1702" s="5" t="s">
        <v>11</v>
      </c>
      <c r="E1702" s="5" t="s">
        <v>12</v>
      </c>
      <c r="F1702" s="3" t="s">
        <v>13</v>
      </c>
      <c r="G1702" s="3" t="s">
        <v>13</v>
      </c>
      <c r="H1702" s="3" t="s">
        <v>13</v>
      </c>
      <c r="I1702" s="3">
        <v>143636000</v>
      </c>
    </row>
    <row r="1703" spans="1:9" x14ac:dyDescent="0.35">
      <c r="A1703" t="str">
        <f>"37006"</f>
        <v>37006</v>
      </c>
      <c r="B1703" t="s">
        <v>9</v>
      </c>
      <c r="C1703" t="s">
        <v>739</v>
      </c>
      <c r="D1703" s="5" t="s">
        <v>11</v>
      </c>
      <c r="E1703" s="5" t="s">
        <v>12</v>
      </c>
      <c r="F1703" s="3" t="s">
        <v>13</v>
      </c>
      <c r="G1703" s="3" t="s">
        <v>13</v>
      </c>
      <c r="H1703" s="3" t="s">
        <v>13</v>
      </c>
      <c r="I1703" s="3">
        <v>76618100</v>
      </c>
    </row>
    <row r="1704" spans="1:9" x14ac:dyDescent="0.35">
      <c r="A1704" t="str">
        <f>"37008"</f>
        <v>37008</v>
      </c>
      <c r="B1704" t="s">
        <v>9</v>
      </c>
      <c r="C1704" t="s">
        <v>740</v>
      </c>
      <c r="D1704" s="5" t="s">
        <v>11</v>
      </c>
      <c r="E1704" s="5" t="s">
        <v>12</v>
      </c>
      <c r="F1704" s="3" t="s">
        <v>13</v>
      </c>
      <c r="G1704" s="3" t="s">
        <v>13</v>
      </c>
      <c r="H1704" s="3" t="s">
        <v>13</v>
      </c>
      <c r="I1704" s="3">
        <v>203467500</v>
      </c>
    </row>
    <row r="1705" spans="1:9" x14ac:dyDescent="0.35">
      <c r="A1705" t="str">
        <f>"37010"</f>
        <v>37010</v>
      </c>
      <c r="B1705" t="s">
        <v>9</v>
      </c>
      <c r="C1705" t="s">
        <v>640</v>
      </c>
      <c r="D1705" s="5" t="s">
        <v>11</v>
      </c>
      <c r="E1705" s="5" t="s">
        <v>12</v>
      </c>
      <c r="F1705" s="3" t="s">
        <v>13</v>
      </c>
      <c r="G1705" s="3" t="s">
        <v>13</v>
      </c>
      <c r="H1705" s="3" t="s">
        <v>13</v>
      </c>
      <c r="I1705" s="3">
        <v>84876100</v>
      </c>
    </row>
    <row r="1706" spans="1:9" x14ac:dyDescent="0.35">
      <c r="A1706" t="str">
        <f>"37012"</f>
        <v>37012</v>
      </c>
      <c r="B1706" t="s">
        <v>9</v>
      </c>
      <c r="C1706" t="s">
        <v>741</v>
      </c>
      <c r="D1706" s="5" t="s">
        <v>11</v>
      </c>
      <c r="E1706" s="5" t="s">
        <v>12</v>
      </c>
      <c r="F1706" s="3" t="s">
        <v>13</v>
      </c>
      <c r="G1706" s="3" t="s">
        <v>13</v>
      </c>
      <c r="H1706" s="3" t="s">
        <v>13</v>
      </c>
      <c r="I1706" s="3">
        <v>159042700</v>
      </c>
    </row>
    <row r="1707" spans="1:9" x14ac:dyDescent="0.35">
      <c r="A1707" t="str">
        <f>"37014"</f>
        <v>37014</v>
      </c>
      <c r="B1707" t="s">
        <v>9</v>
      </c>
      <c r="C1707" t="s">
        <v>192</v>
      </c>
      <c r="D1707" s="5" t="s">
        <v>11</v>
      </c>
      <c r="E1707" s="5" t="s">
        <v>12</v>
      </c>
      <c r="F1707" s="3" t="s">
        <v>13</v>
      </c>
      <c r="G1707" s="3" t="s">
        <v>13</v>
      </c>
      <c r="H1707" s="3" t="s">
        <v>13</v>
      </c>
      <c r="I1707" s="3">
        <v>230438100</v>
      </c>
    </row>
    <row r="1708" spans="1:9" x14ac:dyDescent="0.35">
      <c r="A1708" t="str">
        <f>"37016"</f>
        <v>37016</v>
      </c>
      <c r="B1708" t="s">
        <v>9</v>
      </c>
      <c r="C1708" t="s">
        <v>742</v>
      </c>
      <c r="D1708" s="5" t="s">
        <v>11</v>
      </c>
      <c r="E1708" s="5" t="s">
        <v>12</v>
      </c>
      <c r="F1708" s="3" t="s">
        <v>13</v>
      </c>
      <c r="G1708" s="3" t="s">
        <v>13</v>
      </c>
      <c r="H1708" s="3" t="s">
        <v>13</v>
      </c>
      <c r="I1708" s="3">
        <v>145310200</v>
      </c>
    </row>
    <row r="1709" spans="1:9" x14ac:dyDescent="0.35">
      <c r="A1709" t="str">
        <f>"37018"</f>
        <v>37018</v>
      </c>
      <c r="B1709" t="s">
        <v>9</v>
      </c>
      <c r="C1709" t="s">
        <v>17</v>
      </c>
      <c r="D1709" s="5" t="s">
        <v>11</v>
      </c>
      <c r="E1709" s="5" t="s">
        <v>12</v>
      </c>
      <c r="F1709" s="3" t="s">
        <v>13</v>
      </c>
      <c r="G1709" s="3" t="s">
        <v>13</v>
      </c>
      <c r="H1709" s="3" t="s">
        <v>13</v>
      </c>
      <c r="I1709" s="3">
        <v>181825500</v>
      </c>
    </row>
    <row r="1710" spans="1:9" x14ac:dyDescent="0.35">
      <c r="A1710" t="str">
        <f>"37020"</f>
        <v>37020</v>
      </c>
      <c r="B1710" t="s">
        <v>9</v>
      </c>
      <c r="C1710" t="s">
        <v>743</v>
      </c>
      <c r="D1710" s="5" t="s">
        <v>11</v>
      </c>
      <c r="E1710" s="5" t="s">
        <v>12</v>
      </c>
      <c r="F1710" s="3" t="s">
        <v>13</v>
      </c>
      <c r="G1710" s="3" t="s">
        <v>13</v>
      </c>
      <c r="H1710" s="3" t="s">
        <v>13</v>
      </c>
      <c r="I1710" s="3">
        <v>125596100</v>
      </c>
    </row>
    <row r="1711" spans="1:9" x14ac:dyDescent="0.35">
      <c r="A1711" t="str">
        <f>"37022"</f>
        <v>37022</v>
      </c>
      <c r="B1711" t="s">
        <v>9</v>
      </c>
      <c r="C1711" t="s">
        <v>744</v>
      </c>
      <c r="D1711" s="5" t="s">
        <v>11</v>
      </c>
      <c r="E1711" s="5" t="s">
        <v>12</v>
      </c>
      <c r="F1711" s="3" t="s">
        <v>13</v>
      </c>
      <c r="G1711" s="3" t="s">
        <v>13</v>
      </c>
      <c r="H1711" s="3" t="s">
        <v>13</v>
      </c>
      <c r="I1711" s="3">
        <v>127437400</v>
      </c>
    </row>
    <row r="1712" spans="1:9" x14ac:dyDescent="0.35">
      <c r="A1712" t="str">
        <f>"37024"</f>
        <v>37024</v>
      </c>
      <c r="B1712" t="s">
        <v>9</v>
      </c>
      <c r="C1712" t="s">
        <v>354</v>
      </c>
      <c r="D1712" s="5" t="s">
        <v>11</v>
      </c>
      <c r="E1712" s="5" t="s">
        <v>12</v>
      </c>
      <c r="F1712" s="3" t="s">
        <v>13</v>
      </c>
      <c r="G1712" s="3" t="s">
        <v>13</v>
      </c>
      <c r="H1712" s="3" t="s">
        <v>13</v>
      </c>
      <c r="I1712" s="3">
        <v>160201500</v>
      </c>
    </row>
    <row r="1713" spans="1:9" x14ac:dyDescent="0.35">
      <c r="A1713" t="str">
        <f>"37026"</f>
        <v>37026</v>
      </c>
      <c r="B1713" t="s">
        <v>9</v>
      </c>
      <c r="C1713" t="s">
        <v>745</v>
      </c>
      <c r="D1713" s="5" t="s">
        <v>11</v>
      </c>
      <c r="E1713" s="5" t="s">
        <v>12</v>
      </c>
      <c r="F1713" s="3" t="s">
        <v>13</v>
      </c>
      <c r="G1713" s="3" t="s">
        <v>13</v>
      </c>
      <c r="H1713" s="3" t="s">
        <v>13</v>
      </c>
      <c r="I1713" s="3">
        <v>92721300</v>
      </c>
    </row>
    <row r="1714" spans="1:9" x14ac:dyDescent="0.35">
      <c r="A1714" t="str">
        <f>"37028"</f>
        <v>37028</v>
      </c>
      <c r="B1714" t="s">
        <v>9</v>
      </c>
      <c r="C1714" t="s">
        <v>746</v>
      </c>
      <c r="D1714" s="5" t="s">
        <v>11</v>
      </c>
      <c r="E1714" s="5" t="s">
        <v>12</v>
      </c>
      <c r="F1714" s="3" t="s">
        <v>13</v>
      </c>
      <c r="G1714" s="3" t="s">
        <v>13</v>
      </c>
      <c r="H1714" s="3" t="s">
        <v>13</v>
      </c>
      <c r="I1714" s="3">
        <v>102161500</v>
      </c>
    </row>
    <row r="1715" spans="1:9" x14ac:dyDescent="0.35">
      <c r="A1715" t="str">
        <f>"37030"</f>
        <v>37030</v>
      </c>
      <c r="B1715" t="s">
        <v>9</v>
      </c>
      <c r="C1715" t="s">
        <v>747</v>
      </c>
      <c r="D1715" s="5" t="s">
        <v>11</v>
      </c>
      <c r="E1715" s="5" t="s">
        <v>12</v>
      </c>
      <c r="F1715" s="3" t="s">
        <v>13</v>
      </c>
      <c r="G1715" s="3" t="s">
        <v>13</v>
      </c>
      <c r="H1715" s="3" t="s">
        <v>13</v>
      </c>
      <c r="I1715" s="3">
        <v>125910100</v>
      </c>
    </row>
    <row r="1716" spans="1:9" x14ac:dyDescent="0.35">
      <c r="A1716" t="str">
        <f>"37032"</f>
        <v>37032</v>
      </c>
      <c r="B1716" t="s">
        <v>9</v>
      </c>
      <c r="C1716" t="s">
        <v>748</v>
      </c>
      <c r="D1716" s="5" t="s">
        <v>11</v>
      </c>
      <c r="E1716" s="5" t="s">
        <v>12</v>
      </c>
      <c r="F1716" s="3" t="s">
        <v>13</v>
      </c>
      <c r="G1716" s="3" t="s">
        <v>13</v>
      </c>
      <c r="H1716" s="3" t="s">
        <v>13</v>
      </c>
      <c r="I1716" s="3">
        <v>74148800</v>
      </c>
    </row>
    <row r="1717" spans="1:9" x14ac:dyDescent="0.35">
      <c r="A1717" t="str">
        <f>"37034"</f>
        <v>37034</v>
      </c>
      <c r="B1717" t="s">
        <v>9</v>
      </c>
      <c r="C1717" t="s">
        <v>749</v>
      </c>
      <c r="D1717" s="5" t="s">
        <v>11</v>
      </c>
      <c r="E1717" s="5" t="s">
        <v>12</v>
      </c>
      <c r="F1717" s="3" t="s">
        <v>13</v>
      </c>
      <c r="G1717" s="3" t="s">
        <v>13</v>
      </c>
      <c r="H1717" s="3" t="s">
        <v>13</v>
      </c>
      <c r="I1717" s="3">
        <v>88119200</v>
      </c>
    </row>
    <row r="1718" spans="1:9" x14ac:dyDescent="0.35">
      <c r="A1718" t="str">
        <f>"37036"</f>
        <v>37036</v>
      </c>
      <c r="B1718" t="s">
        <v>9</v>
      </c>
      <c r="C1718" t="s">
        <v>750</v>
      </c>
      <c r="D1718" s="5" t="s">
        <v>11</v>
      </c>
      <c r="E1718" s="5" t="s">
        <v>12</v>
      </c>
      <c r="F1718" s="3" t="s">
        <v>13</v>
      </c>
      <c r="G1718" s="3" t="s">
        <v>13</v>
      </c>
      <c r="H1718" s="3" t="s">
        <v>13</v>
      </c>
      <c r="I1718" s="3">
        <v>113122800</v>
      </c>
    </row>
    <row r="1719" spans="1:9" x14ac:dyDescent="0.35">
      <c r="A1719" t="str">
        <f>"37038"</f>
        <v>37038</v>
      </c>
      <c r="B1719" t="s">
        <v>9</v>
      </c>
      <c r="C1719" t="s">
        <v>174</v>
      </c>
      <c r="D1719" s="5" t="s">
        <v>11</v>
      </c>
      <c r="E1719" s="5" t="s">
        <v>12</v>
      </c>
      <c r="F1719" s="3" t="s">
        <v>13</v>
      </c>
      <c r="G1719" s="3" t="s">
        <v>13</v>
      </c>
      <c r="H1719" s="3" t="s">
        <v>13</v>
      </c>
      <c r="I1719" s="3">
        <v>50484400</v>
      </c>
    </row>
    <row r="1720" spans="1:9" x14ac:dyDescent="0.35">
      <c r="A1720" t="str">
        <f>"37040"</f>
        <v>37040</v>
      </c>
      <c r="B1720" t="s">
        <v>9</v>
      </c>
      <c r="C1720" t="s">
        <v>751</v>
      </c>
      <c r="D1720" s="5" t="s">
        <v>11</v>
      </c>
      <c r="E1720" s="5" t="s">
        <v>12</v>
      </c>
      <c r="F1720" s="3" t="s">
        <v>13</v>
      </c>
      <c r="G1720" s="3" t="s">
        <v>13</v>
      </c>
      <c r="H1720" s="3" t="s">
        <v>13</v>
      </c>
      <c r="I1720" s="3">
        <v>94985500</v>
      </c>
    </row>
    <row r="1721" spans="1:9" x14ac:dyDescent="0.35">
      <c r="A1721" t="str">
        <f>"37042"</f>
        <v>37042</v>
      </c>
      <c r="B1721" t="s">
        <v>9</v>
      </c>
      <c r="C1721" t="s">
        <v>752</v>
      </c>
      <c r="D1721" s="5" t="s">
        <v>11</v>
      </c>
      <c r="E1721" s="5" t="s">
        <v>12</v>
      </c>
      <c r="F1721" s="3" t="s">
        <v>13</v>
      </c>
      <c r="G1721" s="3" t="s">
        <v>13</v>
      </c>
      <c r="H1721" s="3" t="s">
        <v>13</v>
      </c>
      <c r="I1721" s="3">
        <v>100066100</v>
      </c>
    </row>
    <row r="1722" spans="1:9" x14ac:dyDescent="0.35">
      <c r="A1722" t="str">
        <f>"37044"</f>
        <v>37044</v>
      </c>
      <c r="B1722" t="s">
        <v>9</v>
      </c>
      <c r="C1722" t="s">
        <v>753</v>
      </c>
      <c r="D1722" s="5" t="s">
        <v>11</v>
      </c>
      <c r="E1722" s="5" t="s">
        <v>12</v>
      </c>
      <c r="F1722" s="3" t="s">
        <v>13</v>
      </c>
      <c r="G1722" s="3" t="s">
        <v>13</v>
      </c>
      <c r="H1722" s="3" t="s">
        <v>13</v>
      </c>
      <c r="I1722" s="3">
        <v>114350700</v>
      </c>
    </row>
    <row r="1723" spans="1:9" x14ac:dyDescent="0.35">
      <c r="A1723" t="str">
        <f>"37046"</f>
        <v>37046</v>
      </c>
      <c r="B1723" t="s">
        <v>9</v>
      </c>
      <c r="C1723" t="s">
        <v>754</v>
      </c>
      <c r="D1723" s="5" t="s">
        <v>11</v>
      </c>
      <c r="E1723" s="5" t="s">
        <v>12</v>
      </c>
      <c r="F1723" s="3" t="s">
        <v>13</v>
      </c>
      <c r="G1723" s="3" t="s">
        <v>13</v>
      </c>
      <c r="H1723" s="3" t="s">
        <v>13</v>
      </c>
      <c r="I1723" s="3">
        <v>95047600</v>
      </c>
    </row>
    <row r="1724" spans="1:9" x14ac:dyDescent="0.35">
      <c r="A1724" t="str">
        <f>"37048"</f>
        <v>37048</v>
      </c>
      <c r="B1724" t="s">
        <v>9</v>
      </c>
      <c r="C1724" t="s">
        <v>755</v>
      </c>
      <c r="D1724" s="5" t="s">
        <v>11</v>
      </c>
      <c r="E1724" s="5" t="s">
        <v>12</v>
      </c>
      <c r="F1724" s="3" t="s">
        <v>13</v>
      </c>
      <c r="G1724" s="3" t="s">
        <v>13</v>
      </c>
      <c r="H1724" s="3" t="s">
        <v>13</v>
      </c>
      <c r="I1724" s="3">
        <v>522336700</v>
      </c>
    </row>
    <row r="1725" spans="1:9" x14ac:dyDescent="0.35">
      <c r="A1725" t="str">
        <f>"37054"</f>
        <v>37054</v>
      </c>
      <c r="B1725" t="s">
        <v>9</v>
      </c>
      <c r="C1725" t="s">
        <v>756</v>
      </c>
      <c r="D1725" s="5" t="s">
        <v>11</v>
      </c>
      <c r="E1725" s="5" t="s">
        <v>12</v>
      </c>
      <c r="F1725" s="3" t="s">
        <v>13</v>
      </c>
      <c r="G1725" s="3" t="s">
        <v>13</v>
      </c>
      <c r="H1725" s="3" t="s">
        <v>13</v>
      </c>
      <c r="I1725" s="3">
        <v>198332500</v>
      </c>
    </row>
    <row r="1726" spans="1:9" x14ac:dyDescent="0.35">
      <c r="A1726" t="str">
        <f>"37056"</f>
        <v>37056</v>
      </c>
      <c r="B1726" t="s">
        <v>9</v>
      </c>
      <c r="C1726" t="s">
        <v>757</v>
      </c>
      <c r="D1726" s="5" t="s">
        <v>11</v>
      </c>
      <c r="E1726" s="5" t="s">
        <v>12</v>
      </c>
      <c r="F1726" s="3" t="s">
        <v>13</v>
      </c>
      <c r="G1726" s="3" t="s">
        <v>13</v>
      </c>
      <c r="H1726" s="3" t="s">
        <v>13</v>
      </c>
      <c r="I1726" s="3">
        <v>330235600</v>
      </c>
    </row>
    <row r="1727" spans="1:9" x14ac:dyDescent="0.35">
      <c r="A1727" t="str">
        <f>"37058"</f>
        <v>37058</v>
      </c>
      <c r="B1727" t="s">
        <v>9</v>
      </c>
      <c r="C1727" t="s">
        <v>758</v>
      </c>
      <c r="D1727" s="5" t="s">
        <v>11</v>
      </c>
      <c r="E1727" s="5" t="s">
        <v>12</v>
      </c>
      <c r="F1727" s="3" t="s">
        <v>13</v>
      </c>
      <c r="G1727" s="3" t="s">
        <v>13</v>
      </c>
      <c r="H1727" s="3" t="s">
        <v>13</v>
      </c>
      <c r="I1727" s="3">
        <v>368069000</v>
      </c>
    </row>
    <row r="1728" spans="1:9" x14ac:dyDescent="0.35">
      <c r="A1728" t="str">
        <f>"37060"</f>
        <v>37060</v>
      </c>
      <c r="B1728" t="s">
        <v>9</v>
      </c>
      <c r="C1728" t="s">
        <v>759</v>
      </c>
      <c r="D1728" s="5" t="s">
        <v>11</v>
      </c>
      <c r="E1728" s="5" t="s">
        <v>12</v>
      </c>
      <c r="F1728" s="3" t="s">
        <v>13</v>
      </c>
      <c r="G1728" s="3" t="s">
        <v>13</v>
      </c>
      <c r="H1728" s="3" t="s">
        <v>13</v>
      </c>
      <c r="I1728" s="3">
        <v>166895200</v>
      </c>
    </row>
    <row r="1729" spans="1:9" x14ac:dyDescent="0.35">
      <c r="A1729" t="str">
        <f>"37062"</f>
        <v>37062</v>
      </c>
      <c r="B1729" t="s">
        <v>9</v>
      </c>
      <c r="C1729" t="s">
        <v>760</v>
      </c>
      <c r="D1729" s="5" t="s">
        <v>11</v>
      </c>
      <c r="E1729" s="5" t="s">
        <v>12</v>
      </c>
      <c r="F1729" s="3" t="s">
        <v>13</v>
      </c>
      <c r="G1729" s="3" t="s">
        <v>13</v>
      </c>
      <c r="H1729" s="3" t="s">
        <v>13</v>
      </c>
      <c r="I1729" s="3">
        <v>96022100</v>
      </c>
    </row>
    <row r="1730" spans="1:9" x14ac:dyDescent="0.35">
      <c r="A1730" t="str">
        <f>"37064"</f>
        <v>37064</v>
      </c>
      <c r="B1730" t="s">
        <v>9</v>
      </c>
      <c r="C1730" t="s">
        <v>761</v>
      </c>
      <c r="D1730" s="5" t="s">
        <v>11</v>
      </c>
      <c r="E1730" s="5" t="s">
        <v>12</v>
      </c>
      <c r="F1730" s="3" t="s">
        <v>13</v>
      </c>
      <c r="G1730" s="3" t="s">
        <v>13</v>
      </c>
      <c r="H1730" s="3" t="s">
        <v>13</v>
      </c>
      <c r="I1730" s="3">
        <v>181934200</v>
      </c>
    </row>
    <row r="1731" spans="1:9" x14ac:dyDescent="0.35">
      <c r="A1731" t="str">
        <f>"37066"</f>
        <v>37066</v>
      </c>
      <c r="B1731" t="s">
        <v>9</v>
      </c>
      <c r="C1731" t="s">
        <v>762</v>
      </c>
      <c r="D1731" s="5" t="s">
        <v>11</v>
      </c>
      <c r="E1731" s="5" t="s">
        <v>12</v>
      </c>
      <c r="F1731" s="3" t="s">
        <v>13</v>
      </c>
      <c r="G1731" s="3" t="s">
        <v>13</v>
      </c>
      <c r="H1731" s="3" t="s">
        <v>13</v>
      </c>
      <c r="I1731" s="3">
        <v>143688700</v>
      </c>
    </row>
    <row r="1732" spans="1:9" x14ac:dyDescent="0.35">
      <c r="A1732" t="str">
        <f>"37070"</f>
        <v>37070</v>
      </c>
      <c r="B1732" t="s">
        <v>9</v>
      </c>
      <c r="C1732" t="s">
        <v>763</v>
      </c>
      <c r="D1732" s="5" t="s">
        <v>11</v>
      </c>
      <c r="E1732" s="5" t="s">
        <v>12</v>
      </c>
      <c r="F1732" s="3" t="s">
        <v>13</v>
      </c>
      <c r="G1732" s="3" t="s">
        <v>13</v>
      </c>
      <c r="H1732" s="3" t="s">
        <v>13</v>
      </c>
      <c r="I1732" s="3">
        <v>100419400</v>
      </c>
    </row>
    <row r="1733" spans="1:9" x14ac:dyDescent="0.35">
      <c r="A1733" t="str">
        <f>"37072"</f>
        <v>37072</v>
      </c>
      <c r="B1733" t="s">
        <v>9</v>
      </c>
      <c r="C1733" t="s">
        <v>764</v>
      </c>
      <c r="D1733" s="5" t="s">
        <v>11</v>
      </c>
      <c r="E1733" s="5" t="s">
        <v>12</v>
      </c>
      <c r="F1733" s="3" t="s">
        <v>13</v>
      </c>
      <c r="G1733" s="3" t="s">
        <v>13</v>
      </c>
      <c r="H1733" s="3" t="s">
        <v>13</v>
      </c>
      <c r="I1733" s="3">
        <v>318247600</v>
      </c>
    </row>
    <row r="1734" spans="1:9" x14ac:dyDescent="0.35">
      <c r="A1734" t="str">
        <f>"37074"</f>
        <v>37074</v>
      </c>
      <c r="B1734" t="s">
        <v>9</v>
      </c>
      <c r="C1734" t="s">
        <v>765</v>
      </c>
      <c r="D1734" s="5" t="s">
        <v>11</v>
      </c>
      <c r="E1734" s="5" t="s">
        <v>12</v>
      </c>
      <c r="F1734" s="3" t="s">
        <v>13</v>
      </c>
      <c r="G1734" s="3" t="s">
        <v>13</v>
      </c>
      <c r="H1734" s="3" t="s">
        <v>13</v>
      </c>
      <c r="I1734" s="3">
        <v>229272600</v>
      </c>
    </row>
    <row r="1735" spans="1:9" x14ac:dyDescent="0.35">
      <c r="A1735" t="str">
        <f>"37076"</f>
        <v>37076</v>
      </c>
      <c r="B1735" t="s">
        <v>9</v>
      </c>
      <c r="C1735" t="s">
        <v>766</v>
      </c>
      <c r="D1735" s="5" t="s">
        <v>11</v>
      </c>
      <c r="E1735" s="5" t="s">
        <v>12</v>
      </c>
      <c r="F1735" s="3" t="s">
        <v>13</v>
      </c>
      <c r="G1735" s="3" t="s">
        <v>13</v>
      </c>
      <c r="H1735" s="3" t="s">
        <v>13</v>
      </c>
      <c r="I1735" s="3">
        <v>519475500</v>
      </c>
    </row>
    <row r="1736" spans="1:9" x14ac:dyDescent="0.35">
      <c r="A1736" t="str">
        <f>"37078"</f>
        <v>37078</v>
      </c>
      <c r="B1736" t="s">
        <v>9</v>
      </c>
      <c r="C1736" t="s">
        <v>767</v>
      </c>
      <c r="D1736" s="5" t="s">
        <v>11</v>
      </c>
      <c r="E1736" s="5" t="s">
        <v>12</v>
      </c>
      <c r="F1736" s="3" t="s">
        <v>13</v>
      </c>
      <c r="G1736" s="3" t="s">
        <v>13</v>
      </c>
      <c r="H1736" s="3" t="s">
        <v>13</v>
      </c>
      <c r="I1736" s="3">
        <v>225242000</v>
      </c>
    </row>
    <row r="1737" spans="1:9" x14ac:dyDescent="0.35">
      <c r="A1737" t="str">
        <f>"37080"</f>
        <v>37080</v>
      </c>
      <c r="B1737" t="s">
        <v>9</v>
      </c>
      <c r="C1737" t="s">
        <v>768</v>
      </c>
      <c r="D1737" s="5" t="s">
        <v>11</v>
      </c>
      <c r="E1737" s="5" t="s">
        <v>12</v>
      </c>
      <c r="F1737" s="3" t="s">
        <v>13</v>
      </c>
      <c r="G1737" s="3" t="s">
        <v>13</v>
      </c>
      <c r="H1737" s="3" t="s">
        <v>13</v>
      </c>
      <c r="I1737" s="3">
        <v>356007100</v>
      </c>
    </row>
    <row r="1738" spans="1:9" x14ac:dyDescent="0.35">
      <c r="A1738" t="str">
        <f>"37082"</f>
        <v>37082</v>
      </c>
      <c r="B1738" t="s">
        <v>9</v>
      </c>
      <c r="C1738" t="s">
        <v>240</v>
      </c>
      <c r="D1738" s="5" t="s">
        <v>11</v>
      </c>
      <c r="E1738" s="5" t="s">
        <v>12</v>
      </c>
      <c r="F1738" s="3" t="s">
        <v>13</v>
      </c>
      <c r="G1738" s="3" t="s">
        <v>13</v>
      </c>
      <c r="H1738" s="3" t="s">
        <v>13</v>
      </c>
      <c r="I1738" s="3">
        <v>118382300</v>
      </c>
    </row>
    <row r="1739" spans="1:9" x14ac:dyDescent="0.35">
      <c r="A1739" t="str">
        <f>"37084"</f>
        <v>37084</v>
      </c>
      <c r="B1739" t="s">
        <v>9</v>
      </c>
      <c r="C1739" t="s">
        <v>769</v>
      </c>
      <c r="D1739" s="5" t="s">
        <v>11</v>
      </c>
      <c r="E1739" s="5" t="s">
        <v>12</v>
      </c>
      <c r="F1739" s="3" t="s">
        <v>13</v>
      </c>
      <c r="G1739" s="3" t="s">
        <v>13</v>
      </c>
      <c r="H1739" s="3" t="s">
        <v>13</v>
      </c>
      <c r="I1739" s="3">
        <v>132028400</v>
      </c>
    </row>
    <row r="1740" spans="1:9" x14ac:dyDescent="0.35">
      <c r="A1740" t="s">
        <v>30</v>
      </c>
      <c r="B1740" t="s">
        <v>31</v>
      </c>
      <c r="C1740" t="s">
        <v>32</v>
      </c>
      <c r="D1740" s="5" t="s">
        <v>11</v>
      </c>
      <c r="E1740" s="5" t="s">
        <v>12</v>
      </c>
      <c r="F1740" s="3" t="s">
        <v>13</v>
      </c>
      <c r="G1740" s="3" t="s">
        <v>13</v>
      </c>
      <c r="H1740" s="3" t="s">
        <v>13</v>
      </c>
      <c r="I1740" s="3">
        <v>6832500800</v>
      </c>
    </row>
    <row r="1741" spans="1:9" x14ac:dyDescent="0.35">
      <c r="A1741" t="str">
        <f>"37102"</f>
        <v>37102</v>
      </c>
      <c r="B1741" t="s">
        <v>33</v>
      </c>
      <c r="C1741" t="s">
        <v>770</v>
      </c>
      <c r="D1741" s="5" t="str">
        <f>"001"</f>
        <v>001</v>
      </c>
      <c r="E1741" s="5">
        <v>1995</v>
      </c>
      <c r="F1741" s="3">
        <v>44500</v>
      </c>
      <c r="G1741" s="3">
        <v>5212800</v>
      </c>
      <c r="H1741" s="3">
        <v>5168300</v>
      </c>
    </row>
    <row r="1742" spans="1:9" x14ac:dyDescent="0.35">
      <c r="A1742" t="str">
        <f>"37102"</f>
        <v>37102</v>
      </c>
      <c r="B1742" t="s">
        <v>33</v>
      </c>
      <c r="C1742" t="s">
        <v>770</v>
      </c>
      <c r="D1742" s="5" t="str">
        <f>"002"</f>
        <v>002</v>
      </c>
      <c r="E1742" s="5">
        <v>2007</v>
      </c>
      <c r="F1742" s="3">
        <v>1884700</v>
      </c>
      <c r="G1742" s="3">
        <v>23846300</v>
      </c>
      <c r="H1742" s="3">
        <v>21961600</v>
      </c>
    </row>
    <row r="1743" spans="1:9" x14ac:dyDescent="0.35">
      <c r="A1743" t="str">
        <f>"37102"</f>
        <v>37102</v>
      </c>
      <c r="B1743" t="s">
        <v>33</v>
      </c>
      <c r="C1743" t="s">
        <v>770</v>
      </c>
      <c r="D1743" s="5" t="s">
        <v>11</v>
      </c>
      <c r="E1743" s="5" t="s">
        <v>12</v>
      </c>
      <c r="F1743" s="3" t="s">
        <v>13</v>
      </c>
      <c r="G1743" s="3" t="s">
        <v>13</v>
      </c>
      <c r="H1743" s="3" t="s">
        <v>13</v>
      </c>
      <c r="I1743" s="3">
        <v>96821800</v>
      </c>
    </row>
    <row r="1744" spans="1:9" x14ac:dyDescent="0.35">
      <c r="A1744" t="str">
        <f>"37104"</f>
        <v>37104</v>
      </c>
      <c r="B1744" t="s">
        <v>33</v>
      </c>
      <c r="C1744" t="s">
        <v>771</v>
      </c>
      <c r="D1744" s="5" t="s">
        <v>11</v>
      </c>
      <c r="E1744" s="5" t="s">
        <v>12</v>
      </c>
      <c r="F1744" s="3" t="s">
        <v>13</v>
      </c>
      <c r="G1744" s="3" t="s">
        <v>13</v>
      </c>
      <c r="H1744" s="3" t="s">
        <v>13</v>
      </c>
      <c r="I1744" s="3">
        <v>2523400</v>
      </c>
    </row>
    <row r="1745" spans="1:9" x14ac:dyDescent="0.35">
      <c r="A1745" t="str">
        <f>"37116"</f>
        <v>37116</v>
      </c>
      <c r="B1745" t="s">
        <v>33</v>
      </c>
      <c r="C1745" t="s">
        <v>245</v>
      </c>
      <c r="D1745" s="5" t="s">
        <v>11</v>
      </c>
      <c r="E1745" s="5" t="s">
        <v>12</v>
      </c>
      <c r="F1745" s="3" t="s">
        <v>13</v>
      </c>
      <c r="G1745" s="3" t="s">
        <v>13</v>
      </c>
      <c r="H1745" s="3" t="s">
        <v>13</v>
      </c>
      <c r="I1745" s="3">
        <v>1644900</v>
      </c>
    </row>
    <row r="1746" spans="1:9" x14ac:dyDescent="0.35">
      <c r="A1746" t="str">
        <f>"37121"</f>
        <v>37121</v>
      </c>
      <c r="B1746" t="s">
        <v>33</v>
      </c>
      <c r="C1746" t="s">
        <v>772</v>
      </c>
      <c r="D1746" s="5" t="str">
        <f>"004"</f>
        <v>004</v>
      </c>
      <c r="E1746" s="5">
        <v>2016</v>
      </c>
      <c r="F1746" s="3">
        <v>1655200</v>
      </c>
      <c r="G1746" s="3">
        <v>6932700</v>
      </c>
      <c r="H1746" s="3">
        <v>5277500</v>
      </c>
    </row>
    <row r="1747" spans="1:9" x14ac:dyDescent="0.35">
      <c r="A1747" t="str">
        <f>"37121"</f>
        <v>37121</v>
      </c>
      <c r="B1747" t="s">
        <v>33</v>
      </c>
      <c r="C1747" t="s">
        <v>772</v>
      </c>
      <c r="D1747" s="5" t="s">
        <v>11</v>
      </c>
      <c r="E1747" s="5" t="s">
        <v>12</v>
      </c>
      <c r="F1747" s="3" t="s">
        <v>13</v>
      </c>
      <c r="G1747" s="3" t="s">
        <v>13</v>
      </c>
      <c r="H1747" s="3" t="s">
        <v>13</v>
      </c>
      <c r="I1747" s="3">
        <v>137004900</v>
      </c>
    </row>
    <row r="1748" spans="1:9" x14ac:dyDescent="0.35">
      <c r="A1748" t="str">
        <f>"37122"</f>
        <v>37122</v>
      </c>
      <c r="B1748" t="s">
        <v>33</v>
      </c>
      <c r="C1748" t="s">
        <v>744</v>
      </c>
      <c r="D1748" s="5" t="s">
        <v>11</v>
      </c>
      <c r="E1748" s="5" t="s">
        <v>12</v>
      </c>
      <c r="F1748" s="3" t="s">
        <v>13</v>
      </c>
      <c r="G1748" s="3" t="s">
        <v>13</v>
      </c>
      <c r="H1748" s="3" t="s">
        <v>13</v>
      </c>
      <c r="I1748" s="3">
        <v>16572900</v>
      </c>
    </row>
    <row r="1749" spans="1:9" x14ac:dyDescent="0.35">
      <c r="A1749" t="str">
        <f>"37126"</f>
        <v>37126</v>
      </c>
      <c r="B1749" t="s">
        <v>33</v>
      </c>
      <c r="C1749" t="s">
        <v>773</v>
      </c>
      <c r="D1749" s="5" t="s">
        <v>11</v>
      </c>
      <c r="E1749" s="5" t="s">
        <v>12</v>
      </c>
      <c r="F1749" s="3" t="s">
        <v>13</v>
      </c>
      <c r="G1749" s="3" t="s">
        <v>13</v>
      </c>
      <c r="H1749" s="3" t="s">
        <v>13</v>
      </c>
      <c r="I1749" s="3">
        <v>11934500</v>
      </c>
    </row>
    <row r="1750" spans="1:9" x14ac:dyDescent="0.35">
      <c r="A1750" t="str">
        <f>"37136"</f>
        <v>37136</v>
      </c>
      <c r="B1750" t="s">
        <v>33</v>
      </c>
      <c r="C1750" t="s">
        <v>774</v>
      </c>
      <c r="D1750" s="5" t="str">
        <f>"001"</f>
        <v>001</v>
      </c>
      <c r="E1750" s="5">
        <v>2007</v>
      </c>
      <c r="F1750" s="3">
        <v>3240500</v>
      </c>
      <c r="G1750" s="3">
        <v>28662300</v>
      </c>
      <c r="H1750" s="3">
        <v>25421800</v>
      </c>
    </row>
    <row r="1751" spans="1:9" x14ac:dyDescent="0.35">
      <c r="A1751" t="str">
        <f>"37136"</f>
        <v>37136</v>
      </c>
      <c r="B1751" t="s">
        <v>33</v>
      </c>
      <c r="C1751" t="s">
        <v>774</v>
      </c>
      <c r="D1751" s="5" t="s">
        <v>11</v>
      </c>
      <c r="E1751" s="5" t="s">
        <v>12</v>
      </c>
      <c r="F1751" s="3" t="s">
        <v>13</v>
      </c>
      <c r="G1751" s="3" t="s">
        <v>13</v>
      </c>
      <c r="H1751" s="3" t="s">
        <v>13</v>
      </c>
      <c r="I1751" s="3">
        <v>60481100</v>
      </c>
    </row>
    <row r="1752" spans="1:9" x14ac:dyDescent="0.35">
      <c r="A1752" t="str">
        <f>"37145"</f>
        <v>37145</v>
      </c>
      <c r="B1752" t="s">
        <v>33</v>
      </c>
      <c r="C1752" t="s">
        <v>775</v>
      </c>
      <c r="D1752" s="5" t="str">
        <f>"001"</f>
        <v>001</v>
      </c>
      <c r="E1752" s="5">
        <v>2005</v>
      </c>
      <c r="F1752" s="3">
        <v>2262300</v>
      </c>
      <c r="G1752" s="3">
        <v>19043900</v>
      </c>
      <c r="H1752" s="3">
        <v>16781600</v>
      </c>
    </row>
    <row r="1753" spans="1:9" x14ac:dyDescent="0.35">
      <c r="A1753" t="str">
        <f>"37145"</f>
        <v>37145</v>
      </c>
      <c r="B1753" t="s">
        <v>33</v>
      </c>
      <c r="C1753" t="s">
        <v>775</v>
      </c>
      <c r="D1753" s="5" t="str">
        <f>"002"</f>
        <v>002</v>
      </c>
      <c r="E1753" s="5">
        <v>2005</v>
      </c>
      <c r="F1753" s="3">
        <v>5398600</v>
      </c>
      <c r="G1753" s="3">
        <v>86129400</v>
      </c>
      <c r="H1753" s="3">
        <v>80730800</v>
      </c>
    </row>
    <row r="1754" spans="1:9" x14ac:dyDescent="0.35">
      <c r="A1754" t="str">
        <f>"37145"</f>
        <v>37145</v>
      </c>
      <c r="B1754" t="s">
        <v>33</v>
      </c>
      <c r="C1754" t="s">
        <v>775</v>
      </c>
      <c r="D1754" s="5" t="str">
        <f>"004"</f>
        <v>004</v>
      </c>
      <c r="E1754" s="5">
        <v>2005</v>
      </c>
      <c r="F1754" s="3">
        <v>106600</v>
      </c>
      <c r="G1754" s="3">
        <v>11632300</v>
      </c>
      <c r="H1754" s="3">
        <v>11525700</v>
      </c>
    </row>
    <row r="1755" spans="1:9" x14ac:dyDescent="0.35">
      <c r="A1755" t="str">
        <f>"37145"</f>
        <v>37145</v>
      </c>
      <c r="B1755" t="s">
        <v>33</v>
      </c>
      <c r="C1755" t="s">
        <v>775</v>
      </c>
      <c r="D1755" s="5" t="s">
        <v>11</v>
      </c>
      <c r="E1755" s="5" t="s">
        <v>12</v>
      </c>
      <c r="F1755" s="3" t="s">
        <v>13</v>
      </c>
      <c r="G1755" s="3" t="s">
        <v>13</v>
      </c>
      <c r="H1755" s="3" t="s">
        <v>13</v>
      </c>
      <c r="I1755" s="3">
        <v>1073938600</v>
      </c>
    </row>
    <row r="1756" spans="1:9" x14ac:dyDescent="0.35">
      <c r="A1756" t="str">
        <f>"37146"</f>
        <v>37146</v>
      </c>
      <c r="B1756" t="s">
        <v>33</v>
      </c>
      <c r="C1756" t="s">
        <v>776</v>
      </c>
      <c r="D1756" s="5" t="str">
        <f>"001"</f>
        <v>001</v>
      </c>
      <c r="E1756" s="5">
        <v>1997</v>
      </c>
      <c r="F1756" s="3">
        <v>447100</v>
      </c>
      <c r="G1756" s="3">
        <v>23127100</v>
      </c>
      <c r="H1756" s="3">
        <v>22680000</v>
      </c>
    </row>
    <row r="1757" spans="1:9" x14ac:dyDescent="0.35">
      <c r="A1757" t="str">
        <f>"37146"</f>
        <v>37146</v>
      </c>
      <c r="B1757" t="s">
        <v>33</v>
      </c>
      <c r="C1757" t="s">
        <v>776</v>
      </c>
      <c r="D1757" s="5" t="s">
        <v>11</v>
      </c>
      <c r="E1757" s="5" t="s">
        <v>12</v>
      </c>
      <c r="F1757" s="3" t="s">
        <v>13</v>
      </c>
      <c r="G1757" s="3" t="s">
        <v>13</v>
      </c>
      <c r="H1757" s="3" t="s">
        <v>13</v>
      </c>
      <c r="I1757" s="3">
        <v>481296500</v>
      </c>
    </row>
    <row r="1758" spans="1:9" x14ac:dyDescent="0.35">
      <c r="A1758" t="str">
        <f>"37151"</f>
        <v>37151</v>
      </c>
      <c r="B1758" t="s">
        <v>33</v>
      </c>
      <c r="C1758" t="s">
        <v>777</v>
      </c>
      <c r="D1758" s="5" t="str">
        <f>"001"</f>
        <v>001</v>
      </c>
      <c r="E1758" s="5">
        <v>2002</v>
      </c>
      <c r="F1758" s="3">
        <v>6647900</v>
      </c>
      <c r="G1758" s="3">
        <v>56937300</v>
      </c>
      <c r="H1758" s="3">
        <v>50289400</v>
      </c>
    </row>
    <row r="1759" spans="1:9" x14ac:dyDescent="0.35">
      <c r="A1759" t="str">
        <f>"37151"</f>
        <v>37151</v>
      </c>
      <c r="B1759" t="s">
        <v>33</v>
      </c>
      <c r="C1759" t="s">
        <v>777</v>
      </c>
      <c r="D1759" s="5" t="str">
        <f>"002"</f>
        <v>002</v>
      </c>
      <c r="E1759" s="5">
        <v>2016</v>
      </c>
      <c r="F1759" s="3">
        <v>1124200</v>
      </c>
      <c r="G1759" s="3">
        <v>8057100</v>
      </c>
      <c r="H1759" s="3">
        <v>6932900</v>
      </c>
    </row>
    <row r="1760" spans="1:9" x14ac:dyDescent="0.35">
      <c r="A1760" t="str">
        <f>"37151"</f>
        <v>37151</v>
      </c>
      <c r="B1760" t="s">
        <v>33</v>
      </c>
      <c r="C1760" t="s">
        <v>777</v>
      </c>
      <c r="D1760" s="5" t="s">
        <v>11</v>
      </c>
      <c r="E1760" s="5" t="s">
        <v>12</v>
      </c>
      <c r="F1760" s="3" t="s">
        <v>13</v>
      </c>
      <c r="G1760" s="3" t="s">
        <v>13</v>
      </c>
      <c r="H1760" s="3" t="s">
        <v>13</v>
      </c>
      <c r="I1760" s="3">
        <v>211092200</v>
      </c>
    </row>
    <row r="1761" spans="1:9" x14ac:dyDescent="0.35">
      <c r="A1761" t="str">
        <f>"37168"</f>
        <v>37168</v>
      </c>
      <c r="B1761" t="s">
        <v>33</v>
      </c>
      <c r="C1761" t="s">
        <v>778</v>
      </c>
      <c r="D1761" s="5" t="str">
        <f>"001"</f>
        <v>001</v>
      </c>
      <c r="E1761" s="5">
        <v>2020</v>
      </c>
      <c r="F1761" s="3">
        <v>19949600</v>
      </c>
      <c r="G1761" s="3">
        <v>35636600</v>
      </c>
      <c r="H1761" s="3">
        <v>15687000</v>
      </c>
    </row>
    <row r="1762" spans="1:9" x14ac:dyDescent="0.35">
      <c r="A1762" t="str">
        <f>"37168"</f>
        <v>37168</v>
      </c>
      <c r="B1762" t="s">
        <v>33</v>
      </c>
      <c r="C1762" t="s">
        <v>778</v>
      </c>
      <c r="D1762" s="5" t="s">
        <v>11</v>
      </c>
      <c r="E1762" s="5" t="s">
        <v>12</v>
      </c>
      <c r="F1762" s="3" t="s">
        <v>13</v>
      </c>
      <c r="G1762" s="3" t="s">
        <v>13</v>
      </c>
      <c r="H1762" s="3" t="s">
        <v>13</v>
      </c>
      <c r="I1762" s="3">
        <v>1449157000</v>
      </c>
    </row>
    <row r="1763" spans="1:9" x14ac:dyDescent="0.35">
      <c r="A1763" t="str">
        <f>"37176"</f>
        <v>37176</v>
      </c>
      <c r="B1763" t="s">
        <v>33</v>
      </c>
      <c r="C1763" t="s">
        <v>779</v>
      </c>
      <c r="D1763" s="5" t="str">
        <f>"002"</f>
        <v>002</v>
      </c>
      <c r="E1763" s="5">
        <v>2013</v>
      </c>
      <c r="F1763" s="3">
        <v>41698900</v>
      </c>
      <c r="G1763" s="3">
        <v>92215600</v>
      </c>
      <c r="H1763" s="3">
        <v>50516700</v>
      </c>
    </row>
    <row r="1764" spans="1:9" x14ac:dyDescent="0.35">
      <c r="A1764" t="str">
        <f>"37176"</f>
        <v>37176</v>
      </c>
      <c r="B1764" t="s">
        <v>33</v>
      </c>
      <c r="C1764" t="s">
        <v>779</v>
      </c>
      <c r="D1764" s="5" t="str">
        <f>"003"</f>
        <v>003</v>
      </c>
      <c r="E1764" s="5">
        <v>2024</v>
      </c>
      <c r="F1764" s="3">
        <v>49957100</v>
      </c>
      <c r="G1764" s="3">
        <v>58983300</v>
      </c>
      <c r="H1764" s="3">
        <v>9026200</v>
      </c>
    </row>
    <row r="1765" spans="1:9" x14ac:dyDescent="0.35">
      <c r="A1765" t="str">
        <f>"37176"</f>
        <v>37176</v>
      </c>
      <c r="B1765" t="s">
        <v>33</v>
      </c>
      <c r="C1765" t="s">
        <v>779</v>
      </c>
      <c r="D1765" s="5" t="s">
        <v>11</v>
      </c>
      <c r="E1765" s="5" t="s">
        <v>12</v>
      </c>
      <c r="F1765" s="3" t="s">
        <v>13</v>
      </c>
      <c r="G1765" s="3" t="s">
        <v>13</v>
      </c>
      <c r="H1765" s="3" t="s">
        <v>13</v>
      </c>
      <c r="I1765" s="3">
        <v>765699700</v>
      </c>
    </row>
    <row r="1766" spans="1:9" x14ac:dyDescent="0.35">
      <c r="A1766" t="str">
        <f>"37181"</f>
        <v>37181</v>
      </c>
      <c r="B1766" t="s">
        <v>33</v>
      </c>
      <c r="C1766" t="s">
        <v>765</v>
      </c>
      <c r="D1766" s="5" t="str">
        <f>"003"</f>
        <v>003</v>
      </c>
      <c r="E1766" s="5">
        <v>2013</v>
      </c>
      <c r="F1766" s="3">
        <v>519500</v>
      </c>
      <c r="G1766" s="3">
        <v>17208100</v>
      </c>
      <c r="H1766" s="3">
        <v>16688600</v>
      </c>
    </row>
    <row r="1767" spans="1:9" x14ac:dyDescent="0.35">
      <c r="A1767" t="str">
        <f>"37181"</f>
        <v>37181</v>
      </c>
      <c r="B1767" t="s">
        <v>33</v>
      </c>
      <c r="C1767" t="s">
        <v>765</v>
      </c>
      <c r="D1767" s="5" t="str">
        <f>"004"</f>
        <v>004</v>
      </c>
      <c r="E1767" s="5">
        <v>2016</v>
      </c>
      <c r="F1767" s="3">
        <v>7044900</v>
      </c>
      <c r="G1767" s="3">
        <v>10777000</v>
      </c>
      <c r="H1767" s="3">
        <v>3732100</v>
      </c>
    </row>
    <row r="1768" spans="1:9" x14ac:dyDescent="0.35">
      <c r="A1768" t="str">
        <f>"37181"</f>
        <v>37181</v>
      </c>
      <c r="B1768" t="s">
        <v>33</v>
      </c>
      <c r="C1768" t="s">
        <v>765</v>
      </c>
      <c r="D1768" s="5" t="s">
        <v>11</v>
      </c>
      <c r="E1768" s="5" t="s">
        <v>12</v>
      </c>
      <c r="F1768" s="3" t="s">
        <v>13</v>
      </c>
      <c r="G1768" s="3" t="s">
        <v>13</v>
      </c>
      <c r="H1768" s="3" t="s">
        <v>13</v>
      </c>
      <c r="I1768" s="3">
        <v>165835900</v>
      </c>
    </row>
    <row r="1769" spans="1:9" x14ac:dyDescent="0.35">
      <c r="A1769" t="str">
        <f>"37182"</f>
        <v>37182</v>
      </c>
      <c r="B1769" t="s">
        <v>33</v>
      </c>
      <c r="C1769" t="s">
        <v>780</v>
      </c>
      <c r="D1769" s="5" t="str">
        <f>"003"</f>
        <v>003</v>
      </c>
      <c r="E1769" s="5">
        <v>2006</v>
      </c>
      <c r="F1769" s="3">
        <v>2413400</v>
      </c>
      <c r="G1769" s="3">
        <v>13768800</v>
      </c>
      <c r="H1769" s="3">
        <v>11355400</v>
      </c>
    </row>
    <row r="1770" spans="1:9" x14ac:dyDescent="0.35">
      <c r="A1770" t="str">
        <f>"37182"</f>
        <v>37182</v>
      </c>
      <c r="B1770" t="s">
        <v>33</v>
      </c>
      <c r="C1770" t="s">
        <v>780</v>
      </c>
      <c r="D1770" s="5" t="str">
        <f>"004"</f>
        <v>004</v>
      </c>
      <c r="E1770" s="5">
        <v>2015</v>
      </c>
      <c r="F1770" s="3">
        <v>9055500</v>
      </c>
      <c r="G1770" s="3">
        <v>45055300</v>
      </c>
      <c r="H1770" s="3">
        <v>35999800</v>
      </c>
    </row>
    <row r="1771" spans="1:9" x14ac:dyDescent="0.35">
      <c r="A1771" t="str">
        <f>"37182"</f>
        <v>37182</v>
      </c>
      <c r="B1771" t="s">
        <v>33</v>
      </c>
      <c r="C1771" t="s">
        <v>780</v>
      </c>
      <c r="D1771" s="5" t="s">
        <v>11</v>
      </c>
      <c r="E1771" s="5" t="s">
        <v>12</v>
      </c>
      <c r="F1771" s="3" t="s">
        <v>13</v>
      </c>
      <c r="G1771" s="3" t="s">
        <v>13</v>
      </c>
      <c r="H1771" s="3" t="s">
        <v>13</v>
      </c>
      <c r="I1771" s="3">
        <v>143969300</v>
      </c>
    </row>
    <row r="1772" spans="1:9" x14ac:dyDescent="0.35">
      <c r="A1772" t="str">
        <f>"37186"</f>
        <v>37186</v>
      </c>
      <c r="B1772" t="s">
        <v>33</v>
      </c>
      <c r="C1772" t="s">
        <v>238</v>
      </c>
      <c r="D1772" s="5" t="s">
        <v>11</v>
      </c>
      <c r="E1772" s="5" t="s">
        <v>12</v>
      </c>
      <c r="F1772" s="3" t="s">
        <v>13</v>
      </c>
      <c r="G1772" s="3" t="s">
        <v>13</v>
      </c>
      <c r="H1772" s="3" t="s">
        <v>13</v>
      </c>
      <c r="I1772" s="3">
        <v>16573700</v>
      </c>
    </row>
    <row r="1773" spans="1:9" x14ac:dyDescent="0.35">
      <c r="A1773" t="str">
        <f>"37192"</f>
        <v>37192</v>
      </c>
      <c r="B1773" t="s">
        <v>33</v>
      </c>
      <c r="C1773" t="s">
        <v>240</v>
      </c>
      <c r="D1773" s="5" t="str">
        <f>"002"</f>
        <v>002</v>
      </c>
      <c r="E1773" s="5">
        <v>2004</v>
      </c>
      <c r="F1773" s="3">
        <v>34485600</v>
      </c>
      <c r="G1773" s="3">
        <v>56807700</v>
      </c>
      <c r="H1773" s="3">
        <v>22322100</v>
      </c>
    </row>
    <row r="1774" spans="1:9" x14ac:dyDescent="0.35">
      <c r="A1774" t="str">
        <f>"37192"</f>
        <v>37192</v>
      </c>
      <c r="B1774" t="s">
        <v>33</v>
      </c>
      <c r="C1774" t="s">
        <v>240</v>
      </c>
      <c r="D1774" s="5" t="s">
        <v>11</v>
      </c>
      <c r="E1774" s="5" t="s">
        <v>12</v>
      </c>
      <c r="F1774" s="3" t="s">
        <v>13</v>
      </c>
      <c r="G1774" s="3" t="s">
        <v>13</v>
      </c>
      <c r="H1774" s="3" t="s">
        <v>13</v>
      </c>
      <c r="I1774" s="3">
        <v>2070632900</v>
      </c>
    </row>
    <row r="1775" spans="1:9" x14ac:dyDescent="0.35">
      <c r="A1775" t="s">
        <v>30</v>
      </c>
      <c r="B1775" t="s">
        <v>35</v>
      </c>
      <c r="C1775" t="s">
        <v>32</v>
      </c>
      <c r="D1775" s="5" t="s">
        <v>11</v>
      </c>
      <c r="E1775" s="5" t="s">
        <v>12</v>
      </c>
      <c r="F1775" s="3" t="s">
        <v>13</v>
      </c>
      <c r="G1775" s="3" t="s">
        <v>13</v>
      </c>
      <c r="H1775" s="3" t="s">
        <v>13</v>
      </c>
      <c r="I1775" s="3">
        <v>6705179300</v>
      </c>
    </row>
    <row r="1776" spans="1:9" x14ac:dyDescent="0.35">
      <c r="A1776" t="str">
        <f>"37201"</f>
        <v>37201</v>
      </c>
      <c r="B1776" t="s">
        <v>36</v>
      </c>
      <c r="C1776" t="s">
        <v>247</v>
      </c>
      <c r="D1776" s="5" t="str">
        <f>"005"</f>
        <v>005</v>
      </c>
      <c r="E1776" s="5">
        <v>2008</v>
      </c>
      <c r="F1776" s="3">
        <v>11303500</v>
      </c>
      <c r="G1776" s="3">
        <v>16712300</v>
      </c>
      <c r="H1776" s="3">
        <v>5408800</v>
      </c>
    </row>
    <row r="1777" spans="1:9" x14ac:dyDescent="0.35">
      <c r="A1777" t="str">
        <f>"37201"</f>
        <v>37201</v>
      </c>
      <c r="B1777" t="s">
        <v>36</v>
      </c>
      <c r="C1777" t="s">
        <v>247</v>
      </c>
      <c r="D1777" s="5" t="str">
        <f>"006"</f>
        <v>006</v>
      </c>
      <c r="E1777" s="5">
        <v>2016</v>
      </c>
      <c r="F1777" s="3">
        <v>5541200</v>
      </c>
      <c r="G1777" s="3">
        <v>28884500</v>
      </c>
      <c r="H1777" s="3">
        <v>23343300</v>
      </c>
    </row>
    <row r="1778" spans="1:9" x14ac:dyDescent="0.35">
      <c r="A1778" t="str">
        <f>"37201"</f>
        <v>37201</v>
      </c>
      <c r="B1778" t="s">
        <v>36</v>
      </c>
      <c r="C1778" t="s">
        <v>247</v>
      </c>
      <c r="D1778" s="5" t="s">
        <v>11</v>
      </c>
      <c r="E1778" s="5" t="s">
        <v>12</v>
      </c>
      <c r="F1778" s="3" t="s">
        <v>13</v>
      </c>
      <c r="G1778" s="3" t="s">
        <v>13</v>
      </c>
      <c r="H1778" s="3" t="s">
        <v>13</v>
      </c>
      <c r="I1778" s="3">
        <v>56140400</v>
      </c>
    </row>
    <row r="1779" spans="1:9" x14ac:dyDescent="0.35">
      <c r="A1779" t="str">
        <f>"37211"</f>
        <v>37211</v>
      </c>
      <c r="B1779" t="s">
        <v>36</v>
      </c>
      <c r="C1779" t="s">
        <v>216</v>
      </c>
      <c r="D1779" s="5" t="str">
        <f>"003"</f>
        <v>003</v>
      </c>
      <c r="E1779" s="5">
        <v>2021</v>
      </c>
      <c r="F1779" s="3">
        <v>1335200</v>
      </c>
      <c r="G1779" s="3">
        <v>1181700</v>
      </c>
      <c r="H1779" s="3">
        <v>0</v>
      </c>
    </row>
    <row r="1780" spans="1:9" x14ac:dyDescent="0.35">
      <c r="A1780" t="str">
        <f>"37211"</f>
        <v>37211</v>
      </c>
      <c r="B1780" t="s">
        <v>36</v>
      </c>
      <c r="C1780" t="s">
        <v>216</v>
      </c>
      <c r="D1780" s="5" t="str">
        <f>"004"</f>
        <v>004</v>
      </c>
      <c r="E1780" s="5">
        <v>2022</v>
      </c>
      <c r="F1780" s="3">
        <v>3512800</v>
      </c>
      <c r="G1780" s="3">
        <v>4554700</v>
      </c>
      <c r="H1780" s="3">
        <v>1041900</v>
      </c>
    </row>
    <row r="1781" spans="1:9" x14ac:dyDescent="0.35">
      <c r="A1781" t="str">
        <f>"37211"</f>
        <v>37211</v>
      </c>
      <c r="B1781" t="s">
        <v>36</v>
      </c>
      <c r="C1781" t="s">
        <v>216</v>
      </c>
      <c r="D1781" s="5" t="s">
        <v>11</v>
      </c>
      <c r="E1781" s="5" t="s">
        <v>12</v>
      </c>
      <c r="F1781" s="3" t="s">
        <v>13</v>
      </c>
      <c r="G1781" s="3" t="s">
        <v>13</v>
      </c>
      <c r="H1781" s="3" t="s">
        <v>13</v>
      </c>
      <c r="I1781" s="3">
        <v>50171800</v>
      </c>
    </row>
    <row r="1782" spans="1:9" x14ac:dyDescent="0.35">
      <c r="A1782" t="str">
        <f>"37250"</f>
        <v>37250</v>
      </c>
      <c r="B1782" t="s">
        <v>36</v>
      </c>
      <c r="C1782" t="s">
        <v>464</v>
      </c>
      <c r="D1782" s="5" t="str">
        <f>"014"</f>
        <v>014</v>
      </c>
      <c r="E1782" s="5">
        <v>2023</v>
      </c>
      <c r="F1782" s="3">
        <v>750900</v>
      </c>
      <c r="G1782" s="3">
        <v>4757400</v>
      </c>
      <c r="H1782" s="3">
        <v>4006500</v>
      </c>
    </row>
    <row r="1783" spans="1:9" x14ac:dyDescent="0.35">
      <c r="A1783" t="str">
        <f>"37250"</f>
        <v>37250</v>
      </c>
      <c r="B1783" t="s">
        <v>36</v>
      </c>
      <c r="C1783" t="s">
        <v>464</v>
      </c>
      <c r="D1783" s="5" t="s">
        <v>11</v>
      </c>
      <c r="E1783" s="5" t="s">
        <v>12</v>
      </c>
      <c r="F1783" s="3" t="s">
        <v>13</v>
      </c>
      <c r="G1783" s="3" t="s">
        <v>13</v>
      </c>
      <c r="H1783" s="3" t="s">
        <v>13</v>
      </c>
      <c r="I1783" s="3">
        <v>201863800</v>
      </c>
    </row>
    <row r="1784" spans="1:9" x14ac:dyDescent="0.35">
      <c r="A1784" t="str">
        <f>"37251"</f>
        <v>37251</v>
      </c>
      <c r="B1784" t="s">
        <v>36</v>
      </c>
      <c r="C1784" t="s">
        <v>758</v>
      </c>
      <c r="D1784" s="5" t="str">
        <f>"003"</f>
        <v>003</v>
      </c>
      <c r="E1784" s="5">
        <v>2013</v>
      </c>
      <c r="F1784" s="3">
        <v>7796500</v>
      </c>
      <c r="G1784" s="3">
        <v>24678300</v>
      </c>
      <c r="H1784" s="3">
        <v>16881800</v>
      </c>
    </row>
    <row r="1785" spans="1:9" x14ac:dyDescent="0.35">
      <c r="A1785" t="str">
        <f>"37251"</f>
        <v>37251</v>
      </c>
      <c r="B1785" t="s">
        <v>36</v>
      </c>
      <c r="C1785" t="s">
        <v>758</v>
      </c>
      <c r="D1785" s="5" t="s">
        <v>11</v>
      </c>
      <c r="E1785" s="5" t="s">
        <v>12</v>
      </c>
      <c r="F1785" s="3" t="s">
        <v>13</v>
      </c>
      <c r="G1785" s="3" t="s">
        <v>13</v>
      </c>
      <c r="H1785" s="3" t="s">
        <v>13</v>
      </c>
      <c r="I1785" s="3">
        <v>599285000</v>
      </c>
    </row>
    <row r="1786" spans="1:9" x14ac:dyDescent="0.35">
      <c r="A1786" t="str">
        <f>"37281"</f>
        <v>37281</v>
      </c>
      <c r="B1786" t="s">
        <v>36</v>
      </c>
      <c r="C1786" t="s">
        <v>781</v>
      </c>
      <c r="D1786" s="5" t="str">
        <f>"002"</f>
        <v>002</v>
      </c>
      <c r="E1786" s="5">
        <v>1994</v>
      </c>
      <c r="F1786" s="3">
        <v>2995200</v>
      </c>
      <c r="G1786" s="3">
        <v>28251600</v>
      </c>
      <c r="H1786" s="3">
        <v>25256400</v>
      </c>
    </row>
    <row r="1787" spans="1:9" x14ac:dyDescent="0.35">
      <c r="A1787" t="str">
        <f>"37281"</f>
        <v>37281</v>
      </c>
      <c r="B1787" t="s">
        <v>36</v>
      </c>
      <c r="C1787" t="s">
        <v>781</v>
      </c>
      <c r="D1787" s="5" t="str">
        <f>"004"</f>
        <v>004</v>
      </c>
      <c r="E1787" s="5">
        <v>2017</v>
      </c>
      <c r="F1787" s="3">
        <v>5393700</v>
      </c>
      <c r="G1787" s="3">
        <v>53708800</v>
      </c>
      <c r="H1787" s="3">
        <v>48315100</v>
      </c>
    </row>
    <row r="1788" spans="1:9" x14ac:dyDescent="0.35">
      <c r="A1788" t="str">
        <f>"37281"</f>
        <v>37281</v>
      </c>
      <c r="B1788" t="s">
        <v>36</v>
      </c>
      <c r="C1788" t="s">
        <v>781</v>
      </c>
      <c r="D1788" s="5" t="str">
        <f>"005"</f>
        <v>005</v>
      </c>
      <c r="E1788" s="5">
        <v>2021</v>
      </c>
      <c r="F1788" s="3">
        <v>905000</v>
      </c>
      <c r="G1788" s="3">
        <v>1463600</v>
      </c>
      <c r="H1788" s="3">
        <v>558600</v>
      </c>
    </row>
    <row r="1789" spans="1:9" x14ac:dyDescent="0.35">
      <c r="A1789" t="str">
        <f>"37281"</f>
        <v>37281</v>
      </c>
      <c r="B1789" t="s">
        <v>36</v>
      </c>
      <c r="C1789" t="s">
        <v>781</v>
      </c>
      <c r="D1789" s="5" t="s">
        <v>11</v>
      </c>
      <c r="E1789" s="5" t="s">
        <v>12</v>
      </c>
      <c r="F1789" s="3" t="s">
        <v>13</v>
      </c>
      <c r="G1789" s="3" t="s">
        <v>13</v>
      </c>
      <c r="H1789" s="3" t="s">
        <v>13</v>
      </c>
      <c r="I1789" s="3">
        <v>366941100</v>
      </c>
    </row>
    <row r="1790" spans="1:9" x14ac:dyDescent="0.35">
      <c r="A1790" t="str">
        <f t="shared" ref="A1790:A1796" si="39">"37291"</f>
        <v>37291</v>
      </c>
      <c r="B1790" t="s">
        <v>36</v>
      </c>
      <c r="C1790" t="s">
        <v>768</v>
      </c>
      <c r="D1790" s="5" t="str">
        <f>"003"</f>
        <v>003</v>
      </c>
      <c r="E1790" s="5">
        <v>1994</v>
      </c>
      <c r="F1790" s="3">
        <v>34544200</v>
      </c>
      <c r="G1790" s="3">
        <v>171892300</v>
      </c>
      <c r="H1790" s="3">
        <v>137348100</v>
      </c>
    </row>
    <row r="1791" spans="1:9" x14ac:dyDescent="0.35">
      <c r="A1791" t="str">
        <f t="shared" si="39"/>
        <v>37291</v>
      </c>
      <c r="B1791" t="s">
        <v>36</v>
      </c>
      <c r="C1791" t="s">
        <v>768</v>
      </c>
      <c r="D1791" s="5" t="str">
        <f>"008"</f>
        <v>008</v>
      </c>
      <c r="E1791" s="5">
        <v>2012</v>
      </c>
      <c r="F1791" s="3">
        <v>39377900</v>
      </c>
      <c r="G1791" s="3">
        <v>122183600</v>
      </c>
      <c r="H1791" s="3">
        <v>82805700</v>
      </c>
    </row>
    <row r="1792" spans="1:9" x14ac:dyDescent="0.35">
      <c r="A1792" t="str">
        <f t="shared" si="39"/>
        <v>37291</v>
      </c>
      <c r="B1792" t="s">
        <v>36</v>
      </c>
      <c r="C1792" t="s">
        <v>768</v>
      </c>
      <c r="D1792" s="5" t="str">
        <f>"009"</f>
        <v>009</v>
      </c>
      <c r="E1792" s="5">
        <v>2012</v>
      </c>
      <c r="F1792" s="3">
        <v>1079500</v>
      </c>
      <c r="G1792" s="3">
        <v>2213700</v>
      </c>
      <c r="H1792" s="3">
        <v>1134200</v>
      </c>
    </row>
    <row r="1793" spans="1:9" x14ac:dyDescent="0.35">
      <c r="A1793" t="str">
        <f t="shared" si="39"/>
        <v>37291</v>
      </c>
      <c r="B1793" t="s">
        <v>36</v>
      </c>
      <c r="C1793" t="s">
        <v>768</v>
      </c>
      <c r="D1793" s="5" t="str">
        <f>"010"</f>
        <v>010</v>
      </c>
      <c r="E1793" s="5">
        <v>2013</v>
      </c>
      <c r="F1793" s="3">
        <v>43412200</v>
      </c>
      <c r="G1793" s="3">
        <v>82566700</v>
      </c>
      <c r="H1793" s="3">
        <v>39154500</v>
      </c>
    </row>
    <row r="1794" spans="1:9" x14ac:dyDescent="0.35">
      <c r="A1794" t="str">
        <f t="shared" si="39"/>
        <v>37291</v>
      </c>
      <c r="B1794" t="s">
        <v>36</v>
      </c>
      <c r="C1794" t="s">
        <v>768</v>
      </c>
      <c r="D1794" s="5" t="str">
        <f>"011"</f>
        <v>011</v>
      </c>
      <c r="E1794" s="5">
        <v>2017</v>
      </c>
      <c r="F1794" s="3">
        <v>1386400</v>
      </c>
      <c r="G1794" s="3">
        <v>72352100</v>
      </c>
      <c r="H1794" s="3">
        <v>70965700</v>
      </c>
    </row>
    <row r="1795" spans="1:9" x14ac:dyDescent="0.35">
      <c r="A1795" t="str">
        <f t="shared" si="39"/>
        <v>37291</v>
      </c>
      <c r="B1795" t="s">
        <v>36</v>
      </c>
      <c r="C1795" t="s">
        <v>768</v>
      </c>
      <c r="D1795" s="5" t="str">
        <f>"012"</f>
        <v>012</v>
      </c>
      <c r="E1795" s="5">
        <v>2017</v>
      </c>
      <c r="F1795" s="3">
        <v>10539300</v>
      </c>
      <c r="G1795" s="3">
        <v>65043700</v>
      </c>
      <c r="H1795" s="3">
        <v>54504400</v>
      </c>
    </row>
    <row r="1796" spans="1:9" x14ac:dyDescent="0.35">
      <c r="A1796" t="str">
        <f t="shared" si="39"/>
        <v>37291</v>
      </c>
      <c r="B1796" t="s">
        <v>36</v>
      </c>
      <c r="C1796" t="s">
        <v>768</v>
      </c>
      <c r="D1796" s="5" t="s">
        <v>11</v>
      </c>
      <c r="E1796" s="5" t="s">
        <v>12</v>
      </c>
      <c r="F1796" s="3" t="s">
        <v>13</v>
      </c>
      <c r="G1796" s="3" t="s">
        <v>13</v>
      </c>
      <c r="H1796" s="3" t="s">
        <v>13</v>
      </c>
      <c r="I1796" s="3">
        <v>4239752500</v>
      </c>
    </row>
    <row r="1797" spans="1:9" x14ac:dyDescent="0.35">
      <c r="A1797" t="s">
        <v>30</v>
      </c>
      <c r="B1797" t="s">
        <v>38</v>
      </c>
      <c r="C1797" t="s">
        <v>32</v>
      </c>
      <c r="D1797" s="5" t="s">
        <v>11</v>
      </c>
      <c r="E1797" s="5" t="s">
        <v>12</v>
      </c>
      <c r="F1797" s="3" t="s">
        <v>13</v>
      </c>
      <c r="G1797" s="3" t="s">
        <v>13</v>
      </c>
      <c r="H1797" s="3" t="s">
        <v>13</v>
      </c>
      <c r="I1797" s="3">
        <v>5514154600</v>
      </c>
    </row>
    <row r="1798" spans="1:9" x14ac:dyDescent="0.35">
      <c r="A1798" t="s">
        <v>30</v>
      </c>
      <c r="B1798" t="s">
        <v>39</v>
      </c>
      <c r="C1798" t="s">
        <v>756</v>
      </c>
      <c r="D1798" s="5" t="s">
        <v>11</v>
      </c>
      <c r="E1798" s="5" t="s">
        <v>12</v>
      </c>
      <c r="F1798" s="3" t="s">
        <v>13</v>
      </c>
      <c r="G1798" s="3" t="s">
        <v>13</v>
      </c>
      <c r="H1798" s="3" t="s">
        <v>13</v>
      </c>
      <c r="I1798" s="3">
        <v>19051834700</v>
      </c>
    </row>
    <row r="1799" spans="1:9" x14ac:dyDescent="0.35">
      <c r="A1799" t="str">
        <f>"38002"</f>
        <v>38002</v>
      </c>
      <c r="B1799" t="s">
        <v>9</v>
      </c>
      <c r="C1799" t="s">
        <v>782</v>
      </c>
      <c r="D1799" s="5" t="s">
        <v>11</v>
      </c>
      <c r="E1799" s="5" t="s">
        <v>12</v>
      </c>
      <c r="F1799" s="3" t="s">
        <v>13</v>
      </c>
      <c r="G1799" s="3" t="s">
        <v>13</v>
      </c>
      <c r="H1799" s="3" t="s">
        <v>13</v>
      </c>
      <c r="I1799" s="3">
        <v>203403500</v>
      </c>
    </row>
    <row r="1800" spans="1:9" x14ac:dyDescent="0.35">
      <c r="A1800" t="str">
        <f>"38004"</f>
        <v>38004</v>
      </c>
      <c r="B1800" t="s">
        <v>9</v>
      </c>
      <c r="C1800" t="s">
        <v>783</v>
      </c>
      <c r="D1800" s="5" t="s">
        <v>11</v>
      </c>
      <c r="E1800" s="5" t="s">
        <v>12</v>
      </c>
      <c r="F1800" s="3" t="s">
        <v>13</v>
      </c>
      <c r="G1800" s="3" t="s">
        <v>13</v>
      </c>
      <c r="H1800" s="3" t="s">
        <v>13</v>
      </c>
      <c r="I1800" s="3">
        <v>289209900</v>
      </c>
    </row>
    <row r="1801" spans="1:9" x14ac:dyDescent="0.35">
      <c r="A1801" t="str">
        <f>"38006"</f>
        <v>38006</v>
      </c>
      <c r="B1801" t="s">
        <v>9</v>
      </c>
      <c r="C1801" t="s">
        <v>214</v>
      </c>
      <c r="D1801" s="5" t="s">
        <v>11</v>
      </c>
      <c r="E1801" s="5" t="s">
        <v>12</v>
      </c>
      <c r="F1801" s="3" t="s">
        <v>13</v>
      </c>
      <c r="G1801" s="3" t="s">
        <v>13</v>
      </c>
      <c r="H1801" s="3" t="s">
        <v>13</v>
      </c>
      <c r="I1801" s="3">
        <v>332527900</v>
      </c>
    </row>
    <row r="1802" spans="1:9" x14ac:dyDescent="0.35">
      <c r="A1802" t="str">
        <f>"38008"</f>
        <v>38008</v>
      </c>
      <c r="B1802" t="s">
        <v>9</v>
      </c>
      <c r="C1802" t="s">
        <v>784</v>
      </c>
      <c r="D1802" s="5" t="s">
        <v>11</v>
      </c>
      <c r="E1802" s="5" t="s">
        <v>12</v>
      </c>
      <c r="F1802" s="3" t="s">
        <v>13</v>
      </c>
      <c r="G1802" s="3" t="s">
        <v>13</v>
      </c>
      <c r="H1802" s="3" t="s">
        <v>13</v>
      </c>
      <c r="I1802" s="3">
        <v>206285500</v>
      </c>
    </row>
    <row r="1803" spans="1:9" x14ac:dyDescent="0.35">
      <c r="A1803" t="str">
        <f>"38010"</f>
        <v>38010</v>
      </c>
      <c r="B1803" t="s">
        <v>9</v>
      </c>
      <c r="C1803" t="s">
        <v>785</v>
      </c>
      <c r="D1803" s="5" t="s">
        <v>11</v>
      </c>
      <c r="E1803" s="5" t="s">
        <v>12</v>
      </c>
      <c r="F1803" s="3" t="s">
        <v>13</v>
      </c>
      <c r="G1803" s="3" t="s">
        <v>13</v>
      </c>
      <c r="H1803" s="3" t="s">
        <v>13</v>
      </c>
      <c r="I1803" s="3">
        <v>170144200</v>
      </c>
    </row>
    <row r="1804" spans="1:9" x14ac:dyDescent="0.35">
      <c r="A1804" t="str">
        <f>"38012"</f>
        <v>38012</v>
      </c>
      <c r="B1804" t="s">
        <v>9</v>
      </c>
      <c r="C1804" t="s">
        <v>786</v>
      </c>
      <c r="D1804" s="5" t="s">
        <v>11</v>
      </c>
      <c r="E1804" s="5" t="s">
        <v>12</v>
      </c>
      <c r="F1804" s="3" t="s">
        <v>13</v>
      </c>
      <c r="G1804" s="3" t="s">
        <v>13</v>
      </c>
      <c r="H1804" s="3" t="s">
        <v>13</v>
      </c>
      <c r="I1804" s="3">
        <v>165187200</v>
      </c>
    </row>
    <row r="1805" spans="1:9" x14ac:dyDescent="0.35">
      <c r="A1805" t="str">
        <f>"38014"</f>
        <v>38014</v>
      </c>
      <c r="B1805" t="s">
        <v>9</v>
      </c>
      <c r="C1805" t="s">
        <v>787</v>
      </c>
      <c r="D1805" s="5" t="s">
        <v>11</v>
      </c>
      <c r="E1805" s="5" t="s">
        <v>12</v>
      </c>
      <c r="F1805" s="3" t="s">
        <v>13</v>
      </c>
      <c r="G1805" s="3" t="s">
        <v>13</v>
      </c>
      <c r="H1805" s="3" t="s">
        <v>13</v>
      </c>
      <c r="I1805" s="3">
        <v>272833500</v>
      </c>
    </row>
    <row r="1806" spans="1:9" x14ac:dyDescent="0.35">
      <c r="A1806" t="str">
        <f>"38016"</f>
        <v>38016</v>
      </c>
      <c r="B1806" t="s">
        <v>9</v>
      </c>
      <c r="C1806" t="s">
        <v>788</v>
      </c>
      <c r="D1806" s="5" t="s">
        <v>11</v>
      </c>
      <c r="E1806" s="5" t="s">
        <v>12</v>
      </c>
      <c r="F1806" s="3" t="s">
        <v>13</v>
      </c>
      <c r="G1806" s="3" t="s">
        <v>13</v>
      </c>
      <c r="H1806" s="3" t="s">
        <v>13</v>
      </c>
      <c r="I1806" s="3">
        <v>362737000</v>
      </c>
    </row>
    <row r="1807" spans="1:9" x14ac:dyDescent="0.35">
      <c r="A1807" t="str">
        <f>"38018"</f>
        <v>38018</v>
      </c>
      <c r="B1807" t="s">
        <v>9</v>
      </c>
      <c r="C1807" t="s">
        <v>789</v>
      </c>
      <c r="D1807" s="5" t="s">
        <v>11</v>
      </c>
      <c r="E1807" s="5" t="s">
        <v>12</v>
      </c>
      <c r="F1807" s="3" t="s">
        <v>13</v>
      </c>
      <c r="G1807" s="3" t="s">
        <v>13</v>
      </c>
      <c r="H1807" s="3" t="s">
        <v>13</v>
      </c>
      <c r="I1807" s="3">
        <v>224613200</v>
      </c>
    </row>
    <row r="1808" spans="1:9" x14ac:dyDescent="0.35">
      <c r="A1808" t="str">
        <f>"38020"</f>
        <v>38020</v>
      </c>
      <c r="B1808" t="s">
        <v>9</v>
      </c>
      <c r="C1808" t="s">
        <v>790</v>
      </c>
      <c r="D1808" s="5" t="s">
        <v>11</v>
      </c>
      <c r="E1808" s="5" t="s">
        <v>12</v>
      </c>
      <c r="F1808" s="3" t="s">
        <v>13</v>
      </c>
      <c r="G1808" s="3" t="s">
        <v>13</v>
      </c>
      <c r="H1808" s="3" t="s">
        <v>13</v>
      </c>
      <c r="I1808" s="3">
        <v>149637100</v>
      </c>
    </row>
    <row r="1809" spans="1:9" x14ac:dyDescent="0.35">
      <c r="A1809" t="str">
        <f>"38022"</f>
        <v>38022</v>
      </c>
      <c r="B1809" t="s">
        <v>9</v>
      </c>
      <c r="C1809" t="s">
        <v>791</v>
      </c>
      <c r="D1809" s="5" t="s">
        <v>11</v>
      </c>
      <c r="E1809" s="5" t="s">
        <v>12</v>
      </c>
      <c r="F1809" s="3" t="s">
        <v>13</v>
      </c>
      <c r="G1809" s="3" t="s">
        <v>13</v>
      </c>
      <c r="H1809" s="3" t="s">
        <v>13</v>
      </c>
      <c r="I1809" s="3">
        <v>197249200</v>
      </c>
    </row>
    <row r="1810" spans="1:9" x14ac:dyDescent="0.35">
      <c r="A1810" t="str">
        <f>"38024"</f>
        <v>38024</v>
      </c>
      <c r="B1810" t="s">
        <v>9</v>
      </c>
      <c r="C1810" t="s">
        <v>792</v>
      </c>
      <c r="D1810" s="5" t="s">
        <v>11</v>
      </c>
      <c r="E1810" s="5" t="s">
        <v>12</v>
      </c>
      <c r="F1810" s="3" t="s">
        <v>13</v>
      </c>
      <c r="G1810" s="3" t="s">
        <v>13</v>
      </c>
      <c r="H1810" s="3" t="s">
        <v>13</v>
      </c>
      <c r="I1810" s="3">
        <v>637630100</v>
      </c>
    </row>
    <row r="1811" spans="1:9" x14ac:dyDescent="0.35">
      <c r="A1811" t="str">
        <f>"38026"</f>
        <v>38026</v>
      </c>
      <c r="B1811" t="s">
        <v>9</v>
      </c>
      <c r="C1811" t="s">
        <v>793</v>
      </c>
      <c r="D1811" s="5" t="s">
        <v>11</v>
      </c>
      <c r="E1811" s="5" t="s">
        <v>12</v>
      </c>
      <c r="F1811" s="3" t="s">
        <v>13</v>
      </c>
      <c r="G1811" s="3" t="s">
        <v>13</v>
      </c>
      <c r="H1811" s="3" t="s">
        <v>13</v>
      </c>
      <c r="I1811" s="3">
        <v>338656600</v>
      </c>
    </row>
    <row r="1812" spans="1:9" x14ac:dyDescent="0.35">
      <c r="A1812" t="str">
        <f>"38028"</f>
        <v>38028</v>
      </c>
      <c r="B1812" t="s">
        <v>9</v>
      </c>
      <c r="C1812" t="s">
        <v>794</v>
      </c>
      <c r="D1812" s="5" t="s">
        <v>11</v>
      </c>
      <c r="E1812" s="5" t="s">
        <v>12</v>
      </c>
      <c r="F1812" s="3" t="s">
        <v>13</v>
      </c>
      <c r="G1812" s="3" t="s">
        <v>13</v>
      </c>
      <c r="H1812" s="3" t="s">
        <v>13</v>
      </c>
      <c r="I1812" s="3">
        <v>218739900</v>
      </c>
    </row>
    <row r="1813" spans="1:9" x14ac:dyDescent="0.35">
      <c r="A1813" t="str">
        <f>"38030"</f>
        <v>38030</v>
      </c>
      <c r="B1813" t="s">
        <v>9</v>
      </c>
      <c r="C1813" t="s">
        <v>795</v>
      </c>
      <c r="D1813" s="5" t="s">
        <v>11</v>
      </c>
      <c r="E1813" s="5" t="s">
        <v>12</v>
      </c>
      <c r="F1813" s="3" t="s">
        <v>13</v>
      </c>
      <c r="G1813" s="3" t="s">
        <v>13</v>
      </c>
      <c r="H1813" s="3" t="s">
        <v>13</v>
      </c>
      <c r="I1813" s="3">
        <v>290305000</v>
      </c>
    </row>
    <row r="1814" spans="1:9" x14ac:dyDescent="0.35">
      <c r="A1814" t="str">
        <f>"38032"</f>
        <v>38032</v>
      </c>
      <c r="B1814" t="s">
        <v>9</v>
      </c>
      <c r="C1814" t="s">
        <v>796</v>
      </c>
      <c r="D1814" s="5" t="s">
        <v>11</v>
      </c>
      <c r="E1814" s="5" t="s">
        <v>12</v>
      </c>
      <c r="F1814" s="3" t="s">
        <v>13</v>
      </c>
      <c r="G1814" s="3" t="s">
        <v>13</v>
      </c>
      <c r="H1814" s="3" t="s">
        <v>13</v>
      </c>
      <c r="I1814" s="3">
        <v>1236719000</v>
      </c>
    </row>
    <row r="1815" spans="1:9" x14ac:dyDescent="0.35">
      <c r="A1815" t="str">
        <f>"38034"</f>
        <v>38034</v>
      </c>
      <c r="B1815" t="s">
        <v>9</v>
      </c>
      <c r="C1815" t="s">
        <v>797</v>
      </c>
      <c r="D1815" s="5" t="s">
        <v>11</v>
      </c>
      <c r="E1815" s="5" t="s">
        <v>12</v>
      </c>
      <c r="F1815" s="3" t="s">
        <v>13</v>
      </c>
      <c r="G1815" s="3" t="s">
        <v>13</v>
      </c>
      <c r="H1815" s="3" t="s">
        <v>13</v>
      </c>
      <c r="I1815" s="3">
        <v>192472600</v>
      </c>
    </row>
    <row r="1816" spans="1:9" x14ac:dyDescent="0.35">
      <c r="A1816" t="str">
        <f>"38036"</f>
        <v>38036</v>
      </c>
      <c r="B1816" t="s">
        <v>9</v>
      </c>
      <c r="C1816" t="s">
        <v>798</v>
      </c>
      <c r="D1816" s="5" t="s">
        <v>11</v>
      </c>
      <c r="E1816" s="5" t="s">
        <v>12</v>
      </c>
      <c r="F1816" s="3" t="s">
        <v>13</v>
      </c>
      <c r="G1816" s="3" t="s">
        <v>13</v>
      </c>
      <c r="H1816" s="3" t="s">
        <v>13</v>
      </c>
      <c r="I1816" s="3">
        <v>394011500</v>
      </c>
    </row>
    <row r="1817" spans="1:9" x14ac:dyDescent="0.35">
      <c r="A1817" t="s">
        <v>30</v>
      </c>
      <c r="B1817" t="s">
        <v>31</v>
      </c>
      <c r="C1817" t="s">
        <v>32</v>
      </c>
      <c r="D1817" s="5" t="s">
        <v>11</v>
      </c>
      <c r="E1817" s="5" t="s">
        <v>12</v>
      </c>
      <c r="F1817" s="3" t="s">
        <v>13</v>
      </c>
      <c r="G1817" s="3" t="s">
        <v>13</v>
      </c>
      <c r="H1817" s="3" t="s">
        <v>13</v>
      </c>
      <c r="I1817" s="3">
        <v>5882362900</v>
      </c>
    </row>
    <row r="1818" spans="1:9" x14ac:dyDescent="0.35">
      <c r="A1818" t="str">
        <f>"38111"</f>
        <v>38111</v>
      </c>
      <c r="B1818" t="s">
        <v>33</v>
      </c>
      <c r="C1818" t="s">
        <v>799</v>
      </c>
      <c r="D1818" s="5" t="str">
        <f>"002"</f>
        <v>002</v>
      </c>
      <c r="E1818" s="5">
        <v>2017</v>
      </c>
      <c r="F1818" s="3">
        <v>365500</v>
      </c>
      <c r="G1818" s="3">
        <v>3786500</v>
      </c>
      <c r="H1818" s="3">
        <v>3421000</v>
      </c>
    </row>
    <row r="1819" spans="1:9" x14ac:dyDescent="0.35">
      <c r="A1819" t="str">
        <f>"38111"</f>
        <v>38111</v>
      </c>
      <c r="B1819" t="s">
        <v>33</v>
      </c>
      <c r="C1819" t="s">
        <v>799</v>
      </c>
      <c r="D1819" s="5" t="str">
        <f>"003"</f>
        <v>003</v>
      </c>
      <c r="E1819" s="5">
        <v>2018</v>
      </c>
      <c r="F1819" s="3">
        <v>115800</v>
      </c>
      <c r="G1819" s="3">
        <v>365800</v>
      </c>
      <c r="H1819" s="3">
        <v>250000</v>
      </c>
    </row>
    <row r="1820" spans="1:9" x14ac:dyDescent="0.35">
      <c r="A1820" t="str">
        <f>"38111"</f>
        <v>38111</v>
      </c>
      <c r="B1820" t="s">
        <v>33</v>
      </c>
      <c r="C1820" t="s">
        <v>799</v>
      </c>
      <c r="D1820" s="5" t="s">
        <v>11</v>
      </c>
      <c r="E1820" s="5" t="s">
        <v>12</v>
      </c>
      <c r="F1820" s="3" t="s">
        <v>13</v>
      </c>
      <c r="G1820" s="3" t="s">
        <v>13</v>
      </c>
      <c r="H1820" s="3" t="s">
        <v>13</v>
      </c>
      <c r="I1820" s="3">
        <v>82173800</v>
      </c>
    </row>
    <row r="1821" spans="1:9" x14ac:dyDescent="0.35">
      <c r="A1821" t="str">
        <f>"38121"</f>
        <v>38121</v>
      </c>
      <c r="B1821" t="s">
        <v>33</v>
      </c>
      <c r="C1821" t="s">
        <v>800</v>
      </c>
      <c r="D1821" s="5" t="str">
        <f>"002"</f>
        <v>002</v>
      </c>
      <c r="E1821" s="5">
        <v>2024</v>
      </c>
      <c r="F1821" s="3">
        <v>7983500</v>
      </c>
      <c r="G1821" s="3">
        <v>13683500</v>
      </c>
      <c r="H1821" s="3">
        <v>5700000</v>
      </c>
    </row>
    <row r="1822" spans="1:9" x14ac:dyDescent="0.35">
      <c r="A1822" t="str">
        <f>"38121"</f>
        <v>38121</v>
      </c>
      <c r="B1822" t="s">
        <v>33</v>
      </c>
      <c r="C1822" t="s">
        <v>800</v>
      </c>
      <c r="D1822" s="5" t="s">
        <v>11</v>
      </c>
      <c r="E1822" s="5" t="s">
        <v>12</v>
      </c>
      <c r="F1822" s="3" t="s">
        <v>13</v>
      </c>
      <c r="G1822" s="3" t="s">
        <v>13</v>
      </c>
      <c r="H1822" s="3" t="s">
        <v>13</v>
      </c>
      <c r="I1822" s="3">
        <v>162743900</v>
      </c>
    </row>
    <row r="1823" spans="1:9" x14ac:dyDescent="0.35">
      <c r="A1823" t="str">
        <f>"38171"</f>
        <v>38171</v>
      </c>
      <c r="B1823" t="s">
        <v>33</v>
      </c>
      <c r="C1823" t="s">
        <v>794</v>
      </c>
      <c r="D1823" s="5" t="str">
        <f>"001"</f>
        <v>001</v>
      </c>
      <c r="E1823" s="5">
        <v>2015</v>
      </c>
      <c r="F1823" s="3">
        <v>4100</v>
      </c>
      <c r="G1823" s="3">
        <v>716200</v>
      </c>
      <c r="H1823" s="3">
        <v>712100</v>
      </c>
    </row>
    <row r="1824" spans="1:9" x14ac:dyDescent="0.35">
      <c r="A1824" t="str">
        <f>"38171"</f>
        <v>38171</v>
      </c>
      <c r="B1824" t="s">
        <v>33</v>
      </c>
      <c r="C1824" t="s">
        <v>794</v>
      </c>
      <c r="D1824" s="5" t="s">
        <v>11</v>
      </c>
      <c r="E1824" s="5" t="s">
        <v>12</v>
      </c>
      <c r="F1824" s="3" t="s">
        <v>13</v>
      </c>
      <c r="G1824" s="3" t="s">
        <v>13</v>
      </c>
      <c r="H1824" s="3" t="s">
        <v>13</v>
      </c>
      <c r="I1824" s="3">
        <v>27692200</v>
      </c>
    </row>
    <row r="1825" spans="1:9" x14ac:dyDescent="0.35">
      <c r="A1825" t="str">
        <f>"38191"</f>
        <v>38191</v>
      </c>
      <c r="B1825" t="s">
        <v>33</v>
      </c>
      <c r="C1825" t="s">
        <v>798</v>
      </c>
      <c r="D1825" s="5" t="str">
        <f>"001"</f>
        <v>001</v>
      </c>
      <c r="E1825" s="5">
        <v>2020</v>
      </c>
      <c r="F1825" s="3">
        <v>3007000</v>
      </c>
      <c r="G1825" s="3">
        <v>7186700</v>
      </c>
      <c r="H1825" s="3">
        <v>4179700</v>
      </c>
    </row>
    <row r="1826" spans="1:9" x14ac:dyDescent="0.35">
      <c r="A1826" t="str">
        <f>"38191"</f>
        <v>38191</v>
      </c>
      <c r="B1826" t="s">
        <v>33</v>
      </c>
      <c r="C1826" t="s">
        <v>798</v>
      </c>
      <c r="D1826" s="5" t="s">
        <v>11</v>
      </c>
      <c r="E1826" s="5" t="s">
        <v>12</v>
      </c>
      <c r="F1826" s="3" t="s">
        <v>13</v>
      </c>
      <c r="G1826" s="3" t="s">
        <v>13</v>
      </c>
      <c r="H1826" s="3" t="s">
        <v>13</v>
      </c>
      <c r="I1826" s="3">
        <v>42931300</v>
      </c>
    </row>
    <row r="1827" spans="1:9" x14ac:dyDescent="0.35">
      <c r="A1827" t="s">
        <v>30</v>
      </c>
      <c r="B1827" t="s">
        <v>35</v>
      </c>
      <c r="C1827" t="s">
        <v>32</v>
      </c>
      <c r="D1827" s="5" t="s">
        <v>11</v>
      </c>
      <c r="E1827" s="5" t="s">
        <v>12</v>
      </c>
      <c r="F1827" s="3" t="s">
        <v>13</v>
      </c>
      <c r="G1827" s="3" t="s">
        <v>13</v>
      </c>
      <c r="H1827" s="3" t="s">
        <v>13</v>
      </c>
      <c r="I1827" s="3">
        <v>315541200</v>
      </c>
    </row>
    <row r="1828" spans="1:9" x14ac:dyDescent="0.35">
      <c r="A1828" t="str">
        <f t="shared" ref="A1828:A1842" si="40">"38251"</f>
        <v>38251</v>
      </c>
      <c r="B1828" t="s">
        <v>36</v>
      </c>
      <c r="C1828" t="s">
        <v>801</v>
      </c>
      <c r="D1828" s="5" t="str">
        <f>"006"</f>
        <v>006</v>
      </c>
      <c r="E1828" s="5">
        <v>2002</v>
      </c>
      <c r="F1828" s="3">
        <v>323100</v>
      </c>
      <c r="G1828" s="3">
        <v>23007500</v>
      </c>
      <c r="H1828" s="3">
        <v>22684400</v>
      </c>
    </row>
    <row r="1829" spans="1:9" x14ac:dyDescent="0.35">
      <c r="A1829" t="str">
        <f t="shared" si="40"/>
        <v>38251</v>
      </c>
      <c r="B1829" t="s">
        <v>36</v>
      </c>
      <c r="C1829" t="s">
        <v>801</v>
      </c>
      <c r="D1829" s="5" t="str">
        <f>"007"</f>
        <v>007</v>
      </c>
      <c r="E1829" s="5">
        <v>2005</v>
      </c>
      <c r="F1829" s="3">
        <v>2755800</v>
      </c>
      <c r="G1829" s="3">
        <v>9136400</v>
      </c>
      <c r="H1829" s="3">
        <v>6380600</v>
      </c>
    </row>
    <row r="1830" spans="1:9" x14ac:dyDescent="0.35">
      <c r="A1830" t="str">
        <f t="shared" si="40"/>
        <v>38251</v>
      </c>
      <c r="B1830" t="s">
        <v>36</v>
      </c>
      <c r="C1830" t="s">
        <v>801</v>
      </c>
      <c r="D1830" s="5" t="str">
        <f>"008"</f>
        <v>008</v>
      </c>
      <c r="E1830" s="5">
        <v>2007</v>
      </c>
      <c r="F1830" s="3">
        <v>1308500</v>
      </c>
      <c r="G1830" s="3">
        <v>11577100</v>
      </c>
      <c r="H1830" s="3">
        <v>10268600</v>
      </c>
    </row>
    <row r="1831" spans="1:9" x14ac:dyDescent="0.35">
      <c r="A1831" t="str">
        <f t="shared" si="40"/>
        <v>38251</v>
      </c>
      <c r="B1831" t="s">
        <v>36</v>
      </c>
      <c r="C1831" t="s">
        <v>801</v>
      </c>
      <c r="D1831" s="5" t="str">
        <f>"009"</f>
        <v>009</v>
      </c>
      <c r="E1831" s="5">
        <v>2009</v>
      </c>
      <c r="F1831" s="3">
        <v>312900</v>
      </c>
      <c r="G1831" s="3">
        <v>2739700</v>
      </c>
      <c r="H1831" s="3">
        <v>2426800</v>
      </c>
    </row>
    <row r="1832" spans="1:9" x14ac:dyDescent="0.35">
      <c r="A1832" t="str">
        <f t="shared" si="40"/>
        <v>38251</v>
      </c>
      <c r="B1832" t="s">
        <v>36</v>
      </c>
      <c r="C1832" t="s">
        <v>801</v>
      </c>
      <c r="D1832" s="5" t="str">
        <f>"010"</f>
        <v>010</v>
      </c>
      <c r="E1832" s="5">
        <v>2010</v>
      </c>
      <c r="F1832" s="3">
        <v>3500500</v>
      </c>
      <c r="G1832" s="3">
        <v>15045200</v>
      </c>
      <c r="H1832" s="3">
        <v>11544700</v>
      </c>
    </row>
    <row r="1833" spans="1:9" x14ac:dyDescent="0.35">
      <c r="A1833" t="str">
        <f t="shared" si="40"/>
        <v>38251</v>
      </c>
      <c r="B1833" t="s">
        <v>36</v>
      </c>
      <c r="C1833" t="s">
        <v>801</v>
      </c>
      <c r="D1833" s="5" t="str">
        <f>"011"</f>
        <v>011</v>
      </c>
      <c r="E1833" s="5">
        <v>2011</v>
      </c>
      <c r="F1833" s="3">
        <v>13575100</v>
      </c>
      <c r="G1833" s="3">
        <v>53173400</v>
      </c>
      <c r="H1833" s="3">
        <v>39598300</v>
      </c>
    </row>
    <row r="1834" spans="1:9" x14ac:dyDescent="0.35">
      <c r="A1834" t="str">
        <f t="shared" si="40"/>
        <v>38251</v>
      </c>
      <c r="B1834" t="s">
        <v>36</v>
      </c>
      <c r="C1834" t="s">
        <v>801</v>
      </c>
      <c r="D1834" s="5" t="str">
        <f>"012"</f>
        <v>012</v>
      </c>
      <c r="E1834" s="5">
        <v>2012</v>
      </c>
      <c r="F1834" s="3">
        <v>1049700</v>
      </c>
      <c r="G1834" s="3">
        <v>3612800</v>
      </c>
      <c r="H1834" s="3">
        <v>2563100</v>
      </c>
    </row>
    <row r="1835" spans="1:9" x14ac:dyDescent="0.35">
      <c r="A1835" t="str">
        <f t="shared" si="40"/>
        <v>38251</v>
      </c>
      <c r="B1835" t="s">
        <v>36</v>
      </c>
      <c r="C1835" t="s">
        <v>801</v>
      </c>
      <c r="D1835" s="5" t="str">
        <f>"013"</f>
        <v>013</v>
      </c>
      <c r="E1835" s="5">
        <v>2016</v>
      </c>
      <c r="F1835" s="3">
        <v>3849200</v>
      </c>
      <c r="G1835" s="3">
        <v>20150200</v>
      </c>
      <c r="H1835" s="3">
        <v>16301000</v>
      </c>
    </row>
    <row r="1836" spans="1:9" x14ac:dyDescent="0.35">
      <c r="A1836" t="str">
        <f t="shared" si="40"/>
        <v>38251</v>
      </c>
      <c r="B1836" t="s">
        <v>36</v>
      </c>
      <c r="C1836" t="s">
        <v>801</v>
      </c>
      <c r="D1836" s="5" t="str">
        <f>"014"</f>
        <v>014</v>
      </c>
      <c r="E1836" s="5">
        <v>2022</v>
      </c>
      <c r="F1836" s="3">
        <v>4380900</v>
      </c>
      <c r="G1836" s="3">
        <v>15064800</v>
      </c>
      <c r="H1836" s="3">
        <v>10683900</v>
      </c>
    </row>
    <row r="1837" spans="1:9" x14ac:dyDescent="0.35">
      <c r="A1837" t="str">
        <f t="shared" si="40"/>
        <v>38251</v>
      </c>
      <c r="B1837" t="s">
        <v>36</v>
      </c>
      <c r="C1837" t="s">
        <v>801</v>
      </c>
      <c r="D1837" s="5" t="str">
        <f>"015"</f>
        <v>015</v>
      </c>
      <c r="E1837" s="5">
        <v>2023</v>
      </c>
      <c r="F1837" s="3">
        <v>36500</v>
      </c>
      <c r="G1837" s="3">
        <v>1293000</v>
      </c>
      <c r="H1837" s="3">
        <v>1256500</v>
      </c>
    </row>
    <row r="1838" spans="1:9" x14ac:dyDescent="0.35">
      <c r="A1838" t="str">
        <f t="shared" si="40"/>
        <v>38251</v>
      </c>
      <c r="B1838" t="s">
        <v>36</v>
      </c>
      <c r="C1838" t="s">
        <v>801</v>
      </c>
      <c r="D1838" s="5" t="str">
        <f>"016"</f>
        <v>016</v>
      </c>
      <c r="E1838" s="5">
        <v>2023</v>
      </c>
      <c r="F1838" s="3">
        <v>222200</v>
      </c>
      <c r="G1838" s="3">
        <v>14770000</v>
      </c>
      <c r="H1838" s="3">
        <v>14547800</v>
      </c>
    </row>
    <row r="1839" spans="1:9" x14ac:dyDescent="0.35">
      <c r="A1839" t="str">
        <f t="shared" si="40"/>
        <v>38251</v>
      </c>
      <c r="B1839" t="s">
        <v>36</v>
      </c>
      <c r="C1839" t="s">
        <v>801</v>
      </c>
      <c r="D1839" s="5" t="str">
        <f>"017"</f>
        <v>017</v>
      </c>
      <c r="E1839" s="5">
        <v>2023</v>
      </c>
      <c r="F1839" s="3">
        <v>10902500</v>
      </c>
      <c r="G1839" s="3">
        <v>10902500</v>
      </c>
      <c r="H1839" s="3">
        <v>0</v>
      </c>
    </row>
    <row r="1840" spans="1:9" x14ac:dyDescent="0.35">
      <c r="A1840" t="str">
        <f t="shared" si="40"/>
        <v>38251</v>
      </c>
      <c r="B1840" t="s">
        <v>36</v>
      </c>
      <c r="C1840" t="s">
        <v>801</v>
      </c>
      <c r="D1840" s="5" t="str">
        <f>"018"</f>
        <v>018</v>
      </c>
      <c r="E1840" s="5">
        <v>2023</v>
      </c>
      <c r="F1840" s="3">
        <v>4498300</v>
      </c>
      <c r="G1840" s="3">
        <v>18097700</v>
      </c>
      <c r="H1840" s="3">
        <v>13599400</v>
      </c>
    </row>
    <row r="1841" spans="1:9" x14ac:dyDescent="0.35">
      <c r="A1841" t="str">
        <f t="shared" si="40"/>
        <v>38251</v>
      </c>
      <c r="B1841" t="s">
        <v>36</v>
      </c>
      <c r="C1841" t="s">
        <v>801</v>
      </c>
      <c r="D1841" s="5" t="str">
        <f>"019"</f>
        <v>019</v>
      </c>
      <c r="E1841" s="5">
        <v>2023</v>
      </c>
      <c r="F1841" s="3">
        <v>1147800</v>
      </c>
      <c r="G1841" s="3">
        <v>1361300</v>
      </c>
      <c r="H1841" s="3">
        <v>213500</v>
      </c>
    </row>
    <row r="1842" spans="1:9" x14ac:dyDescent="0.35">
      <c r="A1842" t="str">
        <f t="shared" si="40"/>
        <v>38251</v>
      </c>
      <c r="B1842" t="s">
        <v>36</v>
      </c>
      <c r="C1842" t="s">
        <v>801</v>
      </c>
      <c r="D1842" s="5" t="s">
        <v>11</v>
      </c>
      <c r="E1842" s="5" t="s">
        <v>12</v>
      </c>
      <c r="F1842" s="3" t="s">
        <v>13</v>
      </c>
      <c r="G1842" s="3" t="s">
        <v>13</v>
      </c>
      <c r="H1842" s="3" t="s">
        <v>13</v>
      </c>
      <c r="I1842" s="3">
        <v>1000590000</v>
      </c>
    </row>
    <row r="1843" spans="1:9" x14ac:dyDescent="0.35">
      <c r="A1843" t="str">
        <f>"38261"</f>
        <v>38261</v>
      </c>
      <c r="B1843" t="s">
        <v>36</v>
      </c>
      <c r="C1843" t="s">
        <v>790</v>
      </c>
      <c r="D1843" s="5" t="str">
        <f>"001"</f>
        <v>001</v>
      </c>
      <c r="E1843" s="5">
        <v>1995</v>
      </c>
      <c r="F1843" s="3">
        <v>0</v>
      </c>
      <c r="G1843" s="3">
        <v>1288000</v>
      </c>
      <c r="H1843" s="3">
        <v>1288000</v>
      </c>
    </row>
    <row r="1844" spans="1:9" x14ac:dyDescent="0.35">
      <c r="A1844" t="str">
        <f>"38261"</f>
        <v>38261</v>
      </c>
      <c r="B1844" t="s">
        <v>36</v>
      </c>
      <c r="C1844" t="s">
        <v>790</v>
      </c>
      <c r="D1844" s="5" t="str">
        <f>"002"</f>
        <v>002</v>
      </c>
      <c r="E1844" s="5">
        <v>1998</v>
      </c>
      <c r="F1844" s="3">
        <v>28500</v>
      </c>
      <c r="G1844" s="3">
        <v>9250900</v>
      </c>
      <c r="H1844" s="3">
        <v>9222400</v>
      </c>
    </row>
    <row r="1845" spans="1:9" x14ac:dyDescent="0.35">
      <c r="A1845" t="str">
        <f>"38261"</f>
        <v>38261</v>
      </c>
      <c r="B1845" t="s">
        <v>36</v>
      </c>
      <c r="C1845" t="s">
        <v>790</v>
      </c>
      <c r="D1845" s="5" t="s">
        <v>11</v>
      </c>
      <c r="E1845" s="5" t="s">
        <v>12</v>
      </c>
      <c r="F1845" s="3" t="s">
        <v>13</v>
      </c>
      <c r="G1845" s="3" t="s">
        <v>13</v>
      </c>
      <c r="H1845" s="3" t="s">
        <v>13</v>
      </c>
      <c r="I1845" s="3">
        <v>142408600</v>
      </c>
    </row>
    <row r="1846" spans="1:9" x14ac:dyDescent="0.35">
      <c r="A1846" t="str">
        <f>"38271"</f>
        <v>38271</v>
      </c>
      <c r="B1846" t="s">
        <v>36</v>
      </c>
      <c r="C1846" t="s">
        <v>792</v>
      </c>
      <c r="D1846" s="5" t="str">
        <f>"002"</f>
        <v>002</v>
      </c>
      <c r="E1846" s="5">
        <v>2023</v>
      </c>
      <c r="F1846" s="3">
        <v>14035300</v>
      </c>
      <c r="G1846" s="3">
        <v>17667900</v>
      </c>
      <c r="H1846" s="3">
        <v>3632600</v>
      </c>
    </row>
    <row r="1847" spans="1:9" x14ac:dyDescent="0.35">
      <c r="A1847" t="str">
        <f>"38271"</f>
        <v>38271</v>
      </c>
      <c r="B1847" t="s">
        <v>36</v>
      </c>
      <c r="C1847" t="s">
        <v>792</v>
      </c>
      <c r="D1847" s="5" t="s">
        <v>11</v>
      </c>
      <c r="E1847" s="5" t="s">
        <v>12</v>
      </c>
      <c r="F1847" s="3" t="s">
        <v>13</v>
      </c>
      <c r="G1847" s="3" t="s">
        <v>13</v>
      </c>
      <c r="H1847" s="3" t="s">
        <v>13</v>
      </c>
      <c r="I1847" s="3">
        <v>312458500</v>
      </c>
    </row>
    <row r="1848" spans="1:9" x14ac:dyDescent="0.35">
      <c r="A1848" t="s">
        <v>30</v>
      </c>
      <c r="B1848" t="s">
        <v>38</v>
      </c>
      <c r="C1848" t="s">
        <v>32</v>
      </c>
      <c r="D1848" s="5" t="s">
        <v>11</v>
      </c>
      <c r="E1848" s="5" t="s">
        <v>12</v>
      </c>
      <c r="F1848" s="3" t="s">
        <v>13</v>
      </c>
      <c r="G1848" s="3" t="s">
        <v>13</v>
      </c>
      <c r="H1848" s="3" t="s">
        <v>13</v>
      </c>
      <c r="I1848" s="3">
        <v>1455457100</v>
      </c>
    </row>
    <row r="1849" spans="1:9" x14ac:dyDescent="0.35">
      <c r="A1849" t="s">
        <v>30</v>
      </c>
      <c r="B1849" t="s">
        <v>39</v>
      </c>
      <c r="C1849" t="s">
        <v>801</v>
      </c>
      <c r="D1849" s="5" t="s">
        <v>11</v>
      </c>
      <c r="E1849" s="5" t="s">
        <v>12</v>
      </c>
      <c r="F1849" s="3" t="s">
        <v>13</v>
      </c>
      <c r="G1849" s="3" t="s">
        <v>13</v>
      </c>
      <c r="H1849" s="3" t="s">
        <v>13</v>
      </c>
      <c r="I1849" s="3">
        <v>7653361200</v>
      </c>
    </row>
    <row r="1850" spans="1:9" x14ac:dyDescent="0.35">
      <c r="A1850" t="str">
        <f>"39002"</f>
        <v>39002</v>
      </c>
      <c r="B1850" t="s">
        <v>9</v>
      </c>
      <c r="C1850" t="s">
        <v>133</v>
      </c>
      <c r="D1850" s="5" t="s">
        <v>11</v>
      </c>
      <c r="E1850" s="5" t="s">
        <v>12</v>
      </c>
      <c r="F1850" s="3" t="s">
        <v>13</v>
      </c>
      <c r="G1850" s="3" t="s">
        <v>13</v>
      </c>
      <c r="H1850" s="3" t="s">
        <v>13</v>
      </c>
      <c r="I1850" s="3">
        <v>230151100</v>
      </c>
    </row>
    <row r="1851" spans="1:9" x14ac:dyDescent="0.35">
      <c r="A1851" t="str">
        <f>"39004"</f>
        <v>39004</v>
      </c>
      <c r="B1851" t="s">
        <v>9</v>
      </c>
      <c r="C1851" t="s">
        <v>62</v>
      </c>
      <c r="D1851" s="5" t="s">
        <v>11</v>
      </c>
      <c r="E1851" s="5" t="s">
        <v>12</v>
      </c>
      <c r="F1851" s="3" t="s">
        <v>13</v>
      </c>
      <c r="G1851" s="3" t="s">
        <v>13</v>
      </c>
      <c r="H1851" s="3" t="s">
        <v>13</v>
      </c>
      <c r="I1851" s="3">
        <v>256929300</v>
      </c>
    </row>
    <row r="1852" spans="1:9" x14ac:dyDescent="0.35">
      <c r="A1852" t="str">
        <f>"39006"</f>
        <v>39006</v>
      </c>
      <c r="B1852" t="s">
        <v>9</v>
      </c>
      <c r="C1852" t="s">
        <v>413</v>
      </c>
      <c r="D1852" s="5" t="s">
        <v>11</v>
      </c>
      <c r="E1852" s="5" t="s">
        <v>12</v>
      </c>
      <c r="F1852" s="3" t="s">
        <v>13</v>
      </c>
      <c r="G1852" s="3" t="s">
        <v>13</v>
      </c>
      <c r="H1852" s="3" t="s">
        <v>13</v>
      </c>
      <c r="I1852" s="3">
        <v>160533000</v>
      </c>
    </row>
    <row r="1853" spans="1:9" x14ac:dyDescent="0.35">
      <c r="A1853" t="str">
        <f>"39008"</f>
        <v>39008</v>
      </c>
      <c r="B1853" t="s">
        <v>9</v>
      </c>
      <c r="C1853" t="s">
        <v>802</v>
      </c>
      <c r="D1853" s="5" t="s">
        <v>11</v>
      </c>
      <c r="E1853" s="5" t="s">
        <v>12</v>
      </c>
      <c r="F1853" s="3" t="s">
        <v>13</v>
      </c>
      <c r="G1853" s="3" t="s">
        <v>13</v>
      </c>
      <c r="H1853" s="3" t="s">
        <v>13</v>
      </c>
      <c r="I1853" s="3">
        <v>151032400</v>
      </c>
    </row>
    <row r="1854" spans="1:9" x14ac:dyDescent="0.35">
      <c r="A1854" t="str">
        <f>"39010"</f>
        <v>39010</v>
      </c>
      <c r="B1854" t="s">
        <v>9</v>
      </c>
      <c r="C1854" t="s">
        <v>803</v>
      </c>
      <c r="D1854" s="5" t="s">
        <v>11</v>
      </c>
      <c r="E1854" s="5" t="s">
        <v>12</v>
      </c>
      <c r="F1854" s="3" t="s">
        <v>13</v>
      </c>
      <c r="G1854" s="3" t="s">
        <v>13</v>
      </c>
      <c r="H1854" s="3" t="s">
        <v>13</v>
      </c>
      <c r="I1854" s="3">
        <v>198372100</v>
      </c>
    </row>
    <row r="1855" spans="1:9" x14ac:dyDescent="0.35">
      <c r="A1855" t="str">
        <f>"39012"</f>
        <v>39012</v>
      </c>
      <c r="B1855" t="s">
        <v>9</v>
      </c>
      <c r="C1855" t="s">
        <v>804</v>
      </c>
      <c r="D1855" s="5" t="s">
        <v>11</v>
      </c>
      <c r="E1855" s="5" t="s">
        <v>12</v>
      </c>
      <c r="F1855" s="3" t="s">
        <v>13</v>
      </c>
      <c r="G1855" s="3" t="s">
        <v>13</v>
      </c>
      <c r="H1855" s="3" t="s">
        <v>13</v>
      </c>
      <c r="I1855" s="3">
        <v>308358300</v>
      </c>
    </row>
    <row r="1856" spans="1:9" x14ac:dyDescent="0.35">
      <c r="A1856" t="str">
        <f>"39014"</f>
        <v>39014</v>
      </c>
      <c r="B1856" t="s">
        <v>9</v>
      </c>
      <c r="C1856" t="s">
        <v>805</v>
      </c>
      <c r="D1856" s="5" t="s">
        <v>11</v>
      </c>
      <c r="E1856" s="5" t="s">
        <v>12</v>
      </c>
      <c r="F1856" s="3" t="s">
        <v>13</v>
      </c>
      <c r="G1856" s="3" t="s">
        <v>13</v>
      </c>
      <c r="H1856" s="3" t="s">
        <v>13</v>
      </c>
      <c r="I1856" s="3">
        <v>98399800</v>
      </c>
    </row>
    <row r="1857" spans="1:9" x14ac:dyDescent="0.35">
      <c r="A1857" t="str">
        <f>"39016"</f>
        <v>39016</v>
      </c>
      <c r="B1857" t="s">
        <v>9</v>
      </c>
      <c r="C1857" t="s">
        <v>806</v>
      </c>
      <c r="D1857" s="5" t="s">
        <v>11</v>
      </c>
      <c r="E1857" s="5" t="s">
        <v>12</v>
      </c>
      <c r="F1857" s="3" t="s">
        <v>13</v>
      </c>
      <c r="G1857" s="3" t="s">
        <v>13</v>
      </c>
      <c r="H1857" s="3" t="s">
        <v>13</v>
      </c>
      <c r="I1857" s="3">
        <v>200983000</v>
      </c>
    </row>
    <row r="1858" spans="1:9" x14ac:dyDescent="0.35">
      <c r="A1858" t="str">
        <f>"39018"</f>
        <v>39018</v>
      </c>
      <c r="B1858" t="s">
        <v>9</v>
      </c>
      <c r="C1858" t="s">
        <v>727</v>
      </c>
      <c r="D1858" s="5" t="s">
        <v>11</v>
      </c>
      <c r="E1858" s="5" t="s">
        <v>12</v>
      </c>
      <c r="F1858" s="3" t="s">
        <v>13</v>
      </c>
      <c r="G1858" s="3" t="s">
        <v>13</v>
      </c>
      <c r="H1858" s="3" t="s">
        <v>13</v>
      </c>
      <c r="I1858" s="3">
        <v>137374500</v>
      </c>
    </row>
    <row r="1859" spans="1:9" x14ac:dyDescent="0.35">
      <c r="A1859" t="str">
        <f>"39020"</f>
        <v>39020</v>
      </c>
      <c r="B1859" t="s">
        <v>9</v>
      </c>
      <c r="C1859" t="s">
        <v>807</v>
      </c>
      <c r="D1859" s="5" t="s">
        <v>11</v>
      </c>
      <c r="E1859" s="5" t="s">
        <v>12</v>
      </c>
      <c r="F1859" s="3" t="s">
        <v>13</v>
      </c>
      <c r="G1859" s="3" t="s">
        <v>13</v>
      </c>
      <c r="H1859" s="3" t="s">
        <v>13</v>
      </c>
      <c r="I1859" s="3">
        <v>209144700</v>
      </c>
    </row>
    <row r="1860" spans="1:9" x14ac:dyDescent="0.35">
      <c r="A1860" t="str">
        <f>"39022"</f>
        <v>39022</v>
      </c>
      <c r="B1860" t="s">
        <v>9</v>
      </c>
      <c r="C1860" t="s">
        <v>808</v>
      </c>
      <c r="D1860" s="5" t="s">
        <v>11</v>
      </c>
      <c r="E1860" s="5" t="s">
        <v>12</v>
      </c>
      <c r="F1860" s="3" t="s">
        <v>13</v>
      </c>
      <c r="G1860" s="3" t="s">
        <v>13</v>
      </c>
      <c r="H1860" s="3" t="s">
        <v>13</v>
      </c>
      <c r="I1860" s="3">
        <v>344568800</v>
      </c>
    </row>
    <row r="1861" spans="1:9" x14ac:dyDescent="0.35">
      <c r="A1861" t="str">
        <f>"39024"</f>
        <v>39024</v>
      </c>
      <c r="B1861" t="s">
        <v>9</v>
      </c>
      <c r="C1861" t="s">
        <v>365</v>
      </c>
      <c r="D1861" s="5" t="s">
        <v>11</v>
      </c>
      <c r="E1861" s="5" t="s">
        <v>12</v>
      </c>
      <c r="F1861" s="3" t="s">
        <v>13</v>
      </c>
      <c r="G1861" s="3" t="s">
        <v>13</v>
      </c>
      <c r="H1861" s="3" t="s">
        <v>13</v>
      </c>
      <c r="I1861" s="3">
        <v>125985400</v>
      </c>
    </row>
    <row r="1862" spans="1:9" x14ac:dyDescent="0.35">
      <c r="A1862" t="str">
        <f>"39026"</f>
        <v>39026</v>
      </c>
      <c r="B1862" t="s">
        <v>9</v>
      </c>
      <c r="C1862" t="s">
        <v>325</v>
      </c>
      <c r="D1862" s="5" t="s">
        <v>11</v>
      </c>
      <c r="E1862" s="5" t="s">
        <v>12</v>
      </c>
      <c r="F1862" s="3" t="s">
        <v>13</v>
      </c>
      <c r="G1862" s="3" t="s">
        <v>13</v>
      </c>
      <c r="H1862" s="3" t="s">
        <v>13</v>
      </c>
      <c r="I1862" s="3">
        <v>264766400</v>
      </c>
    </row>
    <row r="1863" spans="1:9" x14ac:dyDescent="0.35">
      <c r="A1863" t="str">
        <f>"39028"</f>
        <v>39028</v>
      </c>
      <c r="B1863" t="s">
        <v>9</v>
      </c>
      <c r="C1863" t="s">
        <v>809</v>
      </c>
      <c r="D1863" s="5" t="s">
        <v>11</v>
      </c>
      <c r="E1863" s="5" t="s">
        <v>12</v>
      </c>
      <c r="F1863" s="3" t="s">
        <v>13</v>
      </c>
      <c r="G1863" s="3" t="s">
        <v>13</v>
      </c>
      <c r="H1863" s="3" t="s">
        <v>13</v>
      </c>
      <c r="I1863" s="3">
        <v>201590500</v>
      </c>
    </row>
    <row r="1864" spans="1:9" x14ac:dyDescent="0.35">
      <c r="A1864" t="s">
        <v>30</v>
      </c>
      <c r="B1864" t="s">
        <v>31</v>
      </c>
      <c r="C1864" t="s">
        <v>32</v>
      </c>
      <c r="D1864" s="5" t="s">
        <v>11</v>
      </c>
      <c r="E1864" s="5" t="s">
        <v>12</v>
      </c>
      <c r="F1864" s="3" t="s">
        <v>13</v>
      </c>
      <c r="G1864" s="3" t="s">
        <v>13</v>
      </c>
      <c r="H1864" s="3" t="s">
        <v>13</v>
      </c>
      <c r="I1864" s="3">
        <v>2888189300</v>
      </c>
    </row>
    <row r="1865" spans="1:9" x14ac:dyDescent="0.35">
      <c r="A1865" t="str">
        <f>"39121"</f>
        <v>39121</v>
      </c>
      <c r="B1865" t="s">
        <v>33</v>
      </c>
      <c r="C1865" t="s">
        <v>810</v>
      </c>
      <c r="D1865" s="5" t="s">
        <v>11</v>
      </c>
      <c r="E1865" s="5" t="s">
        <v>12</v>
      </c>
      <c r="F1865" s="3" t="s">
        <v>13</v>
      </c>
      <c r="G1865" s="3" t="s">
        <v>13</v>
      </c>
      <c r="H1865" s="3" t="s">
        <v>13</v>
      </c>
      <c r="I1865" s="3">
        <v>38109900</v>
      </c>
    </row>
    <row r="1866" spans="1:9" x14ac:dyDescent="0.35">
      <c r="A1866" t="str">
        <f>"39161"</f>
        <v>39161</v>
      </c>
      <c r="B1866" t="s">
        <v>33</v>
      </c>
      <c r="C1866" t="s">
        <v>806</v>
      </c>
      <c r="D1866" s="5" t="s">
        <v>11</v>
      </c>
      <c r="E1866" s="5" t="s">
        <v>12</v>
      </c>
      <c r="F1866" s="3" t="s">
        <v>13</v>
      </c>
      <c r="G1866" s="3" t="s">
        <v>13</v>
      </c>
      <c r="H1866" s="3" t="s">
        <v>13</v>
      </c>
      <c r="I1866" s="3">
        <v>45209400</v>
      </c>
    </row>
    <row r="1867" spans="1:9" x14ac:dyDescent="0.35">
      <c r="A1867" t="str">
        <f>"39165"</f>
        <v>39165</v>
      </c>
      <c r="B1867" t="s">
        <v>33</v>
      </c>
      <c r="C1867" t="s">
        <v>807</v>
      </c>
      <c r="D1867" s="5" t="s">
        <v>11</v>
      </c>
      <c r="E1867" s="5" t="s">
        <v>12</v>
      </c>
      <c r="F1867" s="3" t="s">
        <v>13</v>
      </c>
      <c r="G1867" s="3" t="s">
        <v>13</v>
      </c>
      <c r="H1867" s="3" t="s">
        <v>13</v>
      </c>
      <c r="I1867" s="3">
        <v>45571700</v>
      </c>
    </row>
    <row r="1868" spans="1:9" x14ac:dyDescent="0.35">
      <c r="A1868" t="str">
        <f>"39191"</f>
        <v>39191</v>
      </c>
      <c r="B1868" t="s">
        <v>33</v>
      </c>
      <c r="C1868" t="s">
        <v>809</v>
      </c>
      <c r="D1868" s="5" t="s">
        <v>11</v>
      </c>
      <c r="E1868" s="5" t="s">
        <v>12</v>
      </c>
      <c r="F1868" s="3" t="s">
        <v>13</v>
      </c>
      <c r="G1868" s="3" t="s">
        <v>13</v>
      </c>
      <c r="H1868" s="3" t="s">
        <v>13</v>
      </c>
      <c r="I1868" s="3">
        <v>106561200</v>
      </c>
    </row>
    <row r="1869" spans="1:9" x14ac:dyDescent="0.35">
      <c r="A1869" t="s">
        <v>30</v>
      </c>
      <c r="B1869" t="s">
        <v>35</v>
      </c>
      <c r="C1869" t="s">
        <v>32</v>
      </c>
      <c r="D1869" s="5" t="s">
        <v>11</v>
      </c>
      <c r="E1869" s="5" t="s">
        <v>12</v>
      </c>
      <c r="F1869" s="3" t="s">
        <v>13</v>
      </c>
      <c r="G1869" s="3" t="s">
        <v>13</v>
      </c>
      <c r="H1869" s="3" t="s">
        <v>13</v>
      </c>
      <c r="I1869" s="3">
        <v>235452200</v>
      </c>
    </row>
    <row r="1870" spans="1:9" x14ac:dyDescent="0.35">
      <c r="A1870" t="str">
        <f>"39251"</f>
        <v>39251</v>
      </c>
      <c r="B1870" t="s">
        <v>36</v>
      </c>
      <c r="C1870" t="s">
        <v>804</v>
      </c>
      <c r="D1870" s="5" t="s">
        <v>11</v>
      </c>
      <c r="E1870" s="5" t="s">
        <v>12</v>
      </c>
      <c r="F1870" s="3" t="s">
        <v>13</v>
      </c>
      <c r="G1870" s="3" t="s">
        <v>13</v>
      </c>
      <c r="H1870" s="3" t="s">
        <v>13</v>
      </c>
      <c r="I1870" s="3">
        <v>154543200</v>
      </c>
    </row>
    <row r="1871" spans="1:9" x14ac:dyDescent="0.35">
      <c r="A1871" t="s">
        <v>30</v>
      </c>
      <c r="B1871" t="s">
        <v>38</v>
      </c>
      <c r="C1871" t="s">
        <v>32</v>
      </c>
      <c r="D1871" s="5" t="s">
        <v>11</v>
      </c>
      <c r="E1871" s="5" t="s">
        <v>12</v>
      </c>
      <c r="F1871" s="3" t="s">
        <v>13</v>
      </c>
      <c r="G1871" s="3" t="s">
        <v>13</v>
      </c>
      <c r="H1871" s="3" t="s">
        <v>13</v>
      </c>
      <c r="I1871" s="3">
        <v>154543200</v>
      </c>
    </row>
    <row r="1872" spans="1:9" x14ac:dyDescent="0.35">
      <c r="A1872" t="s">
        <v>30</v>
      </c>
      <c r="B1872" t="s">
        <v>39</v>
      </c>
      <c r="C1872" t="s">
        <v>551</v>
      </c>
      <c r="D1872" s="5" t="s">
        <v>11</v>
      </c>
      <c r="E1872" s="5" t="s">
        <v>12</v>
      </c>
      <c r="F1872" s="3" t="s">
        <v>13</v>
      </c>
      <c r="G1872" s="3" t="s">
        <v>13</v>
      </c>
      <c r="H1872" s="3" t="s">
        <v>13</v>
      </c>
      <c r="I1872" s="3">
        <v>3278184700</v>
      </c>
    </row>
    <row r="1873" spans="1:9" x14ac:dyDescent="0.35">
      <c r="A1873" t="str">
        <f>"40106"</f>
        <v>40106</v>
      </c>
      <c r="B1873" t="s">
        <v>33</v>
      </c>
      <c r="C1873" t="s">
        <v>811</v>
      </c>
      <c r="D1873" s="5" t="str">
        <f>"001"</f>
        <v>001</v>
      </c>
      <c r="E1873" s="5">
        <v>2022</v>
      </c>
      <c r="F1873" s="3">
        <v>24058400</v>
      </c>
      <c r="G1873" s="3">
        <v>57464800</v>
      </c>
      <c r="H1873" s="3">
        <v>33406400</v>
      </c>
    </row>
    <row r="1874" spans="1:9" x14ac:dyDescent="0.35">
      <c r="A1874" t="str">
        <f>"40106"</f>
        <v>40106</v>
      </c>
      <c r="B1874" t="s">
        <v>33</v>
      </c>
      <c r="C1874" t="s">
        <v>811</v>
      </c>
      <c r="D1874" s="5" t="s">
        <v>11</v>
      </c>
      <c r="E1874" s="5" t="s">
        <v>12</v>
      </c>
      <c r="F1874" s="3" t="s">
        <v>13</v>
      </c>
      <c r="G1874" s="3" t="s">
        <v>13</v>
      </c>
      <c r="H1874" s="3" t="s">
        <v>13</v>
      </c>
      <c r="I1874" s="3">
        <v>1007118800</v>
      </c>
    </row>
    <row r="1875" spans="1:9" x14ac:dyDescent="0.35">
      <c r="A1875" t="str">
        <f>"40107"</f>
        <v>40107</v>
      </c>
      <c r="B1875" t="s">
        <v>33</v>
      </c>
      <c r="C1875" t="s">
        <v>812</v>
      </c>
      <c r="D1875" s="5" t="str">
        <f>"003"</f>
        <v>003</v>
      </c>
      <c r="E1875" s="5">
        <v>2005</v>
      </c>
      <c r="F1875" s="3">
        <v>21652400</v>
      </c>
      <c r="G1875" s="3">
        <v>53060400</v>
      </c>
      <c r="H1875" s="3">
        <v>31408000</v>
      </c>
    </row>
    <row r="1876" spans="1:9" x14ac:dyDescent="0.35">
      <c r="A1876" t="str">
        <f>"40107"</f>
        <v>40107</v>
      </c>
      <c r="B1876" t="s">
        <v>33</v>
      </c>
      <c r="C1876" t="s">
        <v>812</v>
      </c>
      <c r="D1876" s="5" t="str">
        <f>"004"</f>
        <v>004</v>
      </c>
      <c r="E1876" s="5">
        <v>2005</v>
      </c>
      <c r="F1876" s="3">
        <v>19269200</v>
      </c>
      <c r="G1876" s="3">
        <v>77026900</v>
      </c>
      <c r="H1876" s="3">
        <v>57757700</v>
      </c>
    </row>
    <row r="1877" spans="1:9" x14ac:dyDescent="0.35">
      <c r="A1877" t="str">
        <f>"40107"</f>
        <v>40107</v>
      </c>
      <c r="B1877" t="s">
        <v>33</v>
      </c>
      <c r="C1877" t="s">
        <v>812</v>
      </c>
      <c r="D1877" s="5" t="str">
        <f>"005"</f>
        <v>005</v>
      </c>
      <c r="E1877" s="5">
        <v>2024</v>
      </c>
      <c r="F1877" s="3">
        <v>42705600</v>
      </c>
      <c r="G1877" s="3">
        <v>55953100</v>
      </c>
      <c r="H1877" s="3">
        <v>13247500</v>
      </c>
    </row>
    <row r="1878" spans="1:9" x14ac:dyDescent="0.35">
      <c r="A1878" t="str">
        <f>"40107"</f>
        <v>40107</v>
      </c>
      <c r="B1878" t="s">
        <v>33</v>
      </c>
      <c r="C1878" t="s">
        <v>812</v>
      </c>
      <c r="D1878" s="5" t="str">
        <f>"006"</f>
        <v>006</v>
      </c>
      <c r="E1878" s="5">
        <v>2024</v>
      </c>
      <c r="F1878" s="3">
        <v>3709900</v>
      </c>
      <c r="G1878" s="3">
        <v>3582400</v>
      </c>
      <c r="H1878" s="3">
        <v>0</v>
      </c>
    </row>
    <row r="1879" spans="1:9" x14ac:dyDescent="0.35">
      <c r="A1879" t="str">
        <f>"40107"</f>
        <v>40107</v>
      </c>
      <c r="B1879" t="s">
        <v>33</v>
      </c>
      <c r="C1879" t="s">
        <v>812</v>
      </c>
      <c r="D1879" s="5" t="s">
        <v>11</v>
      </c>
      <c r="E1879" s="5" t="s">
        <v>12</v>
      </c>
      <c r="F1879" s="3" t="s">
        <v>13</v>
      </c>
      <c r="G1879" s="3" t="s">
        <v>13</v>
      </c>
      <c r="H1879" s="3" t="s">
        <v>13</v>
      </c>
      <c r="I1879" s="3">
        <v>1483001800</v>
      </c>
    </row>
    <row r="1880" spans="1:9" x14ac:dyDescent="0.35">
      <c r="A1880" t="str">
        <f>"40126"</f>
        <v>40126</v>
      </c>
      <c r="B1880" t="s">
        <v>33</v>
      </c>
      <c r="C1880" t="s">
        <v>813</v>
      </c>
      <c r="D1880" s="5" t="s">
        <v>11</v>
      </c>
      <c r="E1880" s="5" t="s">
        <v>12</v>
      </c>
      <c r="F1880" s="3" t="s">
        <v>13</v>
      </c>
      <c r="G1880" s="3" t="s">
        <v>13</v>
      </c>
      <c r="H1880" s="3" t="s">
        <v>13</v>
      </c>
      <c r="I1880" s="3">
        <v>1742894700</v>
      </c>
    </row>
    <row r="1881" spans="1:9" x14ac:dyDescent="0.35">
      <c r="A1881" t="str">
        <f>"40131"</f>
        <v>40131</v>
      </c>
      <c r="B1881" t="s">
        <v>33</v>
      </c>
      <c r="C1881" t="s">
        <v>814</v>
      </c>
      <c r="D1881" s="5" t="str">
        <f>"004"</f>
        <v>004</v>
      </c>
      <c r="E1881" s="5">
        <v>2016</v>
      </c>
      <c r="F1881" s="3">
        <v>7476800</v>
      </c>
      <c r="G1881" s="3">
        <v>40733400</v>
      </c>
      <c r="H1881" s="3">
        <v>33256600</v>
      </c>
    </row>
    <row r="1882" spans="1:9" x14ac:dyDescent="0.35">
      <c r="A1882" t="str">
        <f>"40131"</f>
        <v>40131</v>
      </c>
      <c r="B1882" t="s">
        <v>33</v>
      </c>
      <c r="C1882" t="s">
        <v>814</v>
      </c>
      <c r="D1882" s="5" t="str">
        <f>"005"</f>
        <v>005</v>
      </c>
      <c r="E1882" s="5">
        <v>2018</v>
      </c>
      <c r="F1882" s="3">
        <v>5149200</v>
      </c>
      <c r="G1882" s="3">
        <v>19465100</v>
      </c>
      <c r="H1882" s="3">
        <v>14315900</v>
      </c>
    </row>
    <row r="1883" spans="1:9" x14ac:dyDescent="0.35">
      <c r="A1883" t="str">
        <f>"40131"</f>
        <v>40131</v>
      </c>
      <c r="B1883" t="s">
        <v>33</v>
      </c>
      <c r="C1883" t="s">
        <v>814</v>
      </c>
      <c r="D1883" s="5" t="str">
        <f>"006"</f>
        <v>006</v>
      </c>
      <c r="E1883" s="5">
        <v>2023</v>
      </c>
      <c r="F1883" s="3">
        <v>0</v>
      </c>
      <c r="G1883" s="3">
        <v>0</v>
      </c>
      <c r="H1883" s="3">
        <v>0</v>
      </c>
    </row>
    <row r="1884" spans="1:9" x14ac:dyDescent="0.35">
      <c r="A1884" t="str">
        <f>"40131"</f>
        <v>40131</v>
      </c>
      <c r="B1884" t="s">
        <v>33</v>
      </c>
      <c r="C1884" t="s">
        <v>814</v>
      </c>
      <c r="D1884" s="5" t="s">
        <v>11</v>
      </c>
      <c r="E1884" s="5" t="s">
        <v>12</v>
      </c>
      <c r="F1884" s="3" t="s">
        <v>13</v>
      </c>
      <c r="G1884" s="3" t="s">
        <v>13</v>
      </c>
      <c r="H1884" s="3" t="s">
        <v>13</v>
      </c>
      <c r="I1884" s="3">
        <v>2286440900</v>
      </c>
    </row>
    <row r="1885" spans="1:9" x14ac:dyDescent="0.35">
      <c r="A1885" t="str">
        <f>"40136"</f>
        <v>40136</v>
      </c>
      <c r="B1885" t="s">
        <v>33</v>
      </c>
      <c r="C1885" t="s">
        <v>815</v>
      </c>
      <c r="D1885" s="5" t="str">
        <f>"004"</f>
        <v>004</v>
      </c>
      <c r="E1885" s="5">
        <v>2016</v>
      </c>
      <c r="F1885" s="3">
        <v>11713500</v>
      </c>
      <c r="G1885" s="3">
        <v>30048900</v>
      </c>
      <c r="H1885" s="3">
        <v>18335400</v>
      </c>
    </row>
    <row r="1886" spans="1:9" x14ac:dyDescent="0.35">
      <c r="A1886" t="str">
        <f>"40136"</f>
        <v>40136</v>
      </c>
      <c r="B1886" t="s">
        <v>33</v>
      </c>
      <c r="C1886" t="s">
        <v>815</v>
      </c>
      <c r="D1886" s="5" t="s">
        <v>11</v>
      </c>
      <c r="E1886" s="5" t="s">
        <v>12</v>
      </c>
      <c r="F1886" s="3" t="s">
        <v>13</v>
      </c>
      <c r="G1886" s="3" t="s">
        <v>13</v>
      </c>
      <c r="H1886" s="3" t="s">
        <v>13</v>
      </c>
      <c r="I1886" s="3">
        <v>1078592800</v>
      </c>
    </row>
    <row r="1887" spans="1:9" x14ac:dyDescent="0.35">
      <c r="A1887" t="str">
        <f>"40176"</f>
        <v>40176</v>
      </c>
      <c r="B1887" t="s">
        <v>33</v>
      </c>
      <c r="C1887" t="s">
        <v>816</v>
      </c>
      <c r="D1887" s="5" t="str">
        <f>"001"</f>
        <v>001</v>
      </c>
      <c r="E1887" s="5">
        <v>2021</v>
      </c>
      <c r="F1887" s="3">
        <v>0</v>
      </c>
      <c r="G1887" s="3">
        <v>10368400</v>
      </c>
      <c r="H1887" s="3">
        <v>10368400</v>
      </c>
    </row>
    <row r="1888" spans="1:9" x14ac:dyDescent="0.35">
      <c r="A1888" t="str">
        <f>"40176"</f>
        <v>40176</v>
      </c>
      <c r="B1888" t="s">
        <v>33</v>
      </c>
      <c r="C1888" t="s">
        <v>816</v>
      </c>
      <c r="D1888" s="5" t="s">
        <v>11</v>
      </c>
      <c r="E1888" s="5" t="s">
        <v>12</v>
      </c>
      <c r="F1888" s="3" t="s">
        <v>13</v>
      </c>
      <c r="G1888" s="3" t="s">
        <v>13</v>
      </c>
      <c r="H1888" s="3" t="s">
        <v>13</v>
      </c>
      <c r="I1888" s="3">
        <v>727590600</v>
      </c>
    </row>
    <row r="1889" spans="1:9" x14ac:dyDescent="0.35">
      <c r="A1889" t="str">
        <f>"40181"</f>
        <v>40181</v>
      </c>
      <c r="B1889" t="s">
        <v>33</v>
      </c>
      <c r="C1889" t="s">
        <v>817</v>
      </c>
      <c r="D1889" s="5" t="str">
        <f>"003"</f>
        <v>003</v>
      </c>
      <c r="E1889" s="5">
        <v>2008</v>
      </c>
      <c r="F1889" s="3">
        <v>7748400</v>
      </c>
      <c r="G1889" s="3">
        <v>50670900</v>
      </c>
      <c r="H1889" s="3">
        <v>42922500</v>
      </c>
    </row>
    <row r="1890" spans="1:9" x14ac:dyDescent="0.35">
      <c r="A1890" t="str">
        <f>"40181"</f>
        <v>40181</v>
      </c>
      <c r="B1890" t="s">
        <v>33</v>
      </c>
      <c r="C1890" t="s">
        <v>817</v>
      </c>
      <c r="D1890" s="5" t="str">
        <f>"004"</f>
        <v>004</v>
      </c>
      <c r="E1890" s="5">
        <v>2011</v>
      </c>
      <c r="F1890" s="3">
        <v>1195400</v>
      </c>
      <c r="G1890" s="3">
        <v>20453700</v>
      </c>
      <c r="H1890" s="3">
        <v>19258300</v>
      </c>
    </row>
    <row r="1891" spans="1:9" x14ac:dyDescent="0.35">
      <c r="A1891" t="str">
        <f>"40181"</f>
        <v>40181</v>
      </c>
      <c r="B1891" t="s">
        <v>33</v>
      </c>
      <c r="C1891" t="s">
        <v>817</v>
      </c>
      <c r="D1891" s="5" t="str">
        <f>"005"</f>
        <v>005</v>
      </c>
      <c r="E1891" s="5">
        <v>2014</v>
      </c>
      <c r="F1891" s="3">
        <v>8085800</v>
      </c>
      <c r="G1891" s="3">
        <v>64792900</v>
      </c>
      <c r="H1891" s="3">
        <v>56707100</v>
      </c>
    </row>
    <row r="1892" spans="1:9" x14ac:dyDescent="0.35">
      <c r="A1892" t="str">
        <f>"40181"</f>
        <v>40181</v>
      </c>
      <c r="B1892" t="s">
        <v>33</v>
      </c>
      <c r="C1892" t="s">
        <v>817</v>
      </c>
      <c r="D1892" s="5" t="s">
        <v>11</v>
      </c>
      <c r="E1892" s="5" t="s">
        <v>12</v>
      </c>
      <c r="F1892" s="3" t="s">
        <v>13</v>
      </c>
      <c r="G1892" s="3" t="s">
        <v>13</v>
      </c>
      <c r="H1892" s="3" t="s">
        <v>13</v>
      </c>
      <c r="I1892" s="3">
        <v>2578319300</v>
      </c>
    </row>
    <row r="1893" spans="1:9" x14ac:dyDescent="0.35">
      <c r="A1893" t="str">
        <f>"40191"</f>
        <v>40191</v>
      </c>
      <c r="B1893" t="s">
        <v>33</v>
      </c>
      <c r="C1893" t="s">
        <v>818</v>
      </c>
      <c r="D1893" s="5" t="str">
        <f>"001E"</f>
        <v>001E</v>
      </c>
      <c r="E1893" s="5">
        <v>2016</v>
      </c>
      <c r="F1893" s="3">
        <v>833100</v>
      </c>
      <c r="G1893" s="3">
        <v>9026500</v>
      </c>
      <c r="H1893" s="3">
        <v>8193400</v>
      </c>
    </row>
    <row r="1894" spans="1:9" x14ac:dyDescent="0.35">
      <c r="A1894" t="str">
        <f>"40191"</f>
        <v>40191</v>
      </c>
      <c r="B1894" t="s">
        <v>33</v>
      </c>
      <c r="C1894" t="s">
        <v>818</v>
      </c>
      <c r="D1894" s="5" t="str">
        <f>"005"</f>
        <v>005</v>
      </c>
      <c r="E1894" s="5">
        <v>2024</v>
      </c>
      <c r="F1894" s="3">
        <v>2013700</v>
      </c>
      <c r="G1894" s="3">
        <v>16732600</v>
      </c>
      <c r="H1894" s="3">
        <v>14718900</v>
      </c>
    </row>
    <row r="1895" spans="1:9" x14ac:dyDescent="0.35">
      <c r="A1895" t="str">
        <f>"40191"</f>
        <v>40191</v>
      </c>
      <c r="B1895" t="s">
        <v>33</v>
      </c>
      <c r="C1895" t="s">
        <v>818</v>
      </c>
      <c r="D1895" s="5" t="s">
        <v>11</v>
      </c>
      <c r="E1895" s="5" t="s">
        <v>12</v>
      </c>
      <c r="F1895" s="3" t="s">
        <v>13</v>
      </c>
      <c r="G1895" s="3" t="s">
        <v>13</v>
      </c>
      <c r="H1895" s="3" t="s">
        <v>13</v>
      </c>
      <c r="I1895" s="3">
        <v>527809500</v>
      </c>
    </row>
    <row r="1896" spans="1:9" x14ac:dyDescent="0.35">
      <c r="A1896" t="str">
        <f>"40192"</f>
        <v>40192</v>
      </c>
      <c r="B1896" t="s">
        <v>33</v>
      </c>
      <c r="C1896" t="s">
        <v>819</v>
      </c>
      <c r="D1896" s="5" t="str">
        <f>"001"</f>
        <v>001</v>
      </c>
      <c r="E1896" s="5">
        <v>2004</v>
      </c>
      <c r="F1896" s="3">
        <v>34907800</v>
      </c>
      <c r="G1896" s="3">
        <v>83990600</v>
      </c>
      <c r="H1896" s="3">
        <v>49082800</v>
      </c>
    </row>
    <row r="1897" spans="1:9" x14ac:dyDescent="0.35">
      <c r="A1897" t="str">
        <f>"40192"</f>
        <v>40192</v>
      </c>
      <c r="B1897" t="s">
        <v>33</v>
      </c>
      <c r="C1897" t="s">
        <v>819</v>
      </c>
      <c r="D1897" s="5" t="str">
        <f>"002"</f>
        <v>002</v>
      </c>
      <c r="E1897" s="5">
        <v>2013</v>
      </c>
      <c r="F1897" s="3">
        <v>405600</v>
      </c>
      <c r="G1897" s="3">
        <v>21296000</v>
      </c>
      <c r="H1897" s="3">
        <v>20890400</v>
      </c>
    </row>
    <row r="1898" spans="1:9" x14ac:dyDescent="0.35">
      <c r="A1898" t="str">
        <f>"40192"</f>
        <v>40192</v>
      </c>
      <c r="B1898" t="s">
        <v>33</v>
      </c>
      <c r="C1898" t="s">
        <v>819</v>
      </c>
      <c r="D1898" s="5" t="str">
        <f>"003"</f>
        <v>003</v>
      </c>
      <c r="E1898" s="5">
        <v>2025</v>
      </c>
      <c r="F1898" s="3">
        <v>32941100</v>
      </c>
      <c r="G1898" s="3">
        <v>36650500</v>
      </c>
      <c r="H1898" s="3">
        <v>3709400</v>
      </c>
    </row>
    <row r="1899" spans="1:9" x14ac:dyDescent="0.35">
      <c r="A1899" t="str">
        <f>"40192"</f>
        <v>40192</v>
      </c>
      <c r="B1899" t="s">
        <v>33</v>
      </c>
      <c r="C1899" t="s">
        <v>819</v>
      </c>
      <c r="D1899" s="5" t="s">
        <v>11</v>
      </c>
      <c r="E1899" s="5" t="s">
        <v>12</v>
      </c>
      <c r="F1899" s="3" t="s">
        <v>13</v>
      </c>
      <c r="G1899" s="3" t="s">
        <v>13</v>
      </c>
      <c r="H1899" s="3" t="s">
        <v>13</v>
      </c>
      <c r="I1899" s="3">
        <v>3861326000</v>
      </c>
    </row>
    <row r="1900" spans="1:9" x14ac:dyDescent="0.35">
      <c r="A1900" t="s">
        <v>30</v>
      </c>
      <c r="B1900" t="s">
        <v>35</v>
      </c>
      <c r="C1900" t="s">
        <v>32</v>
      </c>
      <c r="D1900" s="5" t="s">
        <v>11</v>
      </c>
      <c r="E1900" s="5" t="s">
        <v>12</v>
      </c>
      <c r="F1900" s="3" t="s">
        <v>13</v>
      </c>
      <c r="G1900" s="3" t="s">
        <v>13</v>
      </c>
      <c r="H1900" s="3" t="s">
        <v>13</v>
      </c>
      <c r="I1900" s="3">
        <v>15293094400</v>
      </c>
    </row>
    <row r="1901" spans="1:9" x14ac:dyDescent="0.35">
      <c r="A1901" t="str">
        <f>"40211"</f>
        <v>40211</v>
      </c>
      <c r="B1901" t="s">
        <v>36</v>
      </c>
      <c r="C1901" t="s">
        <v>820</v>
      </c>
      <c r="D1901" s="5" t="str">
        <f>"001E"</f>
        <v>001E</v>
      </c>
      <c r="E1901" s="5">
        <v>2003</v>
      </c>
      <c r="F1901" s="3">
        <v>888300</v>
      </c>
      <c r="G1901" s="3">
        <v>17342000</v>
      </c>
      <c r="H1901" s="3">
        <v>16453700</v>
      </c>
    </row>
    <row r="1902" spans="1:9" x14ac:dyDescent="0.35">
      <c r="A1902" t="str">
        <f>"40211"</f>
        <v>40211</v>
      </c>
      <c r="B1902" t="s">
        <v>36</v>
      </c>
      <c r="C1902" t="s">
        <v>820</v>
      </c>
      <c r="D1902" s="5" t="str">
        <f>"002E"</f>
        <v>002E</v>
      </c>
      <c r="E1902" s="5">
        <v>2010</v>
      </c>
      <c r="F1902" s="3">
        <v>525900</v>
      </c>
      <c r="G1902" s="3">
        <v>582700</v>
      </c>
      <c r="H1902" s="3">
        <v>56800</v>
      </c>
    </row>
    <row r="1903" spans="1:9" x14ac:dyDescent="0.35">
      <c r="A1903" t="str">
        <f>"40211"</f>
        <v>40211</v>
      </c>
      <c r="B1903" t="s">
        <v>36</v>
      </c>
      <c r="C1903" t="s">
        <v>820</v>
      </c>
      <c r="D1903" s="5" t="str">
        <f>"005"</f>
        <v>005</v>
      </c>
      <c r="E1903" s="5">
        <v>2021</v>
      </c>
      <c r="F1903" s="3">
        <v>44345300</v>
      </c>
      <c r="G1903" s="3">
        <v>66762600</v>
      </c>
      <c r="H1903" s="3">
        <v>22417300</v>
      </c>
    </row>
    <row r="1904" spans="1:9" x14ac:dyDescent="0.35">
      <c r="A1904" t="str">
        <f>"40211"</f>
        <v>40211</v>
      </c>
      <c r="B1904" t="s">
        <v>36</v>
      </c>
      <c r="C1904" t="s">
        <v>820</v>
      </c>
      <c r="D1904" s="5" t="str">
        <f>"006"</f>
        <v>006</v>
      </c>
      <c r="E1904" s="5">
        <v>2024</v>
      </c>
      <c r="F1904" s="3">
        <v>0</v>
      </c>
      <c r="G1904" s="3">
        <v>8140600</v>
      </c>
      <c r="H1904" s="3">
        <v>8140600</v>
      </c>
    </row>
    <row r="1905" spans="1:9" x14ac:dyDescent="0.35">
      <c r="A1905" t="str">
        <f>"40211"</f>
        <v>40211</v>
      </c>
      <c r="B1905" t="s">
        <v>36</v>
      </c>
      <c r="C1905" t="s">
        <v>820</v>
      </c>
      <c r="D1905" s="5" t="s">
        <v>11</v>
      </c>
      <c r="E1905" s="5" t="s">
        <v>12</v>
      </c>
      <c r="F1905" s="3" t="s">
        <v>13</v>
      </c>
      <c r="G1905" s="3" t="s">
        <v>13</v>
      </c>
      <c r="H1905" s="3" t="s">
        <v>13</v>
      </c>
      <c r="I1905" s="3">
        <v>2041601200</v>
      </c>
    </row>
    <row r="1906" spans="1:9" x14ac:dyDescent="0.35">
      <c r="A1906" t="str">
        <f t="shared" ref="A1906:A1911" si="41">"40226"</f>
        <v>40226</v>
      </c>
      <c r="B1906" t="s">
        <v>36</v>
      </c>
      <c r="C1906" t="s">
        <v>588</v>
      </c>
      <c r="D1906" s="5" t="str">
        <f>"005"</f>
        <v>005</v>
      </c>
      <c r="E1906" s="5">
        <v>2016</v>
      </c>
      <c r="F1906" s="3">
        <v>2237100</v>
      </c>
      <c r="G1906" s="3">
        <v>108825200</v>
      </c>
      <c r="H1906" s="3">
        <v>106588100</v>
      </c>
    </row>
    <row r="1907" spans="1:9" x14ac:dyDescent="0.35">
      <c r="A1907" t="str">
        <f t="shared" si="41"/>
        <v>40226</v>
      </c>
      <c r="B1907" t="s">
        <v>36</v>
      </c>
      <c r="C1907" t="s">
        <v>588</v>
      </c>
      <c r="D1907" s="5" t="str">
        <f>"006"</f>
        <v>006</v>
      </c>
      <c r="E1907" s="5">
        <v>2019</v>
      </c>
      <c r="F1907" s="3">
        <v>2003900</v>
      </c>
      <c r="G1907" s="3">
        <v>72213900</v>
      </c>
      <c r="H1907" s="3">
        <v>70210000</v>
      </c>
    </row>
    <row r="1908" spans="1:9" x14ac:dyDescent="0.35">
      <c r="A1908" t="str">
        <f t="shared" si="41"/>
        <v>40226</v>
      </c>
      <c r="B1908" t="s">
        <v>36</v>
      </c>
      <c r="C1908" t="s">
        <v>588</v>
      </c>
      <c r="D1908" s="5" t="str">
        <f>"007"</f>
        <v>007</v>
      </c>
      <c r="E1908" s="5">
        <v>2019</v>
      </c>
      <c r="F1908" s="3">
        <v>7495500</v>
      </c>
      <c r="G1908" s="3">
        <v>46981000</v>
      </c>
      <c r="H1908" s="3">
        <v>39485500</v>
      </c>
    </row>
    <row r="1909" spans="1:9" x14ac:dyDescent="0.35">
      <c r="A1909" t="str">
        <f t="shared" si="41"/>
        <v>40226</v>
      </c>
      <c r="B1909" t="s">
        <v>36</v>
      </c>
      <c r="C1909" t="s">
        <v>588</v>
      </c>
      <c r="D1909" s="5" t="str">
        <f>"008"</f>
        <v>008</v>
      </c>
      <c r="E1909" s="5">
        <v>2020</v>
      </c>
      <c r="F1909" s="3">
        <v>45791800</v>
      </c>
      <c r="G1909" s="3">
        <v>146728800</v>
      </c>
      <c r="H1909" s="3">
        <v>100937000</v>
      </c>
    </row>
    <row r="1910" spans="1:9" x14ac:dyDescent="0.35">
      <c r="A1910" t="str">
        <f t="shared" si="41"/>
        <v>40226</v>
      </c>
      <c r="B1910" t="s">
        <v>36</v>
      </c>
      <c r="C1910" t="s">
        <v>588</v>
      </c>
      <c r="D1910" s="5" t="str">
        <f>"009"</f>
        <v>009</v>
      </c>
      <c r="E1910" s="5">
        <v>2024</v>
      </c>
      <c r="F1910" s="3">
        <v>12257300</v>
      </c>
      <c r="G1910" s="3">
        <v>39183000</v>
      </c>
      <c r="H1910" s="3">
        <v>26925700</v>
      </c>
    </row>
    <row r="1911" spans="1:9" x14ac:dyDescent="0.35">
      <c r="A1911" t="str">
        <f t="shared" si="41"/>
        <v>40226</v>
      </c>
      <c r="B1911" t="s">
        <v>36</v>
      </c>
      <c r="C1911" t="s">
        <v>588</v>
      </c>
      <c r="D1911" s="5" t="s">
        <v>11</v>
      </c>
      <c r="E1911" s="5" t="s">
        <v>12</v>
      </c>
      <c r="F1911" s="3" t="s">
        <v>13</v>
      </c>
      <c r="G1911" s="3" t="s">
        <v>13</v>
      </c>
      <c r="H1911" s="3" t="s">
        <v>13</v>
      </c>
      <c r="I1911" s="3">
        <v>7019704100</v>
      </c>
    </row>
    <row r="1912" spans="1:9" x14ac:dyDescent="0.35">
      <c r="A1912" t="str">
        <f>"40231"</f>
        <v>40231</v>
      </c>
      <c r="B1912" t="s">
        <v>36</v>
      </c>
      <c r="C1912" t="s">
        <v>821</v>
      </c>
      <c r="D1912" s="5" t="str">
        <f>"007"</f>
        <v>007</v>
      </c>
      <c r="E1912" s="5">
        <v>1996</v>
      </c>
      <c r="F1912" s="3">
        <v>13408500</v>
      </c>
      <c r="G1912" s="3">
        <v>125812600</v>
      </c>
      <c r="H1912" s="3">
        <v>112404100</v>
      </c>
    </row>
    <row r="1913" spans="1:9" x14ac:dyDescent="0.35">
      <c r="A1913" t="str">
        <f>"40231"</f>
        <v>40231</v>
      </c>
      <c r="B1913" t="s">
        <v>36</v>
      </c>
      <c r="C1913" t="s">
        <v>821</v>
      </c>
      <c r="D1913" s="5" t="str">
        <f>"008"</f>
        <v>008</v>
      </c>
      <c r="E1913" s="5">
        <v>2002</v>
      </c>
      <c r="F1913" s="3">
        <v>61255900</v>
      </c>
      <c r="G1913" s="3">
        <v>174991000</v>
      </c>
      <c r="H1913" s="3">
        <v>113735100</v>
      </c>
    </row>
    <row r="1914" spans="1:9" x14ac:dyDescent="0.35">
      <c r="A1914" t="str">
        <f>"40231"</f>
        <v>40231</v>
      </c>
      <c r="B1914" t="s">
        <v>36</v>
      </c>
      <c r="C1914" t="s">
        <v>821</v>
      </c>
      <c r="D1914" s="5" t="str">
        <f>"009"</f>
        <v>009</v>
      </c>
      <c r="E1914" s="5">
        <v>2025</v>
      </c>
      <c r="F1914" s="3">
        <v>243500</v>
      </c>
      <c r="G1914" s="3">
        <v>1712100</v>
      </c>
      <c r="H1914" s="3">
        <v>1468600</v>
      </c>
    </row>
    <row r="1915" spans="1:9" x14ac:dyDescent="0.35">
      <c r="A1915" t="str">
        <f>"40231"</f>
        <v>40231</v>
      </c>
      <c r="B1915" t="s">
        <v>36</v>
      </c>
      <c r="C1915" t="s">
        <v>821</v>
      </c>
      <c r="D1915" s="5" t="s">
        <v>11</v>
      </c>
      <c r="E1915" s="5" t="s">
        <v>12</v>
      </c>
      <c r="F1915" s="3" t="s">
        <v>13</v>
      </c>
      <c r="G1915" s="3" t="s">
        <v>13</v>
      </c>
      <c r="H1915" s="3" t="s">
        <v>13</v>
      </c>
      <c r="I1915" s="3">
        <v>2610551800</v>
      </c>
    </row>
    <row r="1916" spans="1:9" x14ac:dyDescent="0.35">
      <c r="A1916" t="str">
        <f t="shared" ref="A1916:A1922" si="42">"40236"</f>
        <v>40236</v>
      </c>
      <c r="B1916" t="s">
        <v>36</v>
      </c>
      <c r="C1916" t="s">
        <v>664</v>
      </c>
      <c r="D1916" s="5" t="str">
        <f>"002"</f>
        <v>002</v>
      </c>
      <c r="E1916" s="5">
        <v>2007</v>
      </c>
      <c r="F1916" s="3">
        <v>14497400</v>
      </c>
      <c r="G1916" s="3">
        <v>77708700</v>
      </c>
      <c r="H1916" s="3">
        <v>63211300</v>
      </c>
    </row>
    <row r="1917" spans="1:9" x14ac:dyDescent="0.35">
      <c r="A1917" t="str">
        <f t="shared" si="42"/>
        <v>40236</v>
      </c>
      <c r="B1917" t="s">
        <v>36</v>
      </c>
      <c r="C1917" t="s">
        <v>664</v>
      </c>
      <c r="D1917" s="5" t="str">
        <f>"004"</f>
        <v>004</v>
      </c>
      <c r="E1917" s="5">
        <v>2015</v>
      </c>
      <c r="F1917" s="3">
        <v>24571300</v>
      </c>
      <c r="G1917" s="3">
        <v>63458200</v>
      </c>
      <c r="H1917" s="3">
        <v>38886900</v>
      </c>
    </row>
    <row r="1918" spans="1:9" x14ac:dyDescent="0.35">
      <c r="A1918" t="str">
        <f t="shared" si="42"/>
        <v>40236</v>
      </c>
      <c r="B1918" t="s">
        <v>36</v>
      </c>
      <c r="C1918" t="s">
        <v>664</v>
      </c>
      <c r="D1918" s="5" t="str">
        <f>"006"</f>
        <v>006</v>
      </c>
      <c r="E1918" s="5">
        <v>2015</v>
      </c>
      <c r="F1918" s="3">
        <v>16889000</v>
      </c>
      <c r="G1918" s="3">
        <v>243825500</v>
      </c>
      <c r="H1918" s="3">
        <v>226936500</v>
      </c>
    </row>
    <row r="1919" spans="1:9" x14ac:dyDescent="0.35">
      <c r="A1919" t="str">
        <f t="shared" si="42"/>
        <v>40236</v>
      </c>
      <c r="B1919" t="s">
        <v>36</v>
      </c>
      <c r="C1919" t="s">
        <v>664</v>
      </c>
      <c r="D1919" s="5" t="str">
        <f>"007"</f>
        <v>007</v>
      </c>
      <c r="E1919" s="5">
        <v>2020</v>
      </c>
      <c r="F1919" s="3">
        <v>2152900</v>
      </c>
      <c r="G1919" s="3">
        <v>15828700</v>
      </c>
      <c r="H1919" s="3">
        <v>13675800</v>
      </c>
    </row>
    <row r="1920" spans="1:9" x14ac:dyDescent="0.35">
      <c r="A1920" t="str">
        <f t="shared" si="42"/>
        <v>40236</v>
      </c>
      <c r="B1920" t="s">
        <v>36</v>
      </c>
      <c r="C1920" t="s">
        <v>664</v>
      </c>
      <c r="D1920" s="5" t="str">
        <f>"008"</f>
        <v>008</v>
      </c>
      <c r="E1920" s="5">
        <v>2021</v>
      </c>
      <c r="F1920" s="3">
        <v>6897300</v>
      </c>
      <c r="G1920" s="3">
        <v>55006800</v>
      </c>
      <c r="H1920" s="3">
        <v>48109500</v>
      </c>
    </row>
    <row r="1921" spans="1:9" x14ac:dyDescent="0.35">
      <c r="A1921" t="str">
        <f t="shared" si="42"/>
        <v>40236</v>
      </c>
      <c r="B1921" t="s">
        <v>36</v>
      </c>
      <c r="C1921" t="s">
        <v>664</v>
      </c>
      <c r="D1921" s="5" t="str">
        <f>"009"</f>
        <v>009</v>
      </c>
      <c r="E1921" s="5">
        <v>2024</v>
      </c>
      <c r="F1921" s="3">
        <v>3007200</v>
      </c>
      <c r="G1921" s="3">
        <v>3356400</v>
      </c>
      <c r="H1921" s="3">
        <v>349200</v>
      </c>
    </row>
    <row r="1922" spans="1:9" x14ac:dyDescent="0.35">
      <c r="A1922" t="str">
        <f t="shared" si="42"/>
        <v>40236</v>
      </c>
      <c r="B1922" t="s">
        <v>36</v>
      </c>
      <c r="C1922" t="s">
        <v>664</v>
      </c>
      <c r="D1922" s="5" t="s">
        <v>11</v>
      </c>
      <c r="E1922" s="5" t="s">
        <v>12</v>
      </c>
      <c r="F1922" s="3" t="s">
        <v>13</v>
      </c>
      <c r="G1922" s="3" t="s">
        <v>13</v>
      </c>
      <c r="H1922" s="3" t="s">
        <v>13</v>
      </c>
      <c r="I1922" s="3">
        <v>4965867500</v>
      </c>
    </row>
    <row r="1923" spans="1:9" x14ac:dyDescent="0.35">
      <c r="A1923" t="str">
        <f t="shared" ref="A1923:A1954" si="43">"40251"</f>
        <v>40251</v>
      </c>
      <c r="B1923" t="s">
        <v>36</v>
      </c>
      <c r="C1923" t="s">
        <v>822</v>
      </c>
      <c r="D1923" s="5" t="str">
        <f>"041"</f>
        <v>041</v>
      </c>
      <c r="E1923" s="5">
        <v>2000</v>
      </c>
      <c r="F1923" s="3">
        <v>9996700</v>
      </c>
      <c r="G1923" s="3">
        <v>146744200</v>
      </c>
      <c r="H1923" s="3">
        <v>136747500</v>
      </c>
    </row>
    <row r="1924" spans="1:9" x14ac:dyDescent="0.35">
      <c r="A1924" t="str">
        <f t="shared" si="43"/>
        <v>40251</v>
      </c>
      <c r="B1924" t="s">
        <v>36</v>
      </c>
      <c r="C1924" t="s">
        <v>822</v>
      </c>
      <c r="D1924" s="5" t="str">
        <f>"048"</f>
        <v>048</v>
      </c>
      <c r="E1924" s="5">
        <v>2002</v>
      </c>
      <c r="F1924" s="3">
        <v>43865000</v>
      </c>
      <c r="G1924" s="3">
        <v>447363300</v>
      </c>
      <c r="H1924" s="3">
        <v>403498300</v>
      </c>
    </row>
    <row r="1925" spans="1:9" x14ac:dyDescent="0.35">
      <c r="A1925" t="str">
        <f t="shared" si="43"/>
        <v>40251</v>
      </c>
      <c r="B1925" t="s">
        <v>36</v>
      </c>
      <c r="C1925" t="s">
        <v>822</v>
      </c>
      <c r="D1925" s="5" t="str">
        <f>"049"</f>
        <v>049</v>
      </c>
      <c r="E1925" s="5">
        <v>2002</v>
      </c>
      <c r="F1925" s="3">
        <v>2051400</v>
      </c>
      <c r="G1925" s="3">
        <v>66728600</v>
      </c>
      <c r="H1925" s="3">
        <v>64677200</v>
      </c>
    </row>
    <row r="1926" spans="1:9" x14ac:dyDescent="0.35">
      <c r="A1926" t="str">
        <f t="shared" si="43"/>
        <v>40251</v>
      </c>
      <c r="B1926" t="s">
        <v>36</v>
      </c>
      <c r="C1926" t="s">
        <v>822</v>
      </c>
      <c r="D1926" s="5" t="str">
        <f>"053"</f>
        <v>053</v>
      </c>
      <c r="E1926" s="5">
        <v>2004</v>
      </c>
      <c r="F1926" s="3">
        <v>4586200</v>
      </c>
      <c r="G1926" s="3">
        <v>91672200</v>
      </c>
      <c r="H1926" s="3">
        <v>87086000</v>
      </c>
    </row>
    <row r="1927" spans="1:9" x14ac:dyDescent="0.35">
      <c r="A1927" t="str">
        <f t="shared" si="43"/>
        <v>40251</v>
      </c>
      <c r="B1927" t="s">
        <v>36</v>
      </c>
      <c r="C1927" t="s">
        <v>822</v>
      </c>
      <c r="D1927" s="5" t="str">
        <f>"054"</f>
        <v>054</v>
      </c>
      <c r="E1927" s="5">
        <v>2004</v>
      </c>
      <c r="F1927" s="3">
        <v>576600</v>
      </c>
      <c r="G1927" s="3">
        <v>28686700</v>
      </c>
      <c r="H1927" s="3">
        <v>28110100</v>
      </c>
    </row>
    <row r="1928" spans="1:9" x14ac:dyDescent="0.35">
      <c r="A1928" t="str">
        <f t="shared" si="43"/>
        <v>40251</v>
      </c>
      <c r="B1928" t="s">
        <v>36</v>
      </c>
      <c r="C1928" t="s">
        <v>822</v>
      </c>
      <c r="D1928" s="5" t="str">
        <f>"056"</f>
        <v>056</v>
      </c>
      <c r="E1928" s="5">
        <v>2004</v>
      </c>
      <c r="F1928" s="3">
        <v>8955100</v>
      </c>
      <c r="G1928" s="3">
        <v>255714600</v>
      </c>
      <c r="H1928" s="3">
        <v>246759500</v>
      </c>
    </row>
    <row r="1929" spans="1:9" x14ac:dyDescent="0.35">
      <c r="A1929" t="str">
        <f t="shared" si="43"/>
        <v>40251</v>
      </c>
      <c r="B1929" t="s">
        <v>36</v>
      </c>
      <c r="C1929" t="s">
        <v>822</v>
      </c>
      <c r="D1929" s="5" t="str">
        <f>"057"</f>
        <v>057</v>
      </c>
      <c r="E1929" s="5">
        <v>2005</v>
      </c>
      <c r="F1929" s="3">
        <v>0</v>
      </c>
      <c r="G1929" s="3">
        <v>15002400</v>
      </c>
      <c r="H1929" s="3">
        <v>15002400</v>
      </c>
    </row>
    <row r="1930" spans="1:9" x14ac:dyDescent="0.35">
      <c r="A1930" t="str">
        <f t="shared" si="43"/>
        <v>40251</v>
      </c>
      <c r="B1930" t="s">
        <v>36</v>
      </c>
      <c r="C1930" t="s">
        <v>822</v>
      </c>
      <c r="D1930" s="5" t="str">
        <f>"059"</f>
        <v>059</v>
      </c>
      <c r="E1930" s="5">
        <v>2005</v>
      </c>
      <c r="F1930" s="3">
        <v>44526400</v>
      </c>
      <c r="G1930" s="3">
        <v>98371600</v>
      </c>
      <c r="H1930" s="3">
        <v>53845200</v>
      </c>
    </row>
    <row r="1931" spans="1:9" x14ac:dyDescent="0.35">
      <c r="A1931" t="str">
        <f t="shared" si="43"/>
        <v>40251</v>
      </c>
      <c r="B1931" t="s">
        <v>36</v>
      </c>
      <c r="C1931" t="s">
        <v>822</v>
      </c>
      <c r="D1931" s="5" t="str">
        <f>"060"</f>
        <v>060</v>
      </c>
      <c r="E1931" s="5">
        <v>2005</v>
      </c>
      <c r="F1931" s="3">
        <v>1952900</v>
      </c>
      <c r="G1931" s="3">
        <v>12778100</v>
      </c>
      <c r="H1931" s="3">
        <v>10825200</v>
      </c>
    </row>
    <row r="1932" spans="1:9" x14ac:dyDescent="0.35">
      <c r="A1932" t="str">
        <f t="shared" si="43"/>
        <v>40251</v>
      </c>
      <c r="B1932" t="s">
        <v>36</v>
      </c>
      <c r="C1932" t="s">
        <v>822</v>
      </c>
      <c r="D1932" s="5" t="str">
        <f>"062"</f>
        <v>062</v>
      </c>
      <c r="E1932" s="5">
        <v>2006</v>
      </c>
      <c r="F1932" s="3">
        <v>2831100</v>
      </c>
      <c r="G1932" s="3">
        <v>7178900</v>
      </c>
      <c r="H1932" s="3">
        <v>4347800</v>
      </c>
    </row>
    <row r="1933" spans="1:9" x14ac:dyDescent="0.35">
      <c r="A1933" t="str">
        <f t="shared" si="43"/>
        <v>40251</v>
      </c>
      <c r="B1933" t="s">
        <v>36</v>
      </c>
      <c r="C1933" t="s">
        <v>822</v>
      </c>
      <c r="D1933" s="5" t="str">
        <f>"063"</f>
        <v>063</v>
      </c>
      <c r="E1933" s="5">
        <v>2006</v>
      </c>
      <c r="F1933" s="3">
        <v>6016100</v>
      </c>
      <c r="G1933" s="3">
        <v>11760700</v>
      </c>
      <c r="H1933" s="3">
        <v>5744600</v>
      </c>
    </row>
    <row r="1934" spans="1:9" x14ac:dyDescent="0.35">
      <c r="A1934" t="str">
        <f t="shared" si="43"/>
        <v>40251</v>
      </c>
      <c r="B1934" t="s">
        <v>36</v>
      </c>
      <c r="C1934" t="s">
        <v>822</v>
      </c>
      <c r="D1934" s="5" t="str">
        <f>"064"</f>
        <v>064</v>
      </c>
      <c r="E1934" s="5">
        <v>2006</v>
      </c>
      <c r="F1934" s="3">
        <v>11751100</v>
      </c>
      <c r="G1934" s="3">
        <v>18188100</v>
      </c>
      <c r="H1934" s="3">
        <v>6437000</v>
      </c>
    </row>
    <row r="1935" spans="1:9" x14ac:dyDescent="0.35">
      <c r="A1935" t="str">
        <f t="shared" si="43"/>
        <v>40251</v>
      </c>
      <c r="B1935" t="s">
        <v>36</v>
      </c>
      <c r="C1935" t="s">
        <v>822</v>
      </c>
      <c r="D1935" s="5" t="str">
        <f>"067"</f>
        <v>067</v>
      </c>
      <c r="E1935" s="5">
        <v>2007</v>
      </c>
      <c r="F1935" s="3">
        <v>9266900</v>
      </c>
      <c r="G1935" s="3">
        <v>192708000</v>
      </c>
      <c r="H1935" s="3">
        <v>183441100</v>
      </c>
    </row>
    <row r="1936" spans="1:9" x14ac:dyDescent="0.35">
      <c r="A1936" t="str">
        <f t="shared" si="43"/>
        <v>40251</v>
      </c>
      <c r="B1936" t="s">
        <v>36</v>
      </c>
      <c r="C1936" t="s">
        <v>822</v>
      </c>
      <c r="D1936" s="5" t="str">
        <f>"068"</f>
        <v>068</v>
      </c>
      <c r="E1936" s="5">
        <v>2007</v>
      </c>
      <c r="F1936" s="3">
        <v>32607300</v>
      </c>
      <c r="G1936" s="3">
        <v>115037300</v>
      </c>
      <c r="H1936" s="3">
        <v>82430000</v>
      </c>
    </row>
    <row r="1937" spans="1:8" x14ac:dyDescent="0.35">
      <c r="A1937" t="str">
        <f t="shared" si="43"/>
        <v>40251</v>
      </c>
      <c r="B1937" t="s">
        <v>36</v>
      </c>
      <c r="C1937" t="s">
        <v>822</v>
      </c>
      <c r="D1937" s="5" t="str">
        <f>"070"</f>
        <v>070</v>
      </c>
      <c r="E1937" s="5">
        <v>2007</v>
      </c>
      <c r="F1937" s="3">
        <v>13775300</v>
      </c>
      <c r="G1937" s="3">
        <v>34165700</v>
      </c>
      <c r="H1937" s="3">
        <v>20390400</v>
      </c>
    </row>
    <row r="1938" spans="1:8" x14ac:dyDescent="0.35">
      <c r="A1938" t="str">
        <f t="shared" si="43"/>
        <v>40251</v>
      </c>
      <c r="B1938" t="s">
        <v>36</v>
      </c>
      <c r="C1938" t="s">
        <v>822</v>
      </c>
      <c r="D1938" s="5" t="str">
        <f>"071"</f>
        <v>071</v>
      </c>
      <c r="E1938" s="5">
        <v>2008</v>
      </c>
      <c r="F1938" s="3">
        <v>63310400</v>
      </c>
      <c r="G1938" s="3">
        <v>100936300</v>
      </c>
      <c r="H1938" s="3">
        <v>37625900</v>
      </c>
    </row>
    <row r="1939" spans="1:8" x14ac:dyDescent="0.35">
      <c r="A1939" t="str">
        <f t="shared" si="43"/>
        <v>40251</v>
      </c>
      <c r="B1939" t="s">
        <v>36</v>
      </c>
      <c r="C1939" t="s">
        <v>822</v>
      </c>
      <c r="D1939" s="5" t="str">
        <f>"072"</f>
        <v>072</v>
      </c>
      <c r="E1939" s="5">
        <v>2009</v>
      </c>
      <c r="F1939" s="3">
        <v>24380600</v>
      </c>
      <c r="G1939" s="3">
        <v>46190100</v>
      </c>
      <c r="H1939" s="3">
        <v>21809500</v>
      </c>
    </row>
    <row r="1940" spans="1:8" x14ac:dyDescent="0.35">
      <c r="A1940" t="str">
        <f t="shared" si="43"/>
        <v>40251</v>
      </c>
      <c r="B1940" t="s">
        <v>36</v>
      </c>
      <c r="C1940" t="s">
        <v>822</v>
      </c>
      <c r="D1940" s="5" t="str">
        <f>"073"</f>
        <v>073</v>
      </c>
      <c r="E1940" s="5">
        <v>2009</v>
      </c>
      <c r="F1940" s="3">
        <v>4285300</v>
      </c>
      <c r="G1940" s="3">
        <v>10388400</v>
      </c>
      <c r="H1940" s="3">
        <v>6103100</v>
      </c>
    </row>
    <row r="1941" spans="1:8" x14ac:dyDescent="0.35">
      <c r="A1941" t="str">
        <f t="shared" si="43"/>
        <v>40251</v>
      </c>
      <c r="B1941" t="s">
        <v>36</v>
      </c>
      <c r="C1941" t="s">
        <v>822</v>
      </c>
      <c r="D1941" s="5" t="str">
        <f>"074"</f>
        <v>074</v>
      </c>
      <c r="E1941" s="5">
        <v>2009</v>
      </c>
      <c r="F1941" s="3">
        <v>61076200</v>
      </c>
      <c r="G1941" s="3">
        <v>116023100</v>
      </c>
      <c r="H1941" s="3">
        <v>54946900</v>
      </c>
    </row>
    <row r="1942" spans="1:8" x14ac:dyDescent="0.35">
      <c r="A1942" t="str">
        <f t="shared" si="43"/>
        <v>40251</v>
      </c>
      <c r="B1942" t="s">
        <v>36</v>
      </c>
      <c r="C1942" t="s">
        <v>822</v>
      </c>
      <c r="D1942" s="5" t="str">
        <f>"075"</f>
        <v>075</v>
      </c>
      <c r="E1942" s="5">
        <v>2009</v>
      </c>
      <c r="F1942" s="3">
        <v>26317500</v>
      </c>
      <c r="G1942" s="3">
        <v>356142600</v>
      </c>
      <c r="H1942" s="3">
        <v>329825100</v>
      </c>
    </row>
    <row r="1943" spans="1:8" x14ac:dyDescent="0.35">
      <c r="A1943" t="str">
        <f t="shared" si="43"/>
        <v>40251</v>
      </c>
      <c r="B1943" t="s">
        <v>36</v>
      </c>
      <c r="C1943" t="s">
        <v>822</v>
      </c>
      <c r="D1943" s="5" t="str">
        <f>"076"</f>
        <v>076</v>
      </c>
      <c r="E1943" s="5">
        <v>2010</v>
      </c>
      <c r="F1943" s="3">
        <v>15342200</v>
      </c>
      <c r="G1943" s="3">
        <v>21438600</v>
      </c>
      <c r="H1943" s="3">
        <v>6096400</v>
      </c>
    </row>
    <row r="1944" spans="1:8" x14ac:dyDescent="0.35">
      <c r="A1944" t="str">
        <f t="shared" si="43"/>
        <v>40251</v>
      </c>
      <c r="B1944" t="s">
        <v>36</v>
      </c>
      <c r="C1944" t="s">
        <v>822</v>
      </c>
      <c r="D1944" s="5" t="str">
        <f>"077"</f>
        <v>077</v>
      </c>
      <c r="E1944" s="5">
        <v>2012</v>
      </c>
      <c r="F1944" s="3">
        <v>3368100</v>
      </c>
      <c r="G1944" s="3">
        <v>10302300</v>
      </c>
      <c r="H1944" s="3">
        <v>6934200</v>
      </c>
    </row>
    <row r="1945" spans="1:8" x14ac:dyDescent="0.35">
      <c r="A1945" t="str">
        <f t="shared" si="43"/>
        <v>40251</v>
      </c>
      <c r="B1945" t="s">
        <v>36</v>
      </c>
      <c r="C1945" t="s">
        <v>822</v>
      </c>
      <c r="D1945" s="5" t="str">
        <f>"078"</f>
        <v>078</v>
      </c>
      <c r="E1945" s="5">
        <v>2013</v>
      </c>
      <c r="F1945" s="3">
        <v>49588500</v>
      </c>
      <c r="G1945" s="3">
        <v>393834200</v>
      </c>
      <c r="H1945" s="3">
        <v>344245700</v>
      </c>
    </row>
    <row r="1946" spans="1:8" x14ac:dyDescent="0.35">
      <c r="A1946" t="str">
        <f t="shared" si="43"/>
        <v>40251</v>
      </c>
      <c r="B1946" t="s">
        <v>36</v>
      </c>
      <c r="C1946" t="s">
        <v>822</v>
      </c>
      <c r="D1946" s="5" t="str">
        <f>"079"</f>
        <v>079</v>
      </c>
      <c r="E1946" s="5">
        <v>2013</v>
      </c>
      <c r="F1946" s="3">
        <v>13718700</v>
      </c>
      <c r="G1946" s="3">
        <v>130765800</v>
      </c>
      <c r="H1946" s="3">
        <v>117047100</v>
      </c>
    </row>
    <row r="1947" spans="1:8" x14ac:dyDescent="0.35">
      <c r="A1947" t="str">
        <f t="shared" si="43"/>
        <v>40251</v>
      </c>
      <c r="B1947" t="s">
        <v>36</v>
      </c>
      <c r="C1947" t="s">
        <v>822</v>
      </c>
      <c r="D1947" s="5" t="str">
        <f>"080"</f>
        <v>080</v>
      </c>
      <c r="E1947" s="5">
        <v>2014</v>
      </c>
      <c r="F1947" s="3">
        <v>3237900</v>
      </c>
      <c r="G1947" s="3">
        <v>19081300</v>
      </c>
      <c r="H1947" s="3">
        <v>15843400</v>
      </c>
    </row>
    <row r="1948" spans="1:8" x14ac:dyDescent="0.35">
      <c r="A1948" t="str">
        <f t="shared" si="43"/>
        <v>40251</v>
      </c>
      <c r="B1948" t="s">
        <v>36</v>
      </c>
      <c r="C1948" t="s">
        <v>822</v>
      </c>
      <c r="D1948" s="5" t="str">
        <f>"081"</f>
        <v>081</v>
      </c>
      <c r="E1948" s="5">
        <v>2015</v>
      </c>
      <c r="F1948" s="3">
        <v>2689200</v>
      </c>
      <c r="G1948" s="3">
        <v>33434100</v>
      </c>
      <c r="H1948" s="3">
        <v>30744900</v>
      </c>
    </row>
    <row r="1949" spans="1:8" x14ac:dyDescent="0.35">
      <c r="A1949" t="str">
        <f t="shared" si="43"/>
        <v>40251</v>
      </c>
      <c r="B1949" t="s">
        <v>36</v>
      </c>
      <c r="C1949" t="s">
        <v>822</v>
      </c>
      <c r="D1949" s="5" t="str">
        <f>"082"</f>
        <v>082</v>
      </c>
      <c r="E1949" s="5">
        <v>2015</v>
      </c>
      <c r="F1949" s="3">
        <v>5474100</v>
      </c>
      <c r="G1949" s="3">
        <v>206066500</v>
      </c>
      <c r="H1949" s="3">
        <v>200592400</v>
      </c>
    </row>
    <row r="1950" spans="1:8" x14ac:dyDescent="0.35">
      <c r="A1950" t="str">
        <f t="shared" si="43"/>
        <v>40251</v>
      </c>
      <c r="B1950" t="s">
        <v>36</v>
      </c>
      <c r="C1950" t="s">
        <v>822</v>
      </c>
      <c r="D1950" s="5" t="str">
        <f>"083"</f>
        <v>083</v>
      </c>
      <c r="E1950" s="5">
        <v>2015</v>
      </c>
      <c r="F1950" s="3">
        <v>4876000</v>
      </c>
      <c r="G1950" s="3">
        <v>57606000</v>
      </c>
      <c r="H1950" s="3">
        <v>52730000</v>
      </c>
    </row>
    <row r="1951" spans="1:8" x14ac:dyDescent="0.35">
      <c r="A1951" t="str">
        <f t="shared" si="43"/>
        <v>40251</v>
      </c>
      <c r="B1951" t="s">
        <v>36</v>
      </c>
      <c r="C1951" t="s">
        <v>822</v>
      </c>
      <c r="D1951" s="5" t="str">
        <f>"084"</f>
        <v>084</v>
      </c>
      <c r="E1951" s="5">
        <v>2015</v>
      </c>
      <c r="F1951" s="3">
        <v>50589100</v>
      </c>
      <c r="G1951" s="3">
        <v>289552300</v>
      </c>
      <c r="H1951" s="3">
        <v>238963200</v>
      </c>
    </row>
    <row r="1952" spans="1:8" x14ac:dyDescent="0.35">
      <c r="A1952" t="str">
        <f t="shared" si="43"/>
        <v>40251</v>
      </c>
      <c r="B1952" t="s">
        <v>36</v>
      </c>
      <c r="C1952" t="s">
        <v>822</v>
      </c>
      <c r="D1952" s="5" t="str">
        <f>"085"</f>
        <v>085</v>
      </c>
      <c r="E1952" s="5">
        <v>2015</v>
      </c>
      <c r="F1952" s="3">
        <v>31096400</v>
      </c>
      <c r="G1952" s="3">
        <v>107189800</v>
      </c>
      <c r="H1952" s="3">
        <v>76093400</v>
      </c>
    </row>
    <row r="1953" spans="1:8" x14ac:dyDescent="0.35">
      <c r="A1953" t="str">
        <f t="shared" si="43"/>
        <v>40251</v>
      </c>
      <c r="B1953" t="s">
        <v>36</v>
      </c>
      <c r="C1953" t="s">
        <v>822</v>
      </c>
      <c r="D1953" s="5" t="str">
        <f>"086"</f>
        <v>086</v>
      </c>
      <c r="E1953" s="5">
        <v>2016</v>
      </c>
      <c r="F1953" s="3">
        <v>3240700</v>
      </c>
      <c r="G1953" s="3">
        <v>6165500</v>
      </c>
      <c r="H1953" s="3">
        <v>2924800</v>
      </c>
    </row>
    <row r="1954" spans="1:8" x14ac:dyDescent="0.35">
      <c r="A1954" t="str">
        <f t="shared" si="43"/>
        <v>40251</v>
      </c>
      <c r="B1954" t="s">
        <v>36</v>
      </c>
      <c r="C1954" t="s">
        <v>822</v>
      </c>
      <c r="D1954" s="5" t="str">
        <f>"087"</f>
        <v>087</v>
      </c>
      <c r="E1954" s="5">
        <v>2016</v>
      </c>
      <c r="F1954" s="3">
        <v>229000</v>
      </c>
      <c r="G1954" s="3">
        <v>3503200</v>
      </c>
      <c r="H1954" s="3">
        <v>3274200</v>
      </c>
    </row>
    <row r="1955" spans="1:8" x14ac:dyDescent="0.35">
      <c r="A1955" t="str">
        <f t="shared" ref="A1955:A1986" si="44">"40251"</f>
        <v>40251</v>
      </c>
      <c r="B1955" t="s">
        <v>36</v>
      </c>
      <c r="C1955" t="s">
        <v>822</v>
      </c>
      <c r="D1955" s="5" t="str">
        <f>"089"</f>
        <v>089</v>
      </c>
      <c r="E1955" s="5">
        <v>2017</v>
      </c>
      <c r="F1955" s="3">
        <v>0</v>
      </c>
      <c r="G1955" s="3">
        <v>4133200</v>
      </c>
      <c r="H1955" s="3">
        <v>4133200</v>
      </c>
    </row>
    <row r="1956" spans="1:8" x14ac:dyDescent="0.35">
      <c r="A1956" t="str">
        <f t="shared" si="44"/>
        <v>40251</v>
      </c>
      <c r="B1956" t="s">
        <v>36</v>
      </c>
      <c r="C1956" t="s">
        <v>822</v>
      </c>
      <c r="D1956" s="5" t="str">
        <f>"090"</f>
        <v>090</v>
      </c>
      <c r="E1956" s="5">
        <v>2017</v>
      </c>
      <c r="F1956" s="3">
        <v>276600</v>
      </c>
      <c r="G1956" s="3">
        <v>2287500</v>
      </c>
      <c r="H1956" s="3">
        <v>2010900</v>
      </c>
    </row>
    <row r="1957" spans="1:8" x14ac:dyDescent="0.35">
      <c r="A1957" t="str">
        <f t="shared" si="44"/>
        <v>40251</v>
      </c>
      <c r="B1957" t="s">
        <v>36</v>
      </c>
      <c r="C1957" t="s">
        <v>822</v>
      </c>
      <c r="D1957" s="5" t="str">
        <f>"091"</f>
        <v>091</v>
      </c>
      <c r="E1957" s="5">
        <v>2017</v>
      </c>
      <c r="F1957" s="3">
        <v>58921600</v>
      </c>
      <c r="G1957" s="3">
        <v>53740500</v>
      </c>
      <c r="H1957" s="3">
        <v>0</v>
      </c>
    </row>
    <row r="1958" spans="1:8" x14ac:dyDescent="0.35">
      <c r="A1958" t="str">
        <f t="shared" si="44"/>
        <v>40251</v>
      </c>
      <c r="B1958" t="s">
        <v>36</v>
      </c>
      <c r="C1958" t="s">
        <v>822</v>
      </c>
      <c r="D1958" s="5" t="str">
        <f>"092"</f>
        <v>092</v>
      </c>
      <c r="E1958" s="5">
        <v>2017</v>
      </c>
      <c r="F1958" s="3">
        <v>1007800</v>
      </c>
      <c r="G1958" s="3">
        <v>4450400</v>
      </c>
      <c r="H1958" s="3">
        <v>3442600</v>
      </c>
    </row>
    <row r="1959" spans="1:8" x14ac:dyDescent="0.35">
      <c r="A1959" t="str">
        <f t="shared" si="44"/>
        <v>40251</v>
      </c>
      <c r="B1959" t="s">
        <v>36</v>
      </c>
      <c r="C1959" t="s">
        <v>822</v>
      </c>
      <c r="D1959" s="5" t="str">
        <f>"093"</f>
        <v>093</v>
      </c>
      <c r="E1959" s="5">
        <v>2018</v>
      </c>
      <c r="F1959" s="3">
        <v>756900</v>
      </c>
      <c r="G1959" s="3">
        <v>3196200</v>
      </c>
      <c r="H1959" s="3">
        <v>2439300</v>
      </c>
    </row>
    <row r="1960" spans="1:8" x14ac:dyDescent="0.35">
      <c r="A1960" t="str">
        <f t="shared" si="44"/>
        <v>40251</v>
      </c>
      <c r="B1960" t="s">
        <v>36</v>
      </c>
      <c r="C1960" t="s">
        <v>822</v>
      </c>
      <c r="D1960" s="5" t="str">
        <f>"094"</f>
        <v>094</v>
      </c>
      <c r="E1960" s="5">
        <v>2019</v>
      </c>
      <c r="F1960" s="3">
        <v>5468400</v>
      </c>
      <c r="G1960" s="3">
        <v>94190600</v>
      </c>
      <c r="H1960" s="3">
        <v>88722200</v>
      </c>
    </row>
    <row r="1961" spans="1:8" x14ac:dyDescent="0.35">
      <c r="A1961" t="str">
        <f t="shared" si="44"/>
        <v>40251</v>
      </c>
      <c r="B1961" t="s">
        <v>36</v>
      </c>
      <c r="C1961" t="s">
        <v>822</v>
      </c>
      <c r="D1961" s="5" t="str">
        <f>"095"</f>
        <v>095</v>
      </c>
      <c r="E1961" s="5">
        <v>2019</v>
      </c>
      <c r="F1961" s="3">
        <v>88600</v>
      </c>
      <c r="G1961" s="3">
        <v>1890200</v>
      </c>
      <c r="H1961" s="3">
        <v>1801600</v>
      </c>
    </row>
    <row r="1962" spans="1:8" x14ac:dyDescent="0.35">
      <c r="A1962" t="str">
        <f t="shared" si="44"/>
        <v>40251</v>
      </c>
      <c r="B1962" t="s">
        <v>36</v>
      </c>
      <c r="C1962" t="s">
        <v>822</v>
      </c>
      <c r="D1962" s="5" t="str">
        <f>"096"</f>
        <v>096</v>
      </c>
      <c r="E1962" s="5">
        <v>2019</v>
      </c>
      <c r="F1962" s="3">
        <v>3810100</v>
      </c>
      <c r="G1962" s="3">
        <v>169598100</v>
      </c>
      <c r="H1962" s="3">
        <v>165788000</v>
      </c>
    </row>
    <row r="1963" spans="1:8" x14ac:dyDescent="0.35">
      <c r="A1963" t="str">
        <f t="shared" si="44"/>
        <v>40251</v>
      </c>
      <c r="B1963" t="s">
        <v>36</v>
      </c>
      <c r="C1963" t="s">
        <v>822</v>
      </c>
      <c r="D1963" s="5" t="str">
        <f>"097"</f>
        <v>097</v>
      </c>
      <c r="E1963" s="5">
        <v>2019</v>
      </c>
      <c r="F1963" s="3">
        <v>36238200</v>
      </c>
      <c r="G1963" s="3">
        <v>80322200</v>
      </c>
      <c r="H1963" s="3">
        <v>44084000</v>
      </c>
    </row>
    <row r="1964" spans="1:8" x14ac:dyDescent="0.35">
      <c r="A1964" t="str">
        <f t="shared" si="44"/>
        <v>40251</v>
      </c>
      <c r="B1964" t="s">
        <v>36</v>
      </c>
      <c r="C1964" t="s">
        <v>822</v>
      </c>
      <c r="D1964" s="5" t="str">
        <f>"098"</f>
        <v>098</v>
      </c>
      <c r="E1964" s="5">
        <v>2019</v>
      </c>
      <c r="F1964" s="3">
        <v>1482800</v>
      </c>
      <c r="G1964" s="3">
        <v>449800</v>
      </c>
      <c r="H1964" s="3">
        <v>0</v>
      </c>
    </row>
    <row r="1965" spans="1:8" x14ac:dyDescent="0.35">
      <c r="A1965" t="str">
        <f t="shared" si="44"/>
        <v>40251</v>
      </c>
      <c r="B1965" t="s">
        <v>36</v>
      </c>
      <c r="C1965" t="s">
        <v>822</v>
      </c>
      <c r="D1965" s="5" t="str">
        <f>"099"</f>
        <v>099</v>
      </c>
      <c r="E1965" s="5">
        <v>2019</v>
      </c>
      <c r="F1965" s="3">
        <v>393400</v>
      </c>
      <c r="G1965" s="3">
        <v>20270800</v>
      </c>
      <c r="H1965" s="3">
        <v>19877400</v>
      </c>
    </row>
    <row r="1966" spans="1:8" x14ac:dyDescent="0.35">
      <c r="A1966" t="str">
        <f t="shared" si="44"/>
        <v>40251</v>
      </c>
      <c r="B1966" t="s">
        <v>36</v>
      </c>
      <c r="C1966" t="s">
        <v>822</v>
      </c>
      <c r="D1966" s="5" t="str">
        <f>"100"</f>
        <v>100</v>
      </c>
      <c r="E1966" s="5">
        <v>2019</v>
      </c>
      <c r="F1966" s="3">
        <v>2068000</v>
      </c>
      <c r="G1966" s="3">
        <v>31708300</v>
      </c>
      <c r="H1966" s="3">
        <v>29640300</v>
      </c>
    </row>
    <row r="1967" spans="1:8" x14ac:dyDescent="0.35">
      <c r="A1967" t="str">
        <f t="shared" si="44"/>
        <v>40251</v>
      </c>
      <c r="B1967" t="s">
        <v>36</v>
      </c>
      <c r="C1967" t="s">
        <v>822</v>
      </c>
      <c r="D1967" s="5" t="str">
        <f>"102"</f>
        <v>102</v>
      </c>
      <c r="E1967" s="5">
        <v>2020</v>
      </c>
      <c r="F1967" s="3">
        <v>3723400</v>
      </c>
      <c r="G1967" s="3">
        <v>37813700</v>
      </c>
      <c r="H1967" s="3">
        <v>34090300</v>
      </c>
    </row>
    <row r="1968" spans="1:8" x14ac:dyDescent="0.35">
      <c r="A1968" t="str">
        <f t="shared" si="44"/>
        <v>40251</v>
      </c>
      <c r="B1968" t="s">
        <v>36</v>
      </c>
      <c r="C1968" t="s">
        <v>822</v>
      </c>
      <c r="D1968" s="5" t="str">
        <f>"103"</f>
        <v>103</v>
      </c>
      <c r="E1968" s="5">
        <v>2020</v>
      </c>
      <c r="F1968" s="3">
        <v>0</v>
      </c>
      <c r="G1968" s="3">
        <v>4436500</v>
      </c>
      <c r="H1968" s="3">
        <v>4436500</v>
      </c>
    </row>
    <row r="1969" spans="1:8" x14ac:dyDescent="0.35">
      <c r="A1969" t="str">
        <f t="shared" si="44"/>
        <v>40251</v>
      </c>
      <c r="B1969" t="s">
        <v>36</v>
      </c>
      <c r="C1969" t="s">
        <v>822</v>
      </c>
      <c r="D1969" s="5" t="str">
        <f>"104"</f>
        <v>104</v>
      </c>
      <c r="E1969" s="5">
        <v>2020</v>
      </c>
      <c r="F1969" s="3">
        <v>0</v>
      </c>
      <c r="G1969" s="3">
        <v>1974900</v>
      </c>
      <c r="H1969" s="3">
        <v>1974900</v>
      </c>
    </row>
    <row r="1970" spans="1:8" x14ac:dyDescent="0.35">
      <c r="A1970" t="str">
        <f t="shared" si="44"/>
        <v>40251</v>
      </c>
      <c r="B1970" t="s">
        <v>36</v>
      </c>
      <c r="C1970" t="s">
        <v>822</v>
      </c>
      <c r="D1970" s="5" t="str">
        <f>"105"</f>
        <v>105</v>
      </c>
      <c r="E1970" s="5">
        <v>2020</v>
      </c>
      <c r="F1970" s="3">
        <v>1279900</v>
      </c>
      <c r="G1970" s="3">
        <v>9068300</v>
      </c>
      <c r="H1970" s="3">
        <v>7788400</v>
      </c>
    </row>
    <row r="1971" spans="1:8" x14ac:dyDescent="0.35">
      <c r="A1971" t="str">
        <f t="shared" si="44"/>
        <v>40251</v>
      </c>
      <c r="B1971" t="s">
        <v>36</v>
      </c>
      <c r="C1971" t="s">
        <v>822</v>
      </c>
      <c r="D1971" s="5" t="str">
        <f>"106"</f>
        <v>106</v>
      </c>
      <c r="E1971" s="5">
        <v>2020</v>
      </c>
      <c r="F1971" s="3">
        <v>0</v>
      </c>
      <c r="G1971" s="3">
        <v>3846700</v>
      </c>
      <c r="H1971" s="3">
        <v>3846700</v>
      </c>
    </row>
    <row r="1972" spans="1:8" x14ac:dyDescent="0.35">
      <c r="A1972" t="str">
        <f t="shared" si="44"/>
        <v>40251</v>
      </c>
      <c r="B1972" t="s">
        <v>36</v>
      </c>
      <c r="C1972" t="s">
        <v>822</v>
      </c>
      <c r="D1972" s="5" t="str">
        <f>"107"</f>
        <v>107</v>
      </c>
      <c r="E1972" s="5">
        <v>2021</v>
      </c>
      <c r="F1972" s="3">
        <v>0</v>
      </c>
      <c r="G1972" s="3">
        <v>3587900</v>
      </c>
      <c r="H1972" s="3">
        <v>3587900</v>
      </c>
    </row>
    <row r="1973" spans="1:8" x14ac:dyDescent="0.35">
      <c r="A1973" t="str">
        <f t="shared" si="44"/>
        <v>40251</v>
      </c>
      <c r="B1973" t="s">
        <v>36</v>
      </c>
      <c r="C1973" t="s">
        <v>822</v>
      </c>
      <c r="D1973" s="5" t="str">
        <f>"108"</f>
        <v>108</v>
      </c>
      <c r="E1973" s="5">
        <v>2021</v>
      </c>
      <c r="F1973" s="3">
        <v>4416500</v>
      </c>
      <c r="G1973" s="3">
        <v>134038200</v>
      </c>
      <c r="H1973" s="3">
        <v>129621700</v>
      </c>
    </row>
    <row r="1974" spans="1:8" x14ac:dyDescent="0.35">
      <c r="A1974" t="str">
        <f t="shared" si="44"/>
        <v>40251</v>
      </c>
      <c r="B1974" t="s">
        <v>36</v>
      </c>
      <c r="C1974" t="s">
        <v>822</v>
      </c>
      <c r="D1974" s="5" t="str">
        <f>"109"</f>
        <v>109</v>
      </c>
      <c r="E1974" s="5">
        <v>2022</v>
      </c>
      <c r="F1974" s="3">
        <v>402700</v>
      </c>
      <c r="G1974" s="3">
        <v>7490000</v>
      </c>
      <c r="H1974" s="3">
        <v>7087300</v>
      </c>
    </row>
    <row r="1975" spans="1:8" x14ac:dyDescent="0.35">
      <c r="A1975" t="str">
        <f t="shared" si="44"/>
        <v>40251</v>
      </c>
      <c r="B1975" t="s">
        <v>36</v>
      </c>
      <c r="C1975" t="s">
        <v>822</v>
      </c>
      <c r="D1975" s="5" t="str">
        <f>"110"</f>
        <v>110</v>
      </c>
      <c r="E1975" s="5">
        <v>2023</v>
      </c>
      <c r="F1975" s="3">
        <v>35570700</v>
      </c>
      <c r="G1975" s="3">
        <v>40120700</v>
      </c>
      <c r="H1975" s="3">
        <v>4550000</v>
      </c>
    </row>
    <row r="1976" spans="1:8" x14ac:dyDescent="0.35">
      <c r="A1976" t="str">
        <f t="shared" si="44"/>
        <v>40251</v>
      </c>
      <c r="B1976" t="s">
        <v>36</v>
      </c>
      <c r="C1976" t="s">
        <v>822</v>
      </c>
      <c r="D1976" s="5" t="str">
        <f>"111"</f>
        <v>111</v>
      </c>
      <c r="E1976" s="5">
        <v>2023</v>
      </c>
      <c r="F1976" s="3">
        <v>4655500</v>
      </c>
      <c r="G1976" s="3">
        <v>5759600</v>
      </c>
      <c r="H1976" s="3">
        <v>1104100</v>
      </c>
    </row>
    <row r="1977" spans="1:8" x14ac:dyDescent="0.35">
      <c r="A1977" t="str">
        <f t="shared" si="44"/>
        <v>40251</v>
      </c>
      <c r="B1977" t="s">
        <v>36</v>
      </c>
      <c r="C1977" t="s">
        <v>822</v>
      </c>
      <c r="D1977" s="5" t="str">
        <f>"112"</f>
        <v>112</v>
      </c>
      <c r="E1977" s="5">
        <v>2023</v>
      </c>
      <c r="F1977" s="3">
        <v>614400</v>
      </c>
      <c r="G1977" s="3">
        <v>7746800</v>
      </c>
      <c r="H1977" s="3">
        <v>7132400</v>
      </c>
    </row>
    <row r="1978" spans="1:8" x14ac:dyDescent="0.35">
      <c r="A1978" t="str">
        <f t="shared" si="44"/>
        <v>40251</v>
      </c>
      <c r="B1978" t="s">
        <v>36</v>
      </c>
      <c r="C1978" t="s">
        <v>822</v>
      </c>
      <c r="D1978" s="5" t="str">
        <f>"113"</f>
        <v>113</v>
      </c>
      <c r="E1978" s="5">
        <v>2023</v>
      </c>
      <c r="F1978" s="3">
        <v>0</v>
      </c>
      <c r="G1978" s="3">
        <v>2519600</v>
      </c>
      <c r="H1978" s="3">
        <v>2519600</v>
      </c>
    </row>
    <row r="1979" spans="1:8" x14ac:dyDescent="0.35">
      <c r="A1979" t="str">
        <f t="shared" si="44"/>
        <v>40251</v>
      </c>
      <c r="B1979" t="s">
        <v>36</v>
      </c>
      <c r="C1979" t="s">
        <v>822</v>
      </c>
      <c r="D1979" s="5" t="str">
        <f>"114"</f>
        <v>114</v>
      </c>
      <c r="E1979" s="5">
        <v>2023</v>
      </c>
      <c r="F1979" s="3">
        <v>0</v>
      </c>
      <c r="G1979" s="3">
        <v>2712500</v>
      </c>
      <c r="H1979" s="3">
        <v>2712500</v>
      </c>
    </row>
    <row r="1980" spans="1:8" x14ac:dyDescent="0.35">
      <c r="A1980" t="str">
        <f t="shared" si="44"/>
        <v>40251</v>
      </c>
      <c r="B1980" t="s">
        <v>36</v>
      </c>
      <c r="C1980" t="s">
        <v>822</v>
      </c>
      <c r="D1980" s="5" t="str">
        <f>"115"</f>
        <v>115</v>
      </c>
      <c r="E1980" s="5">
        <v>2023</v>
      </c>
      <c r="F1980" s="3">
        <v>86268800</v>
      </c>
      <c r="G1980" s="3">
        <v>167769100</v>
      </c>
      <c r="H1980" s="3">
        <v>81500300</v>
      </c>
    </row>
    <row r="1981" spans="1:8" x14ac:dyDescent="0.35">
      <c r="A1981" t="str">
        <f t="shared" si="44"/>
        <v>40251</v>
      </c>
      <c r="B1981" t="s">
        <v>36</v>
      </c>
      <c r="C1981" t="s">
        <v>822</v>
      </c>
      <c r="D1981" s="5" t="str">
        <f>"116"</f>
        <v>116</v>
      </c>
      <c r="E1981" s="5">
        <v>2023</v>
      </c>
      <c r="F1981" s="3">
        <v>209800</v>
      </c>
      <c r="G1981" s="3">
        <v>6511600</v>
      </c>
      <c r="H1981" s="3">
        <v>6301800</v>
      </c>
    </row>
    <row r="1982" spans="1:8" x14ac:dyDescent="0.35">
      <c r="A1982" t="str">
        <f t="shared" si="44"/>
        <v>40251</v>
      </c>
      <c r="B1982" t="s">
        <v>36</v>
      </c>
      <c r="C1982" t="s">
        <v>822</v>
      </c>
      <c r="D1982" s="5" t="str">
        <f>"117"</f>
        <v>117</v>
      </c>
      <c r="E1982" s="5">
        <v>2023</v>
      </c>
      <c r="F1982" s="3">
        <v>1572400</v>
      </c>
      <c r="G1982" s="3">
        <v>33175800</v>
      </c>
      <c r="H1982" s="3">
        <v>31603400</v>
      </c>
    </row>
    <row r="1983" spans="1:8" x14ac:dyDescent="0.35">
      <c r="A1983" t="str">
        <f t="shared" si="44"/>
        <v>40251</v>
      </c>
      <c r="B1983" t="s">
        <v>36</v>
      </c>
      <c r="C1983" t="s">
        <v>822</v>
      </c>
      <c r="D1983" s="5" t="str">
        <f>"118"</f>
        <v>118</v>
      </c>
      <c r="E1983" s="5">
        <v>2024</v>
      </c>
      <c r="F1983" s="3">
        <v>1066100</v>
      </c>
      <c r="G1983" s="3">
        <v>6900300</v>
      </c>
      <c r="H1983" s="3">
        <v>5834200</v>
      </c>
    </row>
    <row r="1984" spans="1:8" x14ac:dyDescent="0.35">
      <c r="A1984" t="str">
        <f t="shared" si="44"/>
        <v>40251</v>
      </c>
      <c r="B1984" t="s">
        <v>36</v>
      </c>
      <c r="C1984" t="s">
        <v>822</v>
      </c>
      <c r="D1984" s="5" t="str">
        <f>"119"</f>
        <v>119</v>
      </c>
      <c r="E1984" s="5">
        <v>2024</v>
      </c>
      <c r="F1984" s="3">
        <v>4809400</v>
      </c>
      <c r="G1984" s="3">
        <v>14542600</v>
      </c>
      <c r="H1984" s="3">
        <v>9733200</v>
      </c>
    </row>
    <row r="1985" spans="1:9" x14ac:dyDescent="0.35">
      <c r="A1985" t="str">
        <f t="shared" si="44"/>
        <v>40251</v>
      </c>
      <c r="B1985" t="s">
        <v>36</v>
      </c>
      <c r="C1985" t="s">
        <v>822</v>
      </c>
      <c r="D1985" s="5" t="str">
        <f>"120"</f>
        <v>120</v>
      </c>
      <c r="E1985" s="5">
        <v>2024</v>
      </c>
      <c r="F1985" s="3">
        <v>0</v>
      </c>
      <c r="G1985" s="3">
        <v>0</v>
      </c>
      <c r="H1985" s="3">
        <v>0</v>
      </c>
    </row>
    <row r="1986" spans="1:9" x14ac:dyDescent="0.35">
      <c r="A1986" t="str">
        <f t="shared" si="44"/>
        <v>40251</v>
      </c>
      <c r="B1986" t="s">
        <v>36</v>
      </c>
      <c r="C1986" t="s">
        <v>822</v>
      </c>
      <c r="D1986" s="5" t="str">
        <f>"121"</f>
        <v>121</v>
      </c>
      <c r="E1986" s="5">
        <v>2024</v>
      </c>
      <c r="F1986" s="3">
        <v>0</v>
      </c>
      <c r="G1986" s="3">
        <v>4462100</v>
      </c>
      <c r="H1986" s="3">
        <v>4462100</v>
      </c>
    </row>
    <row r="1987" spans="1:9" x14ac:dyDescent="0.35">
      <c r="A1987" t="str">
        <f t="shared" ref="A1987:A1995" si="45">"40251"</f>
        <v>40251</v>
      </c>
      <c r="B1987" t="s">
        <v>36</v>
      </c>
      <c r="C1987" t="s">
        <v>822</v>
      </c>
      <c r="D1987" s="5" t="str">
        <f>"122"</f>
        <v>122</v>
      </c>
      <c r="E1987" s="5">
        <v>2025</v>
      </c>
      <c r="F1987" s="3">
        <v>2056500</v>
      </c>
      <c r="G1987" s="3">
        <v>2056100</v>
      </c>
      <c r="H1987" s="3">
        <v>0</v>
      </c>
    </row>
    <row r="1988" spans="1:9" x14ac:dyDescent="0.35">
      <c r="A1988" t="str">
        <f t="shared" si="45"/>
        <v>40251</v>
      </c>
      <c r="B1988" t="s">
        <v>36</v>
      </c>
      <c r="C1988" t="s">
        <v>822</v>
      </c>
      <c r="D1988" s="5" t="str">
        <f>"123"</f>
        <v>123</v>
      </c>
      <c r="E1988" s="5">
        <v>2025</v>
      </c>
      <c r="F1988" s="3">
        <v>233900</v>
      </c>
      <c r="G1988" s="3">
        <v>4202100</v>
      </c>
      <c r="H1988" s="3">
        <v>3968200</v>
      </c>
    </row>
    <row r="1989" spans="1:9" x14ac:dyDescent="0.35">
      <c r="A1989" t="str">
        <f t="shared" si="45"/>
        <v>40251</v>
      </c>
      <c r="B1989" t="s">
        <v>36</v>
      </c>
      <c r="C1989" t="s">
        <v>822</v>
      </c>
      <c r="D1989" s="5" t="str">
        <f>"124"</f>
        <v>124</v>
      </c>
      <c r="E1989" s="5">
        <v>2025</v>
      </c>
      <c r="F1989" s="3">
        <v>14388100</v>
      </c>
      <c r="G1989" s="3">
        <v>17059600</v>
      </c>
      <c r="H1989" s="3">
        <v>2671500</v>
      </c>
    </row>
    <row r="1990" spans="1:9" x14ac:dyDescent="0.35">
      <c r="A1990" t="str">
        <f t="shared" si="45"/>
        <v>40251</v>
      </c>
      <c r="B1990" t="s">
        <v>36</v>
      </c>
      <c r="C1990" t="s">
        <v>822</v>
      </c>
      <c r="D1990" s="5" t="str">
        <f>"125"</f>
        <v>125</v>
      </c>
      <c r="E1990" s="5">
        <v>2025</v>
      </c>
      <c r="F1990" s="3">
        <v>0</v>
      </c>
      <c r="G1990" s="3">
        <v>750000</v>
      </c>
      <c r="H1990" s="3">
        <v>750000</v>
      </c>
    </row>
    <row r="1991" spans="1:9" x14ac:dyDescent="0.35">
      <c r="A1991" t="str">
        <f t="shared" si="45"/>
        <v>40251</v>
      </c>
      <c r="B1991" t="s">
        <v>36</v>
      </c>
      <c r="C1991" t="s">
        <v>822</v>
      </c>
      <c r="D1991" s="5" t="str">
        <f>"126"</f>
        <v>126</v>
      </c>
      <c r="E1991" s="5">
        <v>2025</v>
      </c>
      <c r="F1991" s="3">
        <v>0</v>
      </c>
      <c r="G1991" s="3">
        <v>0</v>
      </c>
      <c r="H1991" s="3">
        <v>0</v>
      </c>
    </row>
    <row r="1992" spans="1:9" x14ac:dyDescent="0.35">
      <c r="A1992" t="str">
        <f t="shared" si="45"/>
        <v>40251</v>
      </c>
      <c r="B1992" t="s">
        <v>36</v>
      </c>
      <c r="C1992" t="s">
        <v>822</v>
      </c>
      <c r="D1992" s="5" t="str">
        <f>"127"</f>
        <v>127</v>
      </c>
      <c r="E1992" s="5">
        <v>2025</v>
      </c>
      <c r="F1992" s="3">
        <v>24609700</v>
      </c>
      <c r="G1992" s="3">
        <v>24620000</v>
      </c>
      <c r="H1992" s="3">
        <v>10300</v>
      </c>
    </row>
    <row r="1993" spans="1:9" x14ac:dyDescent="0.35">
      <c r="A1993" t="str">
        <f t="shared" si="45"/>
        <v>40251</v>
      </c>
      <c r="B1993" t="s">
        <v>36</v>
      </c>
      <c r="C1993" t="s">
        <v>822</v>
      </c>
      <c r="D1993" s="5" t="str">
        <f>"128"</f>
        <v>128</v>
      </c>
      <c r="E1993" s="5">
        <v>2025</v>
      </c>
      <c r="F1993" s="3">
        <v>0</v>
      </c>
      <c r="G1993" s="3">
        <v>0</v>
      </c>
      <c r="H1993" s="3">
        <v>0</v>
      </c>
    </row>
    <row r="1994" spans="1:9" x14ac:dyDescent="0.35">
      <c r="A1994" t="str">
        <f t="shared" si="45"/>
        <v>40251</v>
      </c>
      <c r="B1994" t="s">
        <v>36</v>
      </c>
      <c r="C1994" t="s">
        <v>822</v>
      </c>
      <c r="D1994" s="5" t="str">
        <f>"129"</f>
        <v>129</v>
      </c>
      <c r="E1994" s="5">
        <v>2025</v>
      </c>
      <c r="F1994" s="3">
        <v>2650500</v>
      </c>
      <c r="G1994" s="3">
        <v>2612700</v>
      </c>
      <c r="H1994" s="3">
        <v>0</v>
      </c>
    </row>
    <row r="1995" spans="1:9" x14ac:dyDescent="0.35">
      <c r="A1995" t="str">
        <f t="shared" si="45"/>
        <v>40251</v>
      </c>
      <c r="B1995" t="s">
        <v>36</v>
      </c>
      <c r="C1995" t="s">
        <v>822</v>
      </c>
      <c r="D1995" s="5" t="s">
        <v>11</v>
      </c>
      <c r="E1995" s="5" t="s">
        <v>12</v>
      </c>
      <c r="F1995" s="3" t="s">
        <v>13</v>
      </c>
      <c r="G1995" s="3" t="s">
        <v>13</v>
      </c>
      <c r="H1995" s="3" t="s">
        <v>13</v>
      </c>
      <c r="I1995" s="3">
        <v>48242154700</v>
      </c>
    </row>
    <row r="1996" spans="1:9" x14ac:dyDescent="0.35">
      <c r="A1996" t="str">
        <f t="shared" ref="A1996:A2004" si="46">"40265"</f>
        <v>40265</v>
      </c>
      <c r="B1996" t="s">
        <v>36</v>
      </c>
      <c r="C1996" t="s">
        <v>823</v>
      </c>
      <c r="D1996" s="5" t="str">
        <f>"008"</f>
        <v>008</v>
      </c>
      <c r="E1996" s="5">
        <v>2009</v>
      </c>
      <c r="F1996" s="3">
        <v>22103700</v>
      </c>
      <c r="G1996" s="3">
        <v>183348500</v>
      </c>
      <c r="H1996" s="3">
        <v>161244800</v>
      </c>
    </row>
    <row r="1997" spans="1:9" x14ac:dyDescent="0.35">
      <c r="A1997" t="str">
        <f t="shared" si="46"/>
        <v>40265</v>
      </c>
      <c r="B1997" t="s">
        <v>36</v>
      </c>
      <c r="C1997" t="s">
        <v>823</v>
      </c>
      <c r="D1997" s="5" t="str">
        <f>"010"</f>
        <v>010</v>
      </c>
      <c r="E1997" s="5">
        <v>2010</v>
      </c>
      <c r="F1997" s="3">
        <v>18068100</v>
      </c>
      <c r="G1997" s="3">
        <v>40134400</v>
      </c>
      <c r="H1997" s="3">
        <v>22066300</v>
      </c>
    </row>
    <row r="1998" spans="1:9" x14ac:dyDescent="0.35">
      <c r="A1998" t="str">
        <f t="shared" si="46"/>
        <v>40265</v>
      </c>
      <c r="B1998" t="s">
        <v>36</v>
      </c>
      <c r="C1998" t="s">
        <v>823</v>
      </c>
      <c r="D1998" s="5" t="str">
        <f>"011"</f>
        <v>011</v>
      </c>
      <c r="E1998" s="5">
        <v>2012</v>
      </c>
      <c r="F1998" s="3">
        <v>12738500</v>
      </c>
      <c r="G1998" s="3">
        <v>254771800</v>
      </c>
      <c r="H1998" s="3">
        <v>242033300</v>
      </c>
    </row>
    <row r="1999" spans="1:9" x14ac:dyDescent="0.35">
      <c r="A1999" t="str">
        <f t="shared" si="46"/>
        <v>40265</v>
      </c>
      <c r="B1999" t="s">
        <v>36</v>
      </c>
      <c r="C1999" t="s">
        <v>823</v>
      </c>
      <c r="D1999" s="5" t="str">
        <f>"012"</f>
        <v>012</v>
      </c>
      <c r="E1999" s="5">
        <v>2016</v>
      </c>
      <c r="F1999" s="3">
        <v>3738200</v>
      </c>
      <c r="G1999" s="3">
        <v>196104500</v>
      </c>
      <c r="H1999" s="3">
        <v>192366300</v>
      </c>
    </row>
    <row r="2000" spans="1:9" x14ac:dyDescent="0.35">
      <c r="A2000" t="str">
        <f t="shared" si="46"/>
        <v>40265</v>
      </c>
      <c r="B2000" t="s">
        <v>36</v>
      </c>
      <c r="C2000" t="s">
        <v>823</v>
      </c>
      <c r="D2000" s="5" t="str">
        <f>"013"</f>
        <v>013</v>
      </c>
      <c r="E2000" s="5">
        <v>2017</v>
      </c>
      <c r="F2000" s="3">
        <v>4703500</v>
      </c>
      <c r="G2000" s="3">
        <v>86530000</v>
      </c>
      <c r="H2000" s="3">
        <v>81826500</v>
      </c>
    </row>
    <row r="2001" spans="1:9" x14ac:dyDescent="0.35">
      <c r="A2001" t="str">
        <f t="shared" si="46"/>
        <v>40265</v>
      </c>
      <c r="B2001" t="s">
        <v>36</v>
      </c>
      <c r="C2001" t="s">
        <v>823</v>
      </c>
      <c r="D2001" s="5" t="str">
        <f>"014"</f>
        <v>014</v>
      </c>
      <c r="E2001" s="5">
        <v>2018</v>
      </c>
      <c r="F2001" s="3">
        <v>641300</v>
      </c>
      <c r="G2001" s="3">
        <v>11474700</v>
      </c>
      <c r="H2001" s="3">
        <v>10833400</v>
      </c>
    </row>
    <row r="2002" spans="1:9" x14ac:dyDescent="0.35">
      <c r="A2002" t="str">
        <f t="shared" si="46"/>
        <v>40265</v>
      </c>
      <c r="B2002" t="s">
        <v>36</v>
      </c>
      <c r="C2002" t="s">
        <v>823</v>
      </c>
      <c r="D2002" s="5" t="str">
        <f>"015"</f>
        <v>015</v>
      </c>
      <c r="E2002" s="5">
        <v>2018</v>
      </c>
      <c r="F2002" s="3">
        <v>1899900</v>
      </c>
      <c r="G2002" s="3">
        <v>9062700</v>
      </c>
      <c r="H2002" s="3">
        <v>7162800</v>
      </c>
    </row>
    <row r="2003" spans="1:9" x14ac:dyDescent="0.35">
      <c r="A2003" t="str">
        <f t="shared" si="46"/>
        <v>40265</v>
      </c>
      <c r="B2003" t="s">
        <v>36</v>
      </c>
      <c r="C2003" t="s">
        <v>823</v>
      </c>
      <c r="D2003" s="5" t="str">
        <f>"016"</f>
        <v>016</v>
      </c>
      <c r="E2003" s="5">
        <v>2018</v>
      </c>
      <c r="F2003" s="3">
        <v>1549200</v>
      </c>
      <c r="G2003" s="3">
        <v>180822600</v>
      </c>
      <c r="H2003" s="3">
        <v>179273400</v>
      </c>
    </row>
    <row r="2004" spans="1:9" x14ac:dyDescent="0.35">
      <c r="A2004" t="str">
        <f t="shared" si="46"/>
        <v>40265</v>
      </c>
      <c r="B2004" t="s">
        <v>36</v>
      </c>
      <c r="C2004" t="s">
        <v>823</v>
      </c>
      <c r="D2004" s="5" t="s">
        <v>11</v>
      </c>
      <c r="E2004" s="5" t="s">
        <v>12</v>
      </c>
      <c r="F2004" s="3" t="s">
        <v>13</v>
      </c>
      <c r="G2004" s="3" t="s">
        <v>13</v>
      </c>
      <c r="H2004" s="3" t="s">
        <v>13</v>
      </c>
      <c r="I2004" s="3">
        <v>5954130700</v>
      </c>
    </row>
    <row r="2005" spans="1:9" x14ac:dyDescent="0.35">
      <c r="A2005" t="str">
        <f>"40281"</f>
        <v>40281</v>
      </c>
      <c r="B2005" t="s">
        <v>36</v>
      </c>
      <c r="C2005" t="s">
        <v>824</v>
      </c>
      <c r="D2005" s="5" t="str">
        <f>"003"</f>
        <v>003</v>
      </c>
      <c r="E2005" s="5">
        <v>2006</v>
      </c>
      <c r="F2005" s="3">
        <v>56131300</v>
      </c>
      <c r="G2005" s="3">
        <v>72943900</v>
      </c>
      <c r="H2005" s="3">
        <v>16812600</v>
      </c>
    </row>
    <row r="2006" spans="1:9" x14ac:dyDescent="0.35">
      <c r="A2006" t="str">
        <f>"40281"</f>
        <v>40281</v>
      </c>
      <c r="B2006" t="s">
        <v>36</v>
      </c>
      <c r="C2006" t="s">
        <v>824</v>
      </c>
      <c r="D2006" s="5" t="str">
        <f>"004"</f>
        <v>004</v>
      </c>
      <c r="E2006" s="5">
        <v>2012</v>
      </c>
      <c r="F2006" s="3">
        <v>43597900</v>
      </c>
      <c r="G2006" s="3">
        <v>75428100</v>
      </c>
      <c r="H2006" s="3">
        <v>31830200</v>
      </c>
    </row>
    <row r="2007" spans="1:9" x14ac:dyDescent="0.35">
      <c r="A2007" t="str">
        <f>"40281"</f>
        <v>40281</v>
      </c>
      <c r="B2007" t="s">
        <v>36</v>
      </c>
      <c r="C2007" t="s">
        <v>824</v>
      </c>
      <c r="D2007" s="5" t="str">
        <f>"005"</f>
        <v>005</v>
      </c>
      <c r="E2007" s="5">
        <v>2015</v>
      </c>
      <c r="F2007" s="3">
        <v>80881500</v>
      </c>
      <c r="G2007" s="3">
        <v>270553100</v>
      </c>
      <c r="H2007" s="3">
        <v>189671600</v>
      </c>
    </row>
    <row r="2008" spans="1:9" x14ac:dyDescent="0.35">
      <c r="A2008" t="str">
        <f>"40281"</f>
        <v>40281</v>
      </c>
      <c r="B2008" t="s">
        <v>36</v>
      </c>
      <c r="C2008" t="s">
        <v>824</v>
      </c>
      <c r="D2008" s="5" t="s">
        <v>11</v>
      </c>
      <c r="E2008" s="5" t="s">
        <v>12</v>
      </c>
      <c r="F2008" s="3" t="s">
        <v>13</v>
      </c>
      <c r="G2008" s="3" t="s">
        <v>13</v>
      </c>
      <c r="H2008" s="3" t="s">
        <v>13</v>
      </c>
      <c r="I2008" s="3">
        <v>946018100</v>
      </c>
    </row>
    <row r="2009" spans="1:9" x14ac:dyDescent="0.35">
      <c r="A2009" t="str">
        <f>"40282"</f>
        <v>40282</v>
      </c>
      <c r="B2009" t="s">
        <v>36</v>
      </c>
      <c r="C2009" t="s">
        <v>825</v>
      </c>
      <c r="D2009" s="5" t="str">
        <f>"001"</f>
        <v>001</v>
      </c>
      <c r="E2009" s="5">
        <v>2000</v>
      </c>
      <c r="F2009" s="3">
        <v>6916200</v>
      </c>
      <c r="G2009" s="3">
        <v>36596200</v>
      </c>
      <c r="H2009" s="3">
        <v>29680000</v>
      </c>
    </row>
    <row r="2010" spans="1:9" x14ac:dyDescent="0.35">
      <c r="A2010" t="str">
        <f>"40282"</f>
        <v>40282</v>
      </c>
      <c r="B2010" t="s">
        <v>36</v>
      </c>
      <c r="C2010" t="s">
        <v>825</v>
      </c>
      <c r="D2010" s="5" t="str">
        <f>"002"</f>
        <v>002</v>
      </c>
      <c r="E2010" s="5">
        <v>2000</v>
      </c>
      <c r="F2010" s="3">
        <v>5873300</v>
      </c>
      <c r="G2010" s="3">
        <v>45926100</v>
      </c>
      <c r="H2010" s="3">
        <v>40052800</v>
      </c>
    </row>
    <row r="2011" spans="1:9" x14ac:dyDescent="0.35">
      <c r="A2011" t="str">
        <f>"40282"</f>
        <v>40282</v>
      </c>
      <c r="B2011" t="s">
        <v>36</v>
      </c>
      <c r="C2011" t="s">
        <v>825</v>
      </c>
      <c r="D2011" s="5" t="str">
        <f>"003"</f>
        <v>003</v>
      </c>
      <c r="E2011" s="5">
        <v>2005</v>
      </c>
      <c r="F2011" s="3">
        <v>15882400</v>
      </c>
      <c r="G2011" s="3">
        <v>50443500</v>
      </c>
      <c r="H2011" s="3">
        <v>34561100</v>
      </c>
    </row>
    <row r="2012" spans="1:9" x14ac:dyDescent="0.35">
      <c r="A2012" t="str">
        <f>"40282"</f>
        <v>40282</v>
      </c>
      <c r="B2012" t="s">
        <v>36</v>
      </c>
      <c r="C2012" t="s">
        <v>825</v>
      </c>
      <c r="D2012" s="5" t="str">
        <f>"005"</f>
        <v>005</v>
      </c>
      <c r="E2012" s="5">
        <v>2018</v>
      </c>
      <c r="F2012" s="3">
        <v>19946700</v>
      </c>
      <c r="G2012" s="3">
        <v>30883200</v>
      </c>
      <c r="H2012" s="3">
        <v>10936500</v>
      </c>
    </row>
    <row r="2013" spans="1:9" x14ac:dyDescent="0.35">
      <c r="A2013" t="str">
        <f>"40282"</f>
        <v>40282</v>
      </c>
      <c r="B2013" t="s">
        <v>36</v>
      </c>
      <c r="C2013" t="s">
        <v>825</v>
      </c>
      <c r="D2013" s="5" t="s">
        <v>11</v>
      </c>
      <c r="E2013" s="5" t="s">
        <v>12</v>
      </c>
      <c r="F2013" s="3" t="s">
        <v>13</v>
      </c>
      <c r="G2013" s="3" t="s">
        <v>13</v>
      </c>
      <c r="H2013" s="3" t="s">
        <v>13</v>
      </c>
      <c r="I2013" s="3">
        <v>2108752900</v>
      </c>
    </row>
    <row r="2014" spans="1:9" x14ac:dyDescent="0.35">
      <c r="A2014" t="str">
        <f t="shared" ref="A2014:A2024" si="47">"40291"</f>
        <v>40291</v>
      </c>
      <c r="B2014" t="s">
        <v>36</v>
      </c>
      <c r="C2014" t="s">
        <v>826</v>
      </c>
      <c r="D2014" s="5" t="str">
        <f>"006"</f>
        <v>006</v>
      </c>
      <c r="E2014" s="5">
        <v>2010</v>
      </c>
      <c r="F2014" s="3">
        <v>26768400</v>
      </c>
      <c r="G2014" s="3">
        <v>133136800</v>
      </c>
      <c r="H2014" s="3">
        <v>106368400</v>
      </c>
    </row>
    <row r="2015" spans="1:9" x14ac:dyDescent="0.35">
      <c r="A2015" t="str">
        <f t="shared" si="47"/>
        <v>40291</v>
      </c>
      <c r="B2015" t="s">
        <v>36</v>
      </c>
      <c r="C2015" t="s">
        <v>826</v>
      </c>
      <c r="D2015" s="5" t="str">
        <f>"007"</f>
        <v>007</v>
      </c>
      <c r="E2015" s="5">
        <v>2013</v>
      </c>
      <c r="F2015" s="3">
        <v>20811900</v>
      </c>
      <c r="G2015" s="3">
        <v>209591900</v>
      </c>
      <c r="H2015" s="3">
        <v>188780000</v>
      </c>
    </row>
    <row r="2016" spans="1:9" x14ac:dyDescent="0.35">
      <c r="A2016" t="str">
        <f t="shared" si="47"/>
        <v>40291</v>
      </c>
      <c r="B2016" t="s">
        <v>36</v>
      </c>
      <c r="C2016" t="s">
        <v>826</v>
      </c>
      <c r="D2016" s="5" t="str">
        <f>"008"</f>
        <v>008</v>
      </c>
      <c r="E2016" s="5">
        <v>2014</v>
      </c>
      <c r="F2016" s="3">
        <v>21009000</v>
      </c>
      <c r="G2016" s="3">
        <v>54373800</v>
      </c>
      <c r="H2016" s="3">
        <v>33364800</v>
      </c>
    </row>
    <row r="2017" spans="1:9" x14ac:dyDescent="0.35">
      <c r="A2017" t="str">
        <f t="shared" si="47"/>
        <v>40291</v>
      </c>
      <c r="B2017" t="s">
        <v>36</v>
      </c>
      <c r="C2017" t="s">
        <v>826</v>
      </c>
      <c r="D2017" s="5" t="str">
        <f>"009"</f>
        <v>009</v>
      </c>
      <c r="E2017" s="5">
        <v>2015</v>
      </c>
      <c r="F2017" s="3">
        <v>4878000</v>
      </c>
      <c r="G2017" s="3">
        <v>17977700</v>
      </c>
      <c r="H2017" s="3">
        <v>13099700</v>
      </c>
    </row>
    <row r="2018" spans="1:9" x14ac:dyDescent="0.35">
      <c r="A2018" t="str">
        <f t="shared" si="47"/>
        <v>40291</v>
      </c>
      <c r="B2018" t="s">
        <v>36</v>
      </c>
      <c r="C2018" t="s">
        <v>826</v>
      </c>
      <c r="D2018" s="5" t="str">
        <f>"010"</f>
        <v>010</v>
      </c>
      <c r="E2018" s="5">
        <v>2015</v>
      </c>
      <c r="F2018" s="3">
        <v>3911600</v>
      </c>
      <c r="G2018" s="3">
        <v>56996600</v>
      </c>
      <c r="H2018" s="3">
        <v>53085000</v>
      </c>
    </row>
    <row r="2019" spans="1:9" x14ac:dyDescent="0.35">
      <c r="A2019" t="str">
        <f t="shared" si="47"/>
        <v>40291</v>
      </c>
      <c r="B2019" t="s">
        <v>36</v>
      </c>
      <c r="C2019" t="s">
        <v>826</v>
      </c>
      <c r="D2019" s="5" t="str">
        <f>"011"</f>
        <v>011</v>
      </c>
      <c r="E2019" s="5">
        <v>2015</v>
      </c>
      <c r="F2019" s="3">
        <v>10779000</v>
      </c>
      <c r="G2019" s="3">
        <v>58960600</v>
      </c>
      <c r="H2019" s="3">
        <v>48181600</v>
      </c>
    </row>
    <row r="2020" spans="1:9" x14ac:dyDescent="0.35">
      <c r="A2020" t="str">
        <f t="shared" si="47"/>
        <v>40291</v>
      </c>
      <c r="B2020" t="s">
        <v>36</v>
      </c>
      <c r="C2020" t="s">
        <v>826</v>
      </c>
      <c r="D2020" s="5" t="str">
        <f>"012"</f>
        <v>012</v>
      </c>
      <c r="E2020" s="5">
        <v>2018</v>
      </c>
      <c r="F2020" s="3">
        <v>31990100</v>
      </c>
      <c r="G2020" s="3">
        <v>54239500</v>
      </c>
      <c r="H2020" s="3">
        <v>22249400</v>
      </c>
    </row>
    <row r="2021" spans="1:9" x14ac:dyDescent="0.35">
      <c r="A2021" t="str">
        <f t="shared" si="47"/>
        <v>40291</v>
      </c>
      <c r="B2021" t="s">
        <v>36</v>
      </c>
      <c r="C2021" t="s">
        <v>826</v>
      </c>
      <c r="D2021" s="5" t="str">
        <f>"013"</f>
        <v>013</v>
      </c>
      <c r="E2021" s="5">
        <v>2020</v>
      </c>
      <c r="F2021" s="3">
        <v>2985200</v>
      </c>
      <c r="G2021" s="3">
        <v>4917200</v>
      </c>
      <c r="H2021" s="3">
        <v>1932000</v>
      </c>
    </row>
    <row r="2022" spans="1:9" x14ac:dyDescent="0.35">
      <c r="A2022" t="str">
        <f t="shared" si="47"/>
        <v>40291</v>
      </c>
      <c r="B2022" t="s">
        <v>36</v>
      </c>
      <c r="C2022" t="s">
        <v>826</v>
      </c>
      <c r="D2022" s="5" t="str">
        <f>"014"</f>
        <v>014</v>
      </c>
      <c r="E2022" s="5">
        <v>2022</v>
      </c>
      <c r="F2022" s="3">
        <v>2932500</v>
      </c>
      <c r="G2022" s="3">
        <v>2948200</v>
      </c>
      <c r="H2022" s="3">
        <v>15700</v>
      </c>
    </row>
    <row r="2023" spans="1:9" x14ac:dyDescent="0.35">
      <c r="A2023" t="str">
        <f t="shared" si="47"/>
        <v>40291</v>
      </c>
      <c r="B2023" t="s">
        <v>36</v>
      </c>
      <c r="C2023" t="s">
        <v>826</v>
      </c>
      <c r="D2023" s="5" t="str">
        <f>"015"</f>
        <v>015</v>
      </c>
      <c r="E2023" s="5">
        <v>2023</v>
      </c>
      <c r="F2023" s="3">
        <v>16950900</v>
      </c>
      <c r="G2023" s="3">
        <v>33320800</v>
      </c>
      <c r="H2023" s="3">
        <v>16369900</v>
      </c>
    </row>
    <row r="2024" spans="1:9" x14ac:dyDescent="0.35">
      <c r="A2024" t="str">
        <f t="shared" si="47"/>
        <v>40291</v>
      </c>
      <c r="B2024" t="s">
        <v>36</v>
      </c>
      <c r="C2024" t="s">
        <v>826</v>
      </c>
      <c r="D2024" s="5" t="s">
        <v>11</v>
      </c>
      <c r="E2024" s="5" t="s">
        <v>12</v>
      </c>
      <c r="F2024" s="3" t="s">
        <v>13</v>
      </c>
      <c r="G2024" s="3" t="s">
        <v>13</v>
      </c>
      <c r="H2024" s="3" t="s">
        <v>13</v>
      </c>
      <c r="I2024" s="3">
        <v>10584824100</v>
      </c>
    </row>
    <row r="2025" spans="1:9" x14ac:dyDescent="0.35">
      <c r="A2025" t="str">
        <f t="shared" ref="A2025:A2033" si="48">"40292"</f>
        <v>40292</v>
      </c>
      <c r="B2025" t="s">
        <v>36</v>
      </c>
      <c r="C2025" t="s">
        <v>827</v>
      </c>
      <c r="D2025" s="5" t="str">
        <f>"011"</f>
        <v>011</v>
      </c>
      <c r="E2025" s="5">
        <v>2010</v>
      </c>
      <c r="F2025" s="3">
        <v>4628700</v>
      </c>
      <c r="G2025" s="3">
        <v>45001900</v>
      </c>
      <c r="H2025" s="3">
        <v>40373200</v>
      </c>
    </row>
    <row r="2026" spans="1:9" x14ac:dyDescent="0.35">
      <c r="A2026" t="str">
        <f t="shared" si="48"/>
        <v>40292</v>
      </c>
      <c r="B2026" t="s">
        <v>36</v>
      </c>
      <c r="C2026" t="s">
        <v>827</v>
      </c>
      <c r="D2026" s="5" t="str">
        <f>"014"</f>
        <v>014</v>
      </c>
      <c r="E2026" s="5">
        <v>2015</v>
      </c>
      <c r="F2026" s="3">
        <v>1354300</v>
      </c>
      <c r="G2026" s="3">
        <v>24670000</v>
      </c>
      <c r="H2026" s="3">
        <v>23315700</v>
      </c>
    </row>
    <row r="2027" spans="1:9" x14ac:dyDescent="0.35">
      <c r="A2027" t="str">
        <f t="shared" si="48"/>
        <v>40292</v>
      </c>
      <c r="B2027" t="s">
        <v>36</v>
      </c>
      <c r="C2027" t="s">
        <v>827</v>
      </c>
      <c r="D2027" s="5" t="str">
        <f>"015"</f>
        <v>015</v>
      </c>
      <c r="E2027" s="5">
        <v>2016</v>
      </c>
      <c r="F2027" s="3">
        <v>0</v>
      </c>
      <c r="G2027" s="3">
        <v>63368500</v>
      </c>
      <c r="H2027" s="3">
        <v>63368500</v>
      </c>
    </row>
    <row r="2028" spans="1:9" x14ac:dyDescent="0.35">
      <c r="A2028" t="str">
        <f t="shared" si="48"/>
        <v>40292</v>
      </c>
      <c r="B2028" t="s">
        <v>36</v>
      </c>
      <c r="C2028" t="s">
        <v>827</v>
      </c>
      <c r="D2028" s="5" t="str">
        <f>"016"</f>
        <v>016</v>
      </c>
      <c r="E2028" s="5">
        <v>2018</v>
      </c>
      <c r="F2028" s="3">
        <v>3080600</v>
      </c>
      <c r="G2028" s="3">
        <v>72791700</v>
      </c>
      <c r="H2028" s="3">
        <v>69711100</v>
      </c>
    </row>
    <row r="2029" spans="1:9" x14ac:dyDescent="0.35">
      <c r="A2029" t="str">
        <f t="shared" si="48"/>
        <v>40292</v>
      </c>
      <c r="B2029" t="s">
        <v>36</v>
      </c>
      <c r="C2029" t="s">
        <v>827</v>
      </c>
      <c r="D2029" s="5" t="str">
        <f>"017"</f>
        <v>017</v>
      </c>
      <c r="E2029" s="5">
        <v>2019</v>
      </c>
      <c r="F2029" s="3">
        <v>14285600</v>
      </c>
      <c r="G2029" s="3">
        <v>21546000</v>
      </c>
      <c r="H2029" s="3">
        <v>7260400</v>
      </c>
    </row>
    <row r="2030" spans="1:9" x14ac:dyDescent="0.35">
      <c r="A2030" t="str">
        <f t="shared" si="48"/>
        <v>40292</v>
      </c>
      <c r="B2030" t="s">
        <v>36</v>
      </c>
      <c r="C2030" t="s">
        <v>827</v>
      </c>
      <c r="D2030" s="5" t="str">
        <f>"018"</f>
        <v>018</v>
      </c>
      <c r="E2030" s="5">
        <v>2020</v>
      </c>
      <c r="F2030" s="3">
        <v>4230100</v>
      </c>
      <c r="G2030" s="3">
        <v>13289600</v>
      </c>
      <c r="H2030" s="3">
        <v>9059500</v>
      </c>
    </row>
    <row r="2031" spans="1:9" x14ac:dyDescent="0.35">
      <c r="A2031" t="str">
        <f t="shared" si="48"/>
        <v>40292</v>
      </c>
      <c r="B2031" t="s">
        <v>36</v>
      </c>
      <c r="C2031" t="s">
        <v>827</v>
      </c>
      <c r="D2031" s="5" t="str">
        <f>"019"</f>
        <v>019</v>
      </c>
      <c r="E2031" s="5">
        <v>2023</v>
      </c>
      <c r="F2031" s="3">
        <v>1506200</v>
      </c>
      <c r="G2031" s="3">
        <v>60728600</v>
      </c>
      <c r="H2031" s="3">
        <v>59222400</v>
      </c>
    </row>
    <row r="2032" spans="1:9" x14ac:dyDescent="0.35">
      <c r="A2032" t="str">
        <f t="shared" si="48"/>
        <v>40292</v>
      </c>
      <c r="B2032" t="s">
        <v>36</v>
      </c>
      <c r="C2032" t="s">
        <v>827</v>
      </c>
      <c r="D2032" s="5" t="str">
        <f>"020"</f>
        <v>020</v>
      </c>
      <c r="E2032" s="5">
        <v>2024</v>
      </c>
      <c r="F2032" s="3">
        <v>0</v>
      </c>
      <c r="G2032" s="3">
        <v>5172000</v>
      </c>
      <c r="H2032" s="3">
        <v>5172000</v>
      </c>
    </row>
    <row r="2033" spans="1:9" x14ac:dyDescent="0.35">
      <c r="A2033" t="str">
        <f t="shared" si="48"/>
        <v>40292</v>
      </c>
      <c r="B2033" t="s">
        <v>36</v>
      </c>
      <c r="C2033" t="s">
        <v>827</v>
      </c>
      <c r="D2033" s="5" t="s">
        <v>11</v>
      </c>
      <c r="E2033" s="5" t="s">
        <v>12</v>
      </c>
      <c r="F2033" s="3" t="s">
        <v>13</v>
      </c>
      <c r="G2033" s="3" t="s">
        <v>13</v>
      </c>
      <c r="H2033" s="3" t="s">
        <v>13</v>
      </c>
      <c r="I2033" s="3">
        <v>6771048500</v>
      </c>
    </row>
    <row r="2034" spans="1:9" x14ac:dyDescent="0.35">
      <c r="A2034" t="s">
        <v>30</v>
      </c>
      <c r="B2034" t="s">
        <v>38</v>
      </c>
      <c r="C2034" t="s">
        <v>32</v>
      </c>
      <c r="D2034" s="5" t="s">
        <v>11</v>
      </c>
      <c r="E2034" s="5" t="s">
        <v>12</v>
      </c>
      <c r="F2034" s="3" t="s">
        <v>13</v>
      </c>
      <c r="G2034" s="3" t="s">
        <v>13</v>
      </c>
      <c r="H2034" s="3" t="s">
        <v>13</v>
      </c>
      <c r="I2034" s="3">
        <v>91244653600</v>
      </c>
    </row>
    <row r="2035" spans="1:9" x14ac:dyDescent="0.35">
      <c r="A2035" t="s">
        <v>30</v>
      </c>
      <c r="B2035" t="s">
        <v>39</v>
      </c>
      <c r="C2035" t="s">
        <v>822</v>
      </c>
      <c r="D2035" s="5" t="s">
        <v>11</v>
      </c>
      <c r="E2035" s="5" t="s">
        <v>12</v>
      </c>
      <c r="F2035" s="3" t="s">
        <v>13</v>
      </c>
      <c r="G2035" s="3" t="s">
        <v>13</v>
      </c>
      <c r="H2035" s="3" t="s">
        <v>13</v>
      </c>
      <c r="I2035" s="3">
        <v>106537748000</v>
      </c>
    </row>
    <row r="2036" spans="1:9" x14ac:dyDescent="0.35">
      <c r="A2036" t="str">
        <f>"41002"</f>
        <v>41002</v>
      </c>
      <c r="B2036" t="s">
        <v>9</v>
      </c>
      <c r="C2036" t="s">
        <v>828</v>
      </c>
      <c r="D2036" s="5" t="s">
        <v>11</v>
      </c>
      <c r="E2036" s="5" t="s">
        <v>12</v>
      </c>
      <c r="F2036" s="3" t="s">
        <v>13</v>
      </c>
      <c r="G2036" s="3" t="s">
        <v>13</v>
      </c>
      <c r="H2036" s="3" t="s">
        <v>13</v>
      </c>
      <c r="I2036" s="3">
        <v>151520000</v>
      </c>
    </row>
    <row r="2037" spans="1:9" x14ac:dyDescent="0.35">
      <c r="A2037" t="str">
        <f>"41004"</f>
        <v>41004</v>
      </c>
      <c r="B2037" t="s">
        <v>9</v>
      </c>
      <c r="C2037" t="s">
        <v>829</v>
      </c>
      <c r="D2037" s="5" t="s">
        <v>11</v>
      </c>
      <c r="E2037" s="5" t="s">
        <v>12</v>
      </c>
      <c r="F2037" s="3" t="s">
        <v>13</v>
      </c>
      <c r="G2037" s="3" t="s">
        <v>13</v>
      </c>
      <c r="H2037" s="3" t="s">
        <v>13</v>
      </c>
      <c r="I2037" s="3">
        <v>168909900</v>
      </c>
    </row>
    <row r="2038" spans="1:9" x14ac:dyDescent="0.35">
      <c r="A2038" t="str">
        <f>"41006"</f>
        <v>41006</v>
      </c>
      <c r="B2038" t="s">
        <v>9</v>
      </c>
      <c r="C2038" t="s">
        <v>457</v>
      </c>
      <c r="D2038" s="5" t="s">
        <v>11</v>
      </c>
      <c r="E2038" s="5" t="s">
        <v>12</v>
      </c>
      <c r="F2038" s="3" t="s">
        <v>13</v>
      </c>
      <c r="G2038" s="3" t="s">
        <v>13</v>
      </c>
      <c r="H2038" s="3" t="s">
        <v>13</v>
      </c>
      <c r="I2038" s="3">
        <v>180274300</v>
      </c>
    </row>
    <row r="2039" spans="1:9" x14ac:dyDescent="0.35">
      <c r="A2039" t="str">
        <f>"41008"</f>
        <v>41008</v>
      </c>
      <c r="B2039" t="s">
        <v>9</v>
      </c>
      <c r="C2039" t="s">
        <v>496</v>
      </c>
      <c r="D2039" s="5" t="s">
        <v>11</v>
      </c>
      <c r="E2039" s="5" t="s">
        <v>12</v>
      </c>
      <c r="F2039" s="3" t="s">
        <v>13</v>
      </c>
      <c r="G2039" s="3" t="s">
        <v>13</v>
      </c>
      <c r="H2039" s="3" t="s">
        <v>13</v>
      </c>
      <c r="I2039" s="3">
        <v>86730100</v>
      </c>
    </row>
    <row r="2040" spans="1:9" x14ac:dyDescent="0.35">
      <c r="A2040" t="str">
        <f>"41010"</f>
        <v>41010</v>
      </c>
      <c r="B2040" t="s">
        <v>9</v>
      </c>
      <c r="C2040" t="s">
        <v>821</v>
      </c>
      <c r="D2040" s="5" t="s">
        <v>11</v>
      </c>
      <c r="E2040" s="5" t="s">
        <v>12</v>
      </c>
      <c r="F2040" s="3" t="s">
        <v>13</v>
      </c>
      <c r="G2040" s="3" t="s">
        <v>13</v>
      </c>
      <c r="H2040" s="3" t="s">
        <v>13</v>
      </c>
      <c r="I2040" s="3">
        <v>95688100</v>
      </c>
    </row>
    <row r="2041" spans="1:9" x14ac:dyDescent="0.35">
      <c r="A2041" t="str">
        <f>"41012"</f>
        <v>41012</v>
      </c>
      <c r="B2041" t="s">
        <v>9</v>
      </c>
      <c r="C2041" t="s">
        <v>220</v>
      </c>
      <c r="D2041" s="5" t="s">
        <v>11</v>
      </c>
      <c r="E2041" s="5" t="s">
        <v>12</v>
      </c>
      <c r="F2041" s="3" t="s">
        <v>13</v>
      </c>
      <c r="G2041" s="3" t="s">
        <v>13</v>
      </c>
      <c r="H2041" s="3" t="s">
        <v>13</v>
      </c>
      <c r="I2041" s="3">
        <v>82023400</v>
      </c>
    </row>
    <row r="2042" spans="1:9" x14ac:dyDescent="0.35">
      <c r="A2042" t="str">
        <f>"41014"</f>
        <v>41014</v>
      </c>
      <c r="B2042" t="s">
        <v>9</v>
      </c>
      <c r="C2042" t="s">
        <v>664</v>
      </c>
      <c r="D2042" s="5" t="s">
        <v>11</v>
      </c>
      <c r="E2042" s="5" t="s">
        <v>12</v>
      </c>
      <c r="F2042" s="3" t="s">
        <v>13</v>
      </c>
      <c r="G2042" s="3" t="s">
        <v>13</v>
      </c>
      <c r="H2042" s="3" t="s">
        <v>13</v>
      </c>
      <c r="I2042" s="3">
        <v>177429200</v>
      </c>
    </row>
    <row r="2043" spans="1:9" x14ac:dyDescent="0.35">
      <c r="A2043" t="str">
        <f>"41016"</f>
        <v>41016</v>
      </c>
      <c r="B2043" t="s">
        <v>9</v>
      </c>
      <c r="C2043" t="s">
        <v>536</v>
      </c>
      <c r="D2043" s="5" t="s">
        <v>11</v>
      </c>
      <c r="E2043" s="5" t="s">
        <v>12</v>
      </c>
      <c r="F2043" s="3" t="s">
        <v>13</v>
      </c>
      <c r="G2043" s="3" t="s">
        <v>13</v>
      </c>
      <c r="H2043" s="3" t="s">
        <v>13</v>
      </c>
      <c r="I2043" s="3">
        <v>108467700</v>
      </c>
    </row>
    <row r="2044" spans="1:9" x14ac:dyDescent="0.35">
      <c r="A2044" t="str">
        <f>"41018"</f>
        <v>41018</v>
      </c>
      <c r="B2044" t="s">
        <v>9</v>
      </c>
      <c r="C2044" t="s">
        <v>830</v>
      </c>
      <c r="D2044" s="5" t="s">
        <v>11</v>
      </c>
      <c r="E2044" s="5" t="s">
        <v>12</v>
      </c>
      <c r="F2044" s="3" t="s">
        <v>13</v>
      </c>
      <c r="G2044" s="3" t="s">
        <v>13</v>
      </c>
      <c r="H2044" s="3" t="s">
        <v>13</v>
      </c>
      <c r="I2044" s="3">
        <v>55567100</v>
      </c>
    </row>
    <row r="2045" spans="1:9" x14ac:dyDescent="0.35">
      <c r="A2045" t="str">
        <f>"41020"</f>
        <v>41020</v>
      </c>
      <c r="B2045" t="s">
        <v>9</v>
      </c>
      <c r="C2045" t="s">
        <v>831</v>
      </c>
      <c r="D2045" s="5" t="s">
        <v>11</v>
      </c>
      <c r="E2045" s="5" t="s">
        <v>12</v>
      </c>
      <c r="F2045" s="3" t="s">
        <v>13</v>
      </c>
      <c r="G2045" s="3" t="s">
        <v>13</v>
      </c>
      <c r="H2045" s="3" t="s">
        <v>13</v>
      </c>
      <c r="I2045" s="3">
        <v>297475700</v>
      </c>
    </row>
    <row r="2046" spans="1:9" x14ac:dyDescent="0.35">
      <c r="A2046" t="str">
        <f>"41022"</f>
        <v>41022</v>
      </c>
      <c r="B2046" t="s">
        <v>9</v>
      </c>
      <c r="C2046" t="s">
        <v>832</v>
      </c>
      <c r="D2046" s="5" t="s">
        <v>11</v>
      </c>
      <c r="E2046" s="5" t="s">
        <v>12</v>
      </c>
      <c r="F2046" s="3" t="s">
        <v>13</v>
      </c>
      <c r="G2046" s="3" t="s">
        <v>13</v>
      </c>
      <c r="H2046" s="3" t="s">
        <v>13</v>
      </c>
      <c r="I2046" s="3">
        <v>194589800</v>
      </c>
    </row>
    <row r="2047" spans="1:9" x14ac:dyDescent="0.35">
      <c r="A2047" t="str">
        <f>"41024"</f>
        <v>41024</v>
      </c>
      <c r="B2047" t="s">
        <v>9</v>
      </c>
      <c r="C2047" t="s">
        <v>20</v>
      </c>
      <c r="D2047" s="5" t="s">
        <v>11</v>
      </c>
      <c r="E2047" s="5" t="s">
        <v>12</v>
      </c>
      <c r="F2047" s="3" t="s">
        <v>13</v>
      </c>
      <c r="G2047" s="3" t="s">
        <v>13</v>
      </c>
      <c r="H2047" s="3" t="s">
        <v>13</v>
      </c>
      <c r="I2047" s="3">
        <v>146527000</v>
      </c>
    </row>
    <row r="2048" spans="1:9" x14ac:dyDescent="0.35">
      <c r="A2048" t="str">
        <f>"41026"</f>
        <v>41026</v>
      </c>
      <c r="B2048" t="s">
        <v>9</v>
      </c>
      <c r="C2048" t="s">
        <v>833</v>
      </c>
      <c r="D2048" s="5" t="s">
        <v>11</v>
      </c>
      <c r="E2048" s="5" t="s">
        <v>12</v>
      </c>
      <c r="F2048" s="3" t="s">
        <v>13</v>
      </c>
      <c r="G2048" s="3" t="s">
        <v>13</v>
      </c>
      <c r="H2048" s="3" t="s">
        <v>13</v>
      </c>
      <c r="I2048" s="3">
        <v>241813700</v>
      </c>
    </row>
    <row r="2049" spans="1:9" x14ac:dyDescent="0.35">
      <c r="A2049" t="str">
        <f>"41028"</f>
        <v>41028</v>
      </c>
      <c r="B2049" t="s">
        <v>9</v>
      </c>
      <c r="C2049" t="s">
        <v>834</v>
      </c>
      <c r="D2049" s="5" t="s">
        <v>11</v>
      </c>
      <c r="E2049" s="5" t="s">
        <v>12</v>
      </c>
      <c r="F2049" s="3" t="s">
        <v>13</v>
      </c>
      <c r="G2049" s="3" t="s">
        <v>13</v>
      </c>
      <c r="H2049" s="3" t="s">
        <v>13</v>
      </c>
      <c r="I2049" s="3">
        <v>47202500</v>
      </c>
    </row>
    <row r="2050" spans="1:9" x14ac:dyDescent="0.35">
      <c r="A2050" t="str">
        <f>"41030"</f>
        <v>41030</v>
      </c>
      <c r="B2050" t="s">
        <v>9</v>
      </c>
      <c r="C2050" t="s">
        <v>835</v>
      </c>
      <c r="D2050" s="5" t="s">
        <v>11</v>
      </c>
      <c r="E2050" s="5" t="s">
        <v>12</v>
      </c>
      <c r="F2050" s="3" t="s">
        <v>13</v>
      </c>
      <c r="G2050" s="3" t="s">
        <v>13</v>
      </c>
      <c r="H2050" s="3" t="s">
        <v>13</v>
      </c>
      <c r="I2050" s="3">
        <v>158541800</v>
      </c>
    </row>
    <row r="2051" spans="1:9" x14ac:dyDescent="0.35">
      <c r="A2051" t="str">
        <f>"41032"</f>
        <v>41032</v>
      </c>
      <c r="B2051" t="s">
        <v>9</v>
      </c>
      <c r="C2051" t="s">
        <v>363</v>
      </c>
      <c r="D2051" s="5" t="s">
        <v>11</v>
      </c>
      <c r="E2051" s="5" t="s">
        <v>12</v>
      </c>
      <c r="F2051" s="3" t="s">
        <v>13</v>
      </c>
      <c r="G2051" s="3" t="s">
        <v>13</v>
      </c>
      <c r="H2051" s="3" t="s">
        <v>13</v>
      </c>
      <c r="I2051" s="3">
        <v>122411700</v>
      </c>
    </row>
    <row r="2052" spans="1:9" x14ac:dyDescent="0.35">
      <c r="A2052" t="str">
        <f>"41034"</f>
        <v>41034</v>
      </c>
      <c r="B2052" t="s">
        <v>9</v>
      </c>
      <c r="C2052" t="s">
        <v>836</v>
      </c>
      <c r="D2052" s="5" t="s">
        <v>11</v>
      </c>
      <c r="E2052" s="5" t="s">
        <v>12</v>
      </c>
      <c r="F2052" s="3" t="s">
        <v>13</v>
      </c>
      <c r="G2052" s="3" t="s">
        <v>13</v>
      </c>
      <c r="H2052" s="3" t="s">
        <v>13</v>
      </c>
      <c r="I2052" s="3">
        <v>89027800</v>
      </c>
    </row>
    <row r="2053" spans="1:9" x14ac:dyDescent="0.35">
      <c r="A2053" t="str">
        <f>"41036"</f>
        <v>41036</v>
      </c>
      <c r="B2053" t="s">
        <v>9</v>
      </c>
      <c r="C2053" t="s">
        <v>118</v>
      </c>
      <c r="D2053" s="5" t="s">
        <v>11</v>
      </c>
      <c r="E2053" s="5" t="s">
        <v>12</v>
      </c>
      <c r="F2053" s="3" t="s">
        <v>13</v>
      </c>
      <c r="G2053" s="3" t="s">
        <v>13</v>
      </c>
      <c r="H2053" s="3" t="s">
        <v>13</v>
      </c>
      <c r="I2053" s="3">
        <v>19413000</v>
      </c>
    </row>
    <row r="2054" spans="1:9" x14ac:dyDescent="0.35">
      <c r="A2054" t="str">
        <f>"41038"</f>
        <v>41038</v>
      </c>
      <c r="B2054" t="s">
        <v>9</v>
      </c>
      <c r="C2054" t="s">
        <v>837</v>
      </c>
      <c r="D2054" s="5" t="s">
        <v>11</v>
      </c>
      <c r="E2054" s="5" t="s">
        <v>12</v>
      </c>
      <c r="F2054" s="3" t="s">
        <v>13</v>
      </c>
      <c r="G2054" s="3" t="s">
        <v>13</v>
      </c>
      <c r="H2054" s="3" t="s">
        <v>13</v>
      </c>
      <c r="I2054" s="3">
        <v>80591600</v>
      </c>
    </row>
    <row r="2055" spans="1:9" x14ac:dyDescent="0.35">
      <c r="A2055" t="str">
        <f>"41040"</f>
        <v>41040</v>
      </c>
      <c r="B2055" t="s">
        <v>9</v>
      </c>
      <c r="C2055" t="s">
        <v>838</v>
      </c>
      <c r="D2055" s="5" t="s">
        <v>11</v>
      </c>
      <c r="E2055" s="5" t="s">
        <v>12</v>
      </c>
      <c r="F2055" s="3" t="s">
        <v>13</v>
      </c>
      <c r="G2055" s="3" t="s">
        <v>13</v>
      </c>
      <c r="H2055" s="3" t="s">
        <v>13</v>
      </c>
      <c r="I2055" s="3">
        <v>509738200</v>
      </c>
    </row>
    <row r="2056" spans="1:9" x14ac:dyDescent="0.35">
      <c r="A2056" t="str">
        <f>"41042"</f>
        <v>41042</v>
      </c>
      <c r="B2056" t="s">
        <v>9</v>
      </c>
      <c r="C2056" t="s">
        <v>839</v>
      </c>
      <c r="D2056" s="5" t="s">
        <v>11</v>
      </c>
      <c r="E2056" s="5" t="s">
        <v>12</v>
      </c>
      <c r="F2056" s="3" t="s">
        <v>13</v>
      </c>
      <c r="G2056" s="3" t="s">
        <v>13</v>
      </c>
      <c r="H2056" s="3" t="s">
        <v>13</v>
      </c>
      <c r="I2056" s="3">
        <v>213254800</v>
      </c>
    </row>
    <row r="2057" spans="1:9" x14ac:dyDescent="0.35">
      <c r="A2057" t="str">
        <f>"41044"</f>
        <v>41044</v>
      </c>
      <c r="B2057" t="s">
        <v>9</v>
      </c>
      <c r="C2057" t="s">
        <v>840</v>
      </c>
      <c r="D2057" s="5" t="s">
        <v>11</v>
      </c>
      <c r="E2057" s="5" t="s">
        <v>12</v>
      </c>
      <c r="F2057" s="3" t="s">
        <v>13</v>
      </c>
      <c r="G2057" s="3" t="s">
        <v>13</v>
      </c>
      <c r="H2057" s="3" t="s">
        <v>13</v>
      </c>
      <c r="I2057" s="3">
        <v>82549300</v>
      </c>
    </row>
    <row r="2058" spans="1:9" x14ac:dyDescent="0.35">
      <c r="A2058" t="str">
        <f>"41046"</f>
        <v>41046</v>
      </c>
      <c r="B2058" t="s">
        <v>9</v>
      </c>
      <c r="C2058" t="s">
        <v>841</v>
      </c>
      <c r="D2058" s="5" t="s">
        <v>11</v>
      </c>
      <c r="E2058" s="5" t="s">
        <v>12</v>
      </c>
      <c r="F2058" s="3" t="s">
        <v>13</v>
      </c>
      <c r="G2058" s="3" t="s">
        <v>13</v>
      </c>
      <c r="H2058" s="3" t="s">
        <v>13</v>
      </c>
      <c r="I2058" s="3">
        <v>101120000</v>
      </c>
    </row>
    <row r="2059" spans="1:9" x14ac:dyDescent="0.35">
      <c r="A2059" t="str">
        <f>"41048"</f>
        <v>41048</v>
      </c>
      <c r="B2059" t="s">
        <v>9</v>
      </c>
      <c r="C2059" t="s">
        <v>842</v>
      </c>
      <c r="D2059" s="5" t="s">
        <v>11</v>
      </c>
      <c r="E2059" s="5" t="s">
        <v>12</v>
      </c>
      <c r="F2059" s="3" t="s">
        <v>13</v>
      </c>
      <c r="G2059" s="3" t="s">
        <v>13</v>
      </c>
      <c r="H2059" s="3" t="s">
        <v>13</v>
      </c>
      <c r="I2059" s="3">
        <v>99286400</v>
      </c>
    </row>
    <row r="2060" spans="1:9" x14ac:dyDescent="0.35">
      <c r="A2060" t="s">
        <v>30</v>
      </c>
      <c r="B2060" t="s">
        <v>31</v>
      </c>
      <c r="C2060" t="s">
        <v>32</v>
      </c>
      <c r="D2060" s="5" t="s">
        <v>11</v>
      </c>
      <c r="E2060" s="5" t="s">
        <v>12</v>
      </c>
      <c r="F2060" s="3" t="s">
        <v>13</v>
      </c>
      <c r="G2060" s="3" t="s">
        <v>13</v>
      </c>
      <c r="H2060" s="3" t="s">
        <v>13</v>
      </c>
      <c r="I2060" s="3">
        <v>3510153100</v>
      </c>
    </row>
    <row r="2061" spans="1:9" x14ac:dyDescent="0.35">
      <c r="A2061" t="str">
        <f>"41111"</f>
        <v>41111</v>
      </c>
      <c r="B2061" t="s">
        <v>33</v>
      </c>
      <c r="C2061" t="s">
        <v>843</v>
      </c>
      <c r="D2061" s="5" t="str">
        <f>"002"</f>
        <v>002</v>
      </c>
      <c r="E2061" s="5">
        <v>1998</v>
      </c>
      <c r="F2061" s="3">
        <v>836000</v>
      </c>
      <c r="G2061" s="3">
        <v>8979500</v>
      </c>
      <c r="H2061" s="3">
        <v>8143500</v>
      </c>
    </row>
    <row r="2062" spans="1:9" x14ac:dyDescent="0.35">
      <c r="A2062" t="str">
        <f>"41111"</f>
        <v>41111</v>
      </c>
      <c r="B2062" t="s">
        <v>33</v>
      </c>
      <c r="C2062" t="s">
        <v>843</v>
      </c>
      <c r="D2062" s="5" t="str">
        <f>"003"</f>
        <v>003</v>
      </c>
      <c r="E2062" s="5">
        <v>2005</v>
      </c>
      <c r="F2062" s="3">
        <v>332300</v>
      </c>
      <c r="G2062" s="3">
        <v>53252200</v>
      </c>
      <c r="H2062" s="3">
        <v>52919900</v>
      </c>
    </row>
    <row r="2063" spans="1:9" x14ac:dyDescent="0.35">
      <c r="A2063" t="str">
        <f>"41111"</f>
        <v>41111</v>
      </c>
      <c r="B2063" t="s">
        <v>33</v>
      </c>
      <c r="C2063" t="s">
        <v>843</v>
      </c>
      <c r="D2063" s="5" t="s">
        <v>11</v>
      </c>
      <c r="E2063" s="5" t="s">
        <v>12</v>
      </c>
      <c r="F2063" s="3" t="s">
        <v>13</v>
      </c>
      <c r="G2063" s="3" t="s">
        <v>13</v>
      </c>
      <c r="H2063" s="3" t="s">
        <v>13</v>
      </c>
      <c r="I2063" s="3">
        <v>96858300</v>
      </c>
    </row>
    <row r="2064" spans="1:9" x14ac:dyDescent="0.35">
      <c r="A2064" t="str">
        <f>"41141"</f>
        <v>41141</v>
      </c>
      <c r="B2064" t="s">
        <v>33</v>
      </c>
      <c r="C2064" t="s">
        <v>680</v>
      </c>
      <c r="D2064" s="5" t="s">
        <v>11</v>
      </c>
      <c r="E2064" s="5" t="s">
        <v>12</v>
      </c>
      <c r="F2064" s="3" t="s">
        <v>13</v>
      </c>
      <c r="G2064" s="3" t="s">
        <v>13</v>
      </c>
      <c r="H2064" s="3" t="s">
        <v>13</v>
      </c>
      <c r="I2064" s="3">
        <v>34398100</v>
      </c>
    </row>
    <row r="2065" spans="1:9" x14ac:dyDescent="0.35">
      <c r="A2065" t="str">
        <f>"41151"</f>
        <v>41151</v>
      </c>
      <c r="B2065" t="s">
        <v>33</v>
      </c>
      <c r="C2065" t="s">
        <v>844</v>
      </c>
      <c r="D2065" s="5" t="s">
        <v>11</v>
      </c>
      <c r="E2065" s="5" t="s">
        <v>12</v>
      </c>
      <c r="F2065" s="3" t="s">
        <v>13</v>
      </c>
      <c r="G2065" s="3" t="s">
        <v>13</v>
      </c>
      <c r="H2065" s="3" t="s">
        <v>13</v>
      </c>
      <c r="I2065" s="3">
        <v>6151200</v>
      </c>
    </row>
    <row r="2066" spans="1:9" x14ac:dyDescent="0.35">
      <c r="A2066" t="str">
        <f>"41161"</f>
        <v>41161</v>
      </c>
      <c r="B2066" t="s">
        <v>33</v>
      </c>
      <c r="C2066" t="s">
        <v>845</v>
      </c>
      <c r="D2066" s="5" t="s">
        <v>11</v>
      </c>
      <c r="E2066" s="5" t="s">
        <v>12</v>
      </c>
      <c r="F2066" s="3" t="s">
        <v>13</v>
      </c>
      <c r="G2066" s="3" t="s">
        <v>13</v>
      </c>
      <c r="H2066" s="3" t="s">
        <v>13</v>
      </c>
      <c r="I2066" s="3">
        <v>31547200</v>
      </c>
    </row>
    <row r="2067" spans="1:9" x14ac:dyDescent="0.35">
      <c r="A2067" t="str">
        <f>"41165"</f>
        <v>41165</v>
      </c>
      <c r="B2067" t="s">
        <v>33</v>
      </c>
      <c r="C2067" t="s">
        <v>835</v>
      </c>
      <c r="D2067" s="5" t="s">
        <v>11</v>
      </c>
      <c r="E2067" s="5" t="s">
        <v>12</v>
      </c>
      <c r="F2067" s="3" t="s">
        <v>13</v>
      </c>
      <c r="G2067" s="3" t="s">
        <v>13</v>
      </c>
      <c r="H2067" s="3" t="s">
        <v>13</v>
      </c>
      <c r="I2067" s="3">
        <v>36897900</v>
      </c>
    </row>
    <row r="2068" spans="1:9" x14ac:dyDescent="0.35">
      <c r="A2068" t="str">
        <f>"41166"</f>
        <v>41166</v>
      </c>
      <c r="B2068" t="s">
        <v>33</v>
      </c>
      <c r="C2068" t="s">
        <v>846</v>
      </c>
      <c r="D2068" s="5" t="s">
        <v>11</v>
      </c>
      <c r="E2068" s="5" t="s">
        <v>12</v>
      </c>
      <c r="F2068" s="3" t="s">
        <v>13</v>
      </c>
      <c r="G2068" s="3" t="s">
        <v>13</v>
      </c>
      <c r="H2068" s="3" t="s">
        <v>13</v>
      </c>
      <c r="I2068" s="3">
        <v>0</v>
      </c>
    </row>
    <row r="2069" spans="1:9" x14ac:dyDescent="0.35">
      <c r="A2069" t="str">
        <f>"41176"</f>
        <v>41176</v>
      </c>
      <c r="B2069" t="s">
        <v>33</v>
      </c>
      <c r="C2069" t="s">
        <v>117</v>
      </c>
      <c r="D2069" s="5" t="str">
        <f>"001"</f>
        <v>001</v>
      </c>
      <c r="E2069" s="5">
        <v>2010</v>
      </c>
      <c r="F2069" s="3">
        <v>1837400</v>
      </c>
      <c r="G2069" s="3">
        <v>4946700</v>
      </c>
      <c r="H2069" s="3">
        <v>3109300</v>
      </c>
    </row>
    <row r="2070" spans="1:9" x14ac:dyDescent="0.35">
      <c r="A2070" t="str">
        <f>"41176"</f>
        <v>41176</v>
      </c>
      <c r="B2070" t="s">
        <v>33</v>
      </c>
      <c r="C2070" t="s">
        <v>117</v>
      </c>
      <c r="D2070" s="5" t="s">
        <v>11</v>
      </c>
      <c r="E2070" s="5" t="s">
        <v>12</v>
      </c>
      <c r="F2070" s="3" t="s">
        <v>13</v>
      </c>
      <c r="G2070" s="3" t="s">
        <v>13</v>
      </c>
      <c r="H2070" s="3" t="s">
        <v>13</v>
      </c>
      <c r="I2070" s="3">
        <v>1837400</v>
      </c>
    </row>
    <row r="2071" spans="1:9" x14ac:dyDescent="0.35">
      <c r="A2071" t="str">
        <f>"41185"</f>
        <v>41185</v>
      </c>
      <c r="B2071" t="s">
        <v>33</v>
      </c>
      <c r="C2071" t="s">
        <v>847</v>
      </c>
      <c r="D2071" s="5" t="str">
        <f>"001"</f>
        <v>001</v>
      </c>
      <c r="E2071" s="5">
        <v>1998</v>
      </c>
      <c r="F2071" s="3">
        <v>8004400</v>
      </c>
      <c r="G2071" s="3">
        <v>96805400</v>
      </c>
      <c r="H2071" s="3">
        <v>88801000</v>
      </c>
    </row>
    <row r="2072" spans="1:9" x14ac:dyDescent="0.35">
      <c r="A2072" t="str">
        <f>"41185"</f>
        <v>41185</v>
      </c>
      <c r="B2072" t="s">
        <v>33</v>
      </c>
      <c r="C2072" t="s">
        <v>847</v>
      </c>
      <c r="D2072" s="5" t="s">
        <v>11</v>
      </c>
      <c r="E2072" s="5" t="s">
        <v>12</v>
      </c>
      <c r="F2072" s="3" t="s">
        <v>13</v>
      </c>
      <c r="G2072" s="3" t="s">
        <v>13</v>
      </c>
      <c r="H2072" s="3" t="s">
        <v>13</v>
      </c>
      <c r="I2072" s="3">
        <v>25081400</v>
      </c>
    </row>
    <row r="2073" spans="1:9" x14ac:dyDescent="0.35">
      <c r="A2073" t="str">
        <f>"41191"</f>
        <v>41191</v>
      </c>
      <c r="B2073" t="s">
        <v>33</v>
      </c>
      <c r="C2073" t="s">
        <v>842</v>
      </c>
      <c r="D2073" s="5" t="s">
        <v>11</v>
      </c>
      <c r="E2073" s="5" t="s">
        <v>12</v>
      </c>
      <c r="F2073" s="3" t="s">
        <v>13</v>
      </c>
      <c r="G2073" s="3" t="s">
        <v>13</v>
      </c>
      <c r="H2073" s="3" t="s">
        <v>13</v>
      </c>
      <c r="I2073" s="3">
        <v>54982600</v>
      </c>
    </row>
    <row r="2074" spans="1:9" x14ac:dyDescent="0.35">
      <c r="A2074" t="str">
        <f>"41192"</f>
        <v>41192</v>
      </c>
      <c r="B2074" t="s">
        <v>33</v>
      </c>
      <c r="C2074" t="s">
        <v>848</v>
      </c>
      <c r="D2074" s="5" t="s">
        <v>11</v>
      </c>
      <c r="E2074" s="5" t="s">
        <v>12</v>
      </c>
      <c r="F2074" s="3" t="s">
        <v>13</v>
      </c>
      <c r="G2074" s="3" t="s">
        <v>13</v>
      </c>
      <c r="H2074" s="3" t="s">
        <v>13</v>
      </c>
      <c r="I2074" s="3">
        <v>12408600</v>
      </c>
    </row>
    <row r="2075" spans="1:9" x14ac:dyDescent="0.35">
      <c r="A2075" t="s">
        <v>30</v>
      </c>
      <c r="B2075" t="s">
        <v>35</v>
      </c>
      <c r="C2075" t="s">
        <v>32</v>
      </c>
      <c r="D2075" s="5" t="s">
        <v>11</v>
      </c>
      <c r="E2075" s="5" t="s">
        <v>12</v>
      </c>
      <c r="F2075" s="3" t="s">
        <v>13</v>
      </c>
      <c r="G2075" s="3" t="s">
        <v>13</v>
      </c>
      <c r="H2075" s="3" t="s">
        <v>13</v>
      </c>
      <c r="I2075" s="3">
        <v>300162700</v>
      </c>
    </row>
    <row r="2076" spans="1:9" x14ac:dyDescent="0.35">
      <c r="A2076" t="str">
        <f>"41281"</f>
        <v>41281</v>
      </c>
      <c r="B2076" t="s">
        <v>36</v>
      </c>
      <c r="C2076" t="s">
        <v>838</v>
      </c>
      <c r="D2076" s="5" t="str">
        <f>"009"</f>
        <v>009</v>
      </c>
      <c r="E2076" s="5">
        <v>2018</v>
      </c>
      <c r="F2076" s="3">
        <v>767400</v>
      </c>
      <c r="G2076" s="3">
        <v>21250500</v>
      </c>
      <c r="H2076" s="3">
        <v>20483100</v>
      </c>
    </row>
    <row r="2077" spans="1:9" x14ac:dyDescent="0.35">
      <c r="A2077" t="str">
        <f>"41281"</f>
        <v>41281</v>
      </c>
      <c r="B2077" t="s">
        <v>36</v>
      </c>
      <c r="C2077" t="s">
        <v>838</v>
      </c>
      <c r="D2077" s="5" t="str">
        <f>"010"</f>
        <v>010</v>
      </c>
      <c r="E2077" s="5">
        <v>2023</v>
      </c>
      <c r="F2077" s="3">
        <v>13279800</v>
      </c>
      <c r="G2077" s="3">
        <v>16145800</v>
      </c>
      <c r="H2077" s="3">
        <v>2866000</v>
      </c>
    </row>
    <row r="2078" spans="1:9" x14ac:dyDescent="0.35">
      <c r="A2078" t="str">
        <f>"41281"</f>
        <v>41281</v>
      </c>
      <c r="B2078" t="s">
        <v>36</v>
      </c>
      <c r="C2078" t="s">
        <v>838</v>
      </c>
      <c r="D2078" s="5" t="s">
        <v>11</v>
      </c>
      <c r="E2078" s="5" t="s">
        <v>12</v>
      </c>
      <c r="F2078" s="3" t="s">
        <v>13</v>
      </c>
      <c r="G2078" s="3" t="s">
        <v>13</v>
      </c>
      <c r="H2078" s="3" t="s">
        <v>13</v>
      </c>
      <c r="I2078" s="3">
        <v>1078854700</v>
      </c>
    </row>
    <row r="2079" spans="1:9" x14ac:dyDescent="0.35">
      <c r="A2079" t="str">
        <f>"41286"</f>
        <v>41286</v>
      </c>
      <c r="B2079" t="s">
        <v>36</v>
      </c>
      <c r="C2079" t="s">
        <v>839</v>
      </c>
      <c r="D2079" s="5" t="str">
        <f>"008"</f>
        <v>008</v>
      </c>
      <c r="E2079" s="5">
        <v>2015</v>
      </c>
      <c r="F2079" s="3">
        <v>43860600</v>
      </c>
      <c r="G2079" s="3">
        <v>99273500</v>
      </c>
      <c r="H2079" s="3">
        <v>55412900</v>
      </c>
    </row>
    <row r="2080" spans="1:9" x14ac:dyDescent="0.35">
      <c r="A2080" t="str">
        <f>"41286"</f>
        <v>41286</v>
      </c>
      <c r="B2080" t="s">
        <v>36</v>
      </c>
      <c r="C2080" t="s">
        <v>839</v>
      </c>
      <c r="D2080" s="5" t="str">
        <f>"009"</f>
        <v>009</v>
      </c>
      <c r="E2080" s="5">
        <v>2018</v>
      </c>
      <c r="F2080" s="3">
        <v>38836500</v>
      </c>
      <c r="G2080" s="3">
        <v>67501000</v>
      </c>
      <c r="H2080" s="3">
        <v>28664500</v>
      </c>
    </row>
    <row r="2081" spans="1:9" x14ac:dyDescent="0.35">
      <c r="A2081" t="str">
        <f>"41286"</f>
        <v>41286</v>
      </c>
      <c r="B2081" t="s">
        <v>36</v>
      </c>
      <c r="C2081" t="s">
        <v>839</v>
      </c>
      <c r="D2081" s="5" t="str">
        <f>"010"</f>
        <v>010</v>
      </c>
      <c r="E2081" s="5">
        <v>2018</v>
      </c>
      <c r="F2081" s="3">
        <v>1657500</v>
      </c>
      <c r="G2081" s="3">
        <v>23389000</v>
      </c>
      <c r="H2081" s="3">
        <v>21731500</v>
      </c>
    </row>
    <row r="2082" spans="1:9" x14ac:dyDescent="0.35">
      <c r="A2082" t="str">
        <f>"41286"</f>
        <v>41286</v>
      </c>
      <c r="B2082" t="s">
        <v>36</v>
      </c>
      <c r="C2082" t="s">
        <v>839</v>
      </c>
      <c r="D2082" s="5" t="str">
        <f>"011"</f>
        <v>011</v>
      </c>
      <c r="E2082" s="5">
        <v>2021</v>
      </c>
      <c r="F2082" s="3">
        <v>3045200</v>
      </c>
      <c r="G2082" s="3">
        <v>12428100</v>
      </c>
      <c r="H2082" s="3">
        <v>9382900</v>
      </c>
    </row>
    <row r="2083" spans="1:9" x14ac:dyDescent="0.35">
      <c r="A2083" t="str">
        <f>"41286"</f>
        <v>41286</v>
      </c>
      <c r="B2083" t="s">
        <v>36</v>
      </c>
      <c r="C2083" t="s">
        <v>839</v>
      </c>
      <c r="D2083" s="5" t="s">
        <v>11</v>
      </c>
      <c r="E2083" s="5" t="s">
        <v>12</v>
      </c>
      <c r="F2083" s="3" t="s">
        <v>13</v>
      </c>
      <c r="G2083" s="3" t="s">
        <v>13</v>
      </c>
      <c r="H2083" s="3" t="s">
        <v>13</v>
      </c>
      <c r="I2083" s="3">
        <v>1035272400</v>
      </c>
    </row>
    <row r="2084" spans="1:9" x14ac:dyDescent="0.35">
      <c r="A2084" t="s">
        <v>30</v>
      </c>
      <c r="B2084" t="s">
        <v>38</v>
      </c>
      <c r="C2084" t="s">
        <v>32</v>
      </c>
      <c r="D2084" s="5" t="s">
        <v>11</v>
      </c>
      <c r="E2084" s="5" t="s">
        <v>12</v>
      </c>
      <c r="F2084" s="3" t="s">
        <v>13</v>
      </c>
      <c r="G2084" s="3" t="s">
        <v>13</v>
      </c>
      <c r="H2084" s="3" t="s">
        <v>13</v>
      </c>
      <c r="I2084" s="3">
        <v>2114127100</v>
      </c>
    </row>
    <row r="2085" spans="1:9" x14ac:dyDescent="0.35">
      <c r="A2085" t="s">
        <v>30</v>
      </c>
      <c r="B2085" t="s">
        <v>39</v>
      </c>
      <c r="C2085" t="s">
        <v>21</v>
      </c>
      <c r="D2085" s="5" t="s">
        <v>11</v>
      </c>
      <c r="E2085" s="5" t="s">
        <v>12</v>
      </c>
      <c r="F2085" s="3" t="s">
        <v>13</v>
      </c>
      <c r="G2085" s="3" t="s">
        <v>13</v>
      </c>
      <c r="H2085" s="3" t="s">
        <v>13</v>
      </c>
      <c r="I2085" s="3">
        <v>5924442900</v>
      </c>
    </row>
    <row r="2086" spans="1:9" x14ac:dyDescent="0.35">
      <c r="A2086" t="str">
        <f>"42002"</f>
        <v>42002</v>
      </c>
      <c r="B2086" t="s">
        <v>9</v>
      </c>
      <c r="C2086" t="s">
        <v>849</v>
      </c>
      <c r="D2086" s="5" t="s">
        <v>11</v>
      </c>
      <c r="E2086" s="5" t="s">
        <v>12</v>
      </c>
      <c r="F2086" s="3" t="s">
        <v>13</v>
      </c>
      <c r="G2086" s="3" t="s">
        <v>13</v>
      </c>
      <c r="H2086" s="3" t="s">
        <v>13</v>
      </c>
      <c r="I2086" s="3">
        <v>418468600</v>
      </c>
    </row>
    <row r="2087" spans="1:9" x14ac:dyDescent="0.35">
      <c r="A2087" t="str">
        <f>"42006"</f>
        <v>42006</v>
      </c>
      <c r="B2087" t="s">
        <v>9</v>
      </c>
      <c r="C2087" t="s">
        <v>523</v>
      </c>
      <c r="D2087" s="5" t="s">
        <v>11</v>
      </c>
      <c r="E2087" s="5" t="s">
        <v>12</v>
      </c>
      <c r="F2087" s="3" t="s">
        <v>13</v>
      </c>
      <c r="G2087" s="3" t="s">
        <v>13</v>
      </c>
      <c r="H2087" s="3" t="s">
        <v>13</v>
      </c>
      <c r="I2087" s="3">
        <v>96386300</v>
      </c>
    </row>
    <row r="2088" spans="1:9" x14ac:dyDescent="0.35">
      <c r="A2088" t="str">
        <f>"42008"</f>
        <v>42008</v>
      </c>
      <c r="B2088" t="s">
        <v>9</v>
      </c>
      <c r="C2088" t="s">
        <v>850</v>
      </c>
      <c r="D2088" s="5" t="s">
        <v>11</v>
      </c>
      <c r="E2088" s="5" t="s">
        <v>12</v>
      </c>
      <c r="F2088" s="3" t="s">
        <v>13</v>
      </c>
      <c r="G2088" s="3" t="s">
        <v>13</v>
      </c>
      <c r="H2088" s="3" t="s">
        <v>13</v>
      </c>
      <c r="I2088" s="3">
        <v>599826700</v>
      </c>
    </row>
    <row r="2089" spans="1:9" x14ac:dyDescent="0.35">
      <c r="A2089" t="str">
        <f>"42010"</f>
        <v>42010</v>
      </c>
      <c r="B2089" t="s">
        <v>9</v>
      </c>
      <c r="C2089" t="s">
        <v>851</v>
      </c>
      <c r="D2089" s="5" t="s">
        <v>11</v>
      </c>
      <c r="E2089" s="5" t="s">
        <v>12</v>
      </c>
      <c r="F2089" s="3" t="s">
        <v>13</v>
      </c>
      <c r="G2089" s="3" t="s">
        <v>13</v>
      </c>
      <c r="H2089" s="3" t="s">
        <v>13</v>
      </c>
      <c r="I2089" s="3">
        <v>184510500</v>
      </c>
    </row>
    <row r="2090" spans="1:9" x14ac:dyDescent="0.35">
      <c r="A2090" t="str">
        <f>"42012"</f>
        <v>42012</v>
      </c>
      <c r="B2090" t="s">
        <v>9</v>
      </c>
      <c r="C2090" t="s">
        <v>852</v>
      </c>
      <c r="D2090" s="5" t="s">
        <v>11</v>
      </c>
      <c r="E2090" s="5" t="s">
        <v>12</v>
      </c>
      <c r="F2090" s="3" t="s">
        <v>13</v>
      </c>
      <c r="G2090" s="3" t="s">
        <v>13</v>
      </c>
      <c r="H2090" s="3" t="s">
        <v>13</v>
      </c>
      <c r="I2090" s="3">
        <v>477730500</v>
      </c>
    </row>
    <row r="2091" spans="1:9" x14ac:dyDescent="0.35">
      <c r="A2091" t="str">
        <f>"42014"</f>
        <v>42014</v>
      </c>
      <c r="B2091" t="s">
        <v>9</v>
      </c>
      <c r="C2091" t="s">
        <v>853</v>
      </c>
      <c r="D2091" s="5" t="s">
        <v>11</v>
      </c>
      <c r="E2091" s="5" t="s">
        <v>12</v>
      </c>
      <c r="F2091" s="3" t="s">
        <v>13</v>
      </c>
      <c r="G2091" s="3" t="s">
        <v>13</v>
      </c>
      <c r="H2091" s="3" t="s">
        <v>13</v>
      </c>
      <c r="I2091" s="3">
        <v>226203100</v>
      </c>
    </row>
    <row r="2092" spans="1:9" x14ac:dyDescent="0.35">
      <c r="A2092" t="str">
        <f>"42016"</f>
        <v>42016</v>
      </c>
      <c r="B2092" t="s">
        <v>9</v>
      </c>
      <c r="C2092" t="s">
        <v>854</v>
      </c>
      <c r="D2092" s="5" t="s">
        <v>11</v>
      </c>
      <c r="E2092" s="5" t="s">
        <v>12</v>
      </c>
      <c r="F2092" s="3" t="s">
        <v>13</v>
      </c>
      <c r="G2092" s="3" t="s">
        <v>13</v>
      </c>
      <c r="H2092" s="3" t="s">
        <v>13</v>
      </c>
      <c r="I2092" s="3">
        <v>137981100</v>
      </c>
    </row>
    <row r="2093" spans="1:9" x14ac:dyDescent="0.35">
      <c r="A2093" t="str">
        <f>"42018"</f>
        <v>42018</v>
      </c>
      <c r="B2093" t="s">
        <v>9</v>
      </c>
      <c r="C2093" t="s">
        <v>855</v>
      </c>
      <c r="D2093" s="5" t="s">
        <v>11</v>
      </c>
      <c r="E2093" s="5" t="s">
        <v>12</v>
      </c>
      <c r="F2093" s="3" t="s">
        <v>13</v>
      </c>
      <c r="G2093" s="3" t="s">
        <v>13</v>
      </c>
      <c r="H2093" s="3" t="s">
        <v>13</v>
      </c>
      <c r="I2093" s="3">
        <v>91245800</v>
      </c>
    </row>
    <row r="2094" spans="1:9" x14ac:dyDescent="0.35">
      <c r="A2094" t="str">
        <f>"42019"</f>
        <v>42019</v>
      </c>
      <c r="B2094" t="s">
        <v>9</v>
      </c>
      <c r="C2094" t="s">
        <v>856</v>
      </c>
      <c r="D2094" s="5" t="s">
        <v>11</v>
      </c>
      <c r="E2094" s="5" t="s">
        <v>12</v>
      </c>
      <c r="F2094" s="3" t="s">
        <v>13</v>
      </c>
      <c r="G2094" s="3" t="s">
        <v>13</v>
      </c>
      <c r="H2094" s="3" t="s">
        <v>13</v>
      </c>
      <c r="I2094" s="3">
        <v>544063900</v>
      </c>
    </row>
    <row r="2095" spans="1:9" x14ac:dyDescent="0.35">
      <c r="A2095" t="str">
        <f>"42020"</f>
        <v>42020</v>
      </c>
      <c r="B2095" t="s">
        <v>9</v>
      </c>
      <c r="C2095" t="s">
        <v>857</v>
      </c>
      <c r="D2095" s="5" t="s">
        <v>11</v>
      </c>
      <c r="E2095" s="5" t="s">
        <v>12</v>
      </c>
      <c r="F2095" s="3" t="s">
        <v>13</v>
      </c>
      <c r="G2095" s="3" t="s">
        <v>13</v>
      </c>
      <c r="H2095" s="3" t="s">
        <v>13</v>
      </c>
      <c r="I2095" s="3">
        <v>117671400</v>
      </c>
    </row>
    <row r="2096" spans="1:9" x14ac:dyDescent="0.35">
      <c r="A2096" t="str">
        <f>"42022"</f>
        <v>42022</v>
      </c>
      <c r="B2096" t="s">
        <v>9</v>
      </c>
      <c r="C2096" t="s">
        <v>858</v>
      </c>
      <c r="D2096" s="5" t="s">
        <v>11</v>
      </c>
      <c r="E2096" s="5" t="s">
        <v>12</v>
      </c>
      <c r="F2096" s="3" t="s">
        <v>13</v>
      </c>
      <c r="G2096" s="3" t="s">
        <v>13</v>
      </c>
      <c r="H2096" s="3" t="s">
        <v>13</v>
      </c>
      <c r="I2096" s="3">
        <v>207280200</v>
      </c>
    </row>
    <row r="2097" spans="1:9" x14ac:dyDescent="0.35">
      <c r="A2097" t="str">
        <f>"42024"</f>
        <v>42024</v>
      </c>
      <c r="B2097" t="s">
        <v>9</v>
      </c>
      <c r="C2097" t="s">
        <v>859</v>
      </c>
      <c r="D2097" s="5" t="s">
        <v>11</v>
      </c>
      <c r="E2097" s="5" t="s">
        <v>12</v>
      </c>
      <c r="F2097" s="3" t="s">
        <v>13</v>
      </c>
      <c r="G2097" s="3" t="s">
        <v>13</v>
      </c>
      <c r="H2097" s="3" t="s">
        <v>13</v>
      </c>
      <c r="I2097" s="3">
        <v>1056602600</v>
      </c>
    </row>
    <row r="2098" spans="1:9" x14ac:dyDescent="0.35">
      <c r="A2098" t="str">
        <f>"42026"</f>
        <v>42026</v>
      </c>
      <c r="B2098" t="s">
        <v>9</v>
      </c>
      <c r="C2098" t="s">
        <v>860</v>
      </c>
      <c r="D2098" s="5" t="s">
        <v>11</v>
      </c>
      <c r="E2098" s="5" t="s">
        <v>12</v>
      </c>
      <c r="F2098" s="3" t="s">
        <v>13</v>
      </c>
      <c r="G2098" s="3" t="s">
        <v>13</v>
      </c>
      <c r="H2098" s="3" t="s">
        <v>13</v>
      </c>
      <c r="I2098" s="3">
        <v>107641500</v>
      </c>
    </row>
    <row r="2099" spans="1:9" x14ac:dyDescent="0.35">
      <c r="A2099" t="str">
        <f>"42028"</f>
        <v>42028</v>
      </c>
      <c r="B2099" t="s">
        <v>9</v>
      </c>
      <c r="C2099" t="s">
        <v>861</v>
      </c>
      <c r="D2099" s="5" t="s">
        <v>11</v>
      </c>
      <c r="E2099" s="5" t="s">
        <v>12</v>
      </c>
      <c r="F2099" s="3" t="s">
        <v>13</v>
      </c>
      <c r="G2099" s="3" t="s">
        <v>13</v>
      </c>
      <c r="H2099" s="3" t="s">
        <v>13</v>
      </c>
      <c r="I2099" s="3">
        <v>172888900</v>
      </c>
    </row>
    <row r="2100" spans="1:9" x14ac:dyDescent="0.35">
      <c r="A2100" t="str">
        <f>"42029"</f>
        <v>42029</v>
      </c>
      <c r="B2100" t="s">
        <v>9</v>
      </c>
      <c r="C2100" t="s">
        <v>862</v>
      </c>
      <c r="D2100" s="5" t="s">
        <v>11</v>
      </c>
      <c r="E2100" s="5" t="s">
        <v>12</v>
      </c>
      <c r="F2100" s="3" t="s">
        <v>13</v>
      </c>
      <c r="G2100" s="3" t="s">
        <v>13</v>
      </c>
      <c r="H2100" s="3" t="s">
        <v>13</v>
      </c>
      <c r="I2100" s="3">
        <v>325976500</v>
      </c>
    </row>
    <row r="2101" spans="1:9" x14ac:dyDescent="0.35">
      <c r="A2101" t="str">
        <f>"42030"</f>
        <v>42030</v>
      </c>
      <c r="B2101" t="s">
        <v>9</v>
      </c>
      <c r="C2101" t="s">
        <v>863</v>
      </c>
      <c r="D2101" s="5" t="s">
        <v>11</v>
      </c>
      <c r="E2101" s="5" t="s">
        <v>12</v>
      </c>
      <c r="F2101" s="3" t="s">
        <v>13</v>
      </c>
      <c r="G2101" s="3" t="s">
        <v>13</v>
      </c>
      <c r="H2101" s="3" t="s">
        <v>13</v>
      </c>
      <c r="I2101" s="3">
        <v>245014900</v>
      </c>
    </row>
    <row r="2102" spans="1:9" x14ac:dyDescent="0.35">
      <c r="A2102" t="str">
        <f>"42032"</f>
        <v>42032</v>
      </c>
      <c r="B2102" t="s">
        <v>9</v>
      </c>
      <c r="C2102" t="s">
        <v>864</v>
      </c>
      <c r="D2102" s="5" t="s">
        <v>11</v>
      </c>
      <c r="E2102" s="5" t="s">
        <v>12</v>
      </c>
      <c r="F2102" s="3" t="s">
        <v>13</v>
      </c>
      <c r="G2102" s="3" t="s">
        <v>13</v>
      </c>
      <c r="H2102" s="3" t="s">
        <v>13</v>
      </c>
      <c r="I2102" s="3">
        <v>203302500</v>
      </c>
    </row>
    <row r="2103" spans="1:9" x14ac:dyDescent="0.35">
      <c r="A2103" t="str">
        <f>"42034"</f>
        <v>42034</v>
      </c>
      <c r="B2103" t="s">
        <v>9</v>
      </c>
      <c r="C2103" t="s">
        <v>865</v>
      </c>
      <c r="D2103" s="5" t="s">
        <v>11</v>
      </c>
      <c r="E2103" s="5" t="s">
        <v>12</v>
      </c>
      <c r="F2103" s="3" t="s">
        <v>13</v>
      </c>
      <c r="G2103" s="3" t="s">
        <v>13</v>
      </c>
      <c r="H2103" s="3" t="s">
        <v>13</v>
      </c>
      <c r="I2103" s="3">
        <v>306000800</v>
      </c>
    </row>
    <row r="2104" spans="1:9" x14ac:dyDescent="0.35">
      <c r="A2104" t="str">
        <f>"42036"</f>
        <v>42036</v>
      </c>
      <c r="B2104" t="s">
        <v>9</v>
      </c>
      <c r="C2104" t="s">
        <v>866</v>
      </c>
      <c r="D2104" s="5" t="s">
        <v>11</v>
      </c>
      <c r="E2104" s="5" t="s">
        <v>12</v>
      </c>
      <c r="F2104" s="3" t="s">
        <v>13</v>
      </c>
      <c r="G2104" s="3" t="s">
        <v>13</v>
      </c>
      <c r="H2104" s="3" t="s">
        <v>13</v>
      </c>
      <c r="I2104" s="3">
        <v>485168600</v>
      </c>
    </row>
    <row r="2105" spans="1:9" x14ac:dyDescent="0.35">
      <c r="A2105" t="str">
        <f>"42038"</f>
        <v>42038</v>
      </c>
      <c r="B2105" t="s">
        <v>9</v>
      </c>
      <c r="C2105" t="s">
        <v>867</v>
      </c>
      <c r="D2105" s="5" t="s">
        <v>11</v>
      </c>
      <c r="E2105" s="5" t="s">
        <v>12</v>
      </c>
      <c r="F2105" s="3" t="s">
        <v>13</v>
      </c>
      <c r="G2105" s="3" t="s">
        <v>13</v>
      </c>
      <c r="H2105" s="3" t="s">
        <v>13</v>
      </c>
      <c r="I2105" s="3">
        <v>258042400</v>
      </c>
    </row>
    <row r="2106" spans="1:9" x14ac:dyDescent="0.35">
      <c r="A2106" t="str">
        <f>"42040"</f>
        <v>42040</v>
      </c>
      <c r="B2106" t="s">
        <v>9</v>
      </c>
      <c r="C2106" t="s">
        <v>868</v>
      </c>
      <c r="D2106" s="5" t="s">
        <v>11</v>
      </c>
      <c r="E2106" s="5" t="s">
        <v>12</v>
      </c>
      <c r="F2106" s="3" t="s">
        <v>13</v>
      </c>
      <c r="G2106" s="3" t="s">
        <v>13</v>
      </c>
      <c r="H2106" s="3" t="s">
        <v>13</v>
      </c>
      <c r="I2106" s="3">
        <v>253982500</v>
      </c>
    </row>
    <row r="2107" spans="1:9" x14ac:dyDescent="0.35">
      <c r="A2107" t="str">
        <f>"42042"</f>
        <v>42042</v>
      </c>
      <c r="B2107" t="s">
        <v>9</v>
      </c>
      <c r="C2107" t="s">
        <v>869</v>
      </c>
      <c r="D2107" s="5" t="s">
        <v>11</v>
      </c>
      <c r="E2107" s="5" t="s">
        <v>12</v>
      </c>
      <c r="F2107" s="3" t="s">
        <v>13</v>
      </c>
      <c r="G2107" s="3" t="s">
        <v>13</v>
      </c>
      <c r="H2107" s="3" t="s">
        <v>13</v>
      </c>
      <c r="I2107" s="3">
        <v>666787700</v>
      </c>
    </row>
    <row r="2108" spans="1:9" x14ac:dyDescent="0.35">
      <c r="A2108" t="str">
        <f>"42044"</f>
        <v>42044</v>
      </c>
      <c r="B2108" t="s">
        <v>9</v>
      </c>
      <c r="C2108" t="s">
        <v>870</v>
      </c>
      <c r="D2108" s="5" t="s">
        <v>11</v>
      </c>
      <c r="E2108" s="5" t="s">
        <v>12</v>
      </c>
      <c r="F2108" s="3" t="s">
        <v>13</v>
      </c>
      <c r="G2108" s="3" t="s">
        <v>13</v>
      </c>
      <c r="H2108" s="3" t="s">
        <v>13</v>
      </c>
      <c r="I2108" s="3">
        <v>179846300</v>
      </c>
    </row>
    <row r="2109" spans="1:9" x14ac:dyDescent="0.35">
      <c r="A2109" t="s">
        <v>30</v>
      </c>
      <c r="B2109" t="s">
        <v>31</v>
      </c>
      <c r="C2109" t="s">
        <v>32</v>
      </c>
      <c r="D2109" s="5" t="s">
        <v>11</v>
      </c>
      <c r="E2109" s="5" t="s">
        <v>12</v>
      </c>
      <c r="F2109" s="3" t="s">
        <v>13</v>
      </c>
      <c r="G2109" s="3" t="s">
        <v>13</v>
      </c>
      <c r="H2109" s="3" t="s">
        <v>13</v>
      </c>
      <c r="I2109" s="3">
        <v>7362623300</v>
      </c>
    </row>
    <row r="2110" spans="1:9" x14ac:dyDescent="0.35">
      <c r="A2110" t="str">
        <f>"42146"</f>
        <v>42146</v>
      </c>
      <c r="B2110" t="s">
        <v>33</v>
      </c>
      <c r="C2110" t="s">
        <v>857</v>
      </c>
      <c r="D2110" s="5" t="str">
        <f>"001"</f>
        <v>001</v>
      </c>
      <c r="E2110" s="5">
        <v>2020</v>
      </c>
      <c r="F2110" s="3">
        <v>184700</v>
      </c>
      <c r="G2110" s="3">
        <v>1390200</v>
      </c>
      <c r="H2110" s="3">
        <v>1205500</v>
      </c>
    </row>
    <row r="2111" spans="1:9" x14ac:dyDescent="0.35">
      <c r="A2111" t="str">
        <f>"42146"</f>
        <v>42146</v>
      </c>
      <c r="B2111" t="s">
        <v>33</v>
      </c>
      <c r="C2111" t="s">
        <v>857</v>
      </c>
      <c r="D2111" s="5" t="str">
        <f>"002"</f>
        <v>002</v>
      </c>
      <c r="E2111" s="5">
        <v>2024</v>
      </c>
      <c r="F2111" s="3">
        <v>78200</v>
      </c>
      <c r="G2111" s="3">
        <v>2677300</v>
      </c>
      <c r="H2111" s="3">
        <v>2599100</v>
      </c>
    </row>
    <row r="2112" spans="1:9" x14ac:dyDescent="0.35">
      <c r="A2112" t="str">
        <f>"42146"</f>
        <v>42146</v>
      </c>
      <c r="B2112" t="s">
        <v>33</v>
      </c>
      <c r="C2112" t="s">
        <v>857</v>
      </c>
      <c r="D2112" s="5" t="s">
        <v>11</v>
      </c>
      <c r="E2112" s="5" t="s">
        <v>12</v>
      </c>
      <c r="F2112" s="3" t="s">
        <v>13</v>
      </c>
      <c r="G2112" s="3" t="s">
        <v>13</v>
      </c>
      <c r="H2112" s="3" t="s">
        <v>13</v>
      </c>
      <c r="I2112" s="3">
        <v>62095700</v>
      </c>
    </row>
    <row r="2113" spans="1:9" x14ac:dyDescent="0.35">
      <c r="A2113" t="str">
        <f>"42171"</f>
        <v>42171</v>
      </c>
      <c r="B2113" t="s">
        <v>33</v>
      </c>
      <c r="C2113" t="s">
        <v>127</v>
      </c>
      <c r="D2113" s="5" t="s">
        <v>11</v>
      </c>
      <c r="E2113" s="5" t="s">
        <v>12</v>
      </c>
      <c r="F2113" s="3" t="s">
        <v>13</v>
      </c>
      <c r="G2113" s="3" t="s">
        <v>13</v>
      </c>
      <c r="H2113" s="3" t="s">
        <v>13</v>
      </c>
      <c r="I2113" s="3">
        <v>826000</v>
      </c>
    </row>
    <row r="2114" spans="1:9" x14ac:dyDescent="0.35">
      <c r="A2114" t="str">
        <f>"42181"</f>
        <v>42181</v>
      </c>
      <c r="B2114" t="s">
        <v>33</v>
      </c>
      <c r="C2114" t="s">
        <v>871</v>
      </c>
      <c r="D2114" s="5" t="str">
        <f>"001"</f>
        <v>001</v>
      </c>
      <c r="E2114" s="5">
        <v>2000</v>
      </c>
      <c r="F2114" s="3">
        <v>1324135</v>
      </c>
      <c r="G2114" s="3">
        <v>5015700</v>
      </c>
      <c r="H2114" s="3">
        <v>3691565</v>
      </c>
    </row>
    <row r="2115" spans="1:9" x14ac:dyDescent="0.35">
      <c r="A2115" t="str">
        <f>"42181"</f>
        <v>42181</v>
      </c>
      <c r="B2115" t="s">
        <v>33</v>
      </c>
      <c r="C2115" t="s">
        <v>871</v>
      </c>
      <c r="D2115" s="5" t="str">
        <f>"002"</f>
        <v>002</v>
      </c>
      <c r="E2115" s="5">
        <v>2024</v>
      </c>
      <c r="F2115" s="3">
        <v>702300</v>
      </c>
      <c r="G2115" s="3">
        <v>794100</v>
      </c>
      <c r="H2115" s="3">
        <v>91800</v>
      </c>
    </row>
    <row r="2116" spans="1:9" x14ac:dyDescent="0.35">
      <c r="A2116" t="str">
        <f>"42181"</f>
        <v>42181</v>
      </c>
      <c r="B2116" t="s">
        <v>33</v>
      </c>
      <c r="C2116" t="s">
        <v>871</v>
      </c>
      <c r="D2116" s="5" t="s">
        <v>11</v>
      </c>
      <c r="E2116" s="5" t="s">
        <v>12</v>
      </c>
      <c r="F2116" s="3" t="s">
        <v>13</v>
      </c>
      <c r="G2116" s="3" t="s">
        <v>13</v>
      </c>
      <c r="H2116" s="3" t="s">
        <v>13</v>
      </c>
      <c r="I2116" s="3">
        <v>45031535</v>
      </c>
    </row>
    <row r="2117" spans="1:9" x14ac:dyDescent="0.35">
      <c r="A2117" t="s">
        <v>30</v>
      </c>
      <c r="B2117" t="s">
        <v>35</v>
      </c>
      <c r="C2117" t="s">
        <v>32</v>
      </c>
      <c r="D2117" s="5" t="s">
        <v>11</v>
      </c>
      <c r="E2117" s="5" t="s">
        <v>12</v>
      </c>
      <c r="F2117" s="3" t="s">
        <v>13</v>
      </c>
      <c r="G2117" s="3" t="s">
        <v>13</v>
      </c>
      <c r="H2117" s="3" t="s">
        <v>13</v>
      </c>
      <c r="I2117" s="3">
        <v>107953235</v>
      </c>
    </row>
    <row r="2118" spans="1:9" x14ac:dyDescent="0.35">
      <c r="A2118" t="str">
        <f>"42231"</f>
        <v>42231</v>
      </c>
      <c r="B2118" t="s">
        <v>36</v>
      </c>
      <c r="C2118" t="s">
        <v>854</v>
      </c>
      <c r="D2118" s="5" t="str">
        <f>"003"</f>
        <v>003</v>
      </c>
      <c r="E2118" s="5">
        <v>2000</v>
      </c>
      <c r="F2118" s="3">
        <v>6393100</v>
      </c>
      <c r="G2118" s="3">
        <v>15442700</v>
      </c>
      <c r="H2118" s="3">
        <v>9049600</v>
      </c>
    </row>
    <row r="2119" spans="1:9" x14ac:dyDescent="0.35">
      <c r="A2119" t="str">
        <f>"42231"</f>
        <v>42231</v>
      </c>
      <c r="B2119" t="s">
        <v>36</v>
      </c>
      <c r="C2119" t="s">
        <v>854</v>
      </c>
      <c r="D2119" s="5" t="str">
        <f>"004"</f>
        <v>004</v>
      </c>
      <c r="E2119" s="5">
        <v>2022</v>
      </c>
      <c r="F2119" s="3">
        <v>4298800</v>
      </c>
      <c r="G2119" s="3">
        <v>8911300</v>
      </c>
      <c r="H2119" s="3">
        <v>4612500</v>
      </c>
    </row>
    <row r="2120" spans="1:9" x14ac:dyDescent="0.35">
      <c r="A2120" t="str">
        <f>"42231"</f>
        <v>42231</v>
      </c>
      <c r="B2120" t="s">
        <v>36</v>
      </c>
      <c r="C2120" t="s">
        <v>854</v>
      </c>
      <c r="D2120" s="5" t="s">
        <v>11</v>
      </c>
      <c r="E2120" s="5" t="s">
        <v>12</v>
      </c>
      <c r="F2120" s="3" t="s">
        <v>13</v>
      </c>
      <c r="G2120" s="3" t="s">
        <v>13</v>
      </c>
      <c r="H2120" s="3" t="s">
        <v>13</v>
      </c>
      <c r="I2120" s="3">
        <v>108503300</v>
      </c>
    </row>
    <row r="2121" spans="1:9" x14ac:dyDescent="0.35">
      <c r="A2121" t="str">
        <f>"42265"</f>
        <v>42265</v>
      </c>
      <c r="B2121" t="s">
        <v>36</v>
      </c>
      <c r="C2121" t="s">
        <v>863</v>
      </c>
      <c r="D2121" s="5" t="str">
        <f>"004"</f>
        <v>004</v>
      </c>
      <c r="E2121" s="5">
        <v>2010</v>
      </c>
      <c r="F2121" s="3">
        <v>1340100</v>
      </c>
      <c r="G2121" s="3">
        <v>12193300</v>
      </c>
      <c r="H2121" s="3">
        <v>10853200</v>
      </c>
    </row>
    <row r="2122" spans="1:9" x14ac:dyDescent="0.35">
      <c r="A2122" t="str">
        <f>"42265"</f>
        <v>42265</v>
      </c>
      <c r="B2122" t="s">
        <v>36</v>
      </c>
      <c r="C2122" t="s">
        <v>863</v>
      </c>
      <c r="D2122" s="5" t="str">
        <f>"005"</f>
        <v>005</v>
      </c>
      <c r="E2122" s="5">
        <v>2022</v>
      </c>
      <c r="F2122" s="3">
        <v>11108700</v>
      </c>
      <c r="G2122" s="3">
        <v>22702500</v>
      </c>
      <c r="H2122" s="3">
        <v>11593800</v>
      </c>
    </row>
    <row r="2123" spans="1:9" x14ac:dyDescent="0.35">
      <c r="A2123" t="str">
        <f>"42265"</f>
        <v>42265</v>
      </c>
      <c r="B2123" t="s">
        <v>36</v>
      </c>
      <c r="C2123" t="s">
        <v>863</v>
      </c>
      <c r="D2123" s="5" t="s">
        <v>11</v>
      </c>
      <c r="E2123" s="5" t="s">
        <v>12</v>
      </c>
      <c r="F2123" s="3" t="s">
        <v>13</v>
      </c>
      <c r="G2123" s="3" t="s">
        <v>13</v>
      </c>
      <c r="H2123" s="3" t="s">
        <v>13</v>
      </c>
      <c r="I2123" s="3">
        <v>406541900</v>
      </c>
    </row>
    <row r="2124" spans="1:9" x14ac:dyDescent="0.35">
      <c r="A2124" t="str">
        <f>"42266"</f>
        <v>42266</v>
      </c>
      <c r="B2124" t="s">
        <v>36</v>
      </c>
      <c r="C2124" t="s">
        <v>864</v>
      </c>
      <c r="D2124" s="5" t="str">
        <f>"003"</f>
        <v>003</v>
      </c>
      <c r="E2124" s="5">
        <v>2023</v>
      </c>
      <c r="F2124" s="3">
        <v>26472800</v>
      </c>
      <c r="G2124" s="3">
        <v>27205300</v>
      </c>
      <c r="H2124" s="3">
        <v>732500</v>
      </c>
    </row>
    <row r="2125" spans="1:9" x14ac:dyDescent="0.35">
      <c r="A2125" t="str">
        <f>"42266"</f>
        <v>42266</v>
      </c>
      <c r="B2125" t="s">
        <v>36</v>
      </c>
      <c r="C2125" t="s">
        <v>864</v>
      </c>
      <c r="D2125" s="5" t="s">
        <v>11</v>
      </c>
      <c r="E2125" s="5" t="s">
        <v>12</v>
      </c>
      <c r="F2125" s="3" t="s">
        <v>13</v>
      </c>
      <c r="G2125" s="3" t="s">
        <v>13</v>
      </c>
      <c r="H2125" s="3" t="s">
        <v>13</v>
      </c>
      <c r="I2125" s="3">
        <v>306093800</v>
      </c>
    </row>
    <row r="2126" spans="1:9" x14ac:dyDescent="0.35">
      <c r="A2126" t="s">
        <v>30</v>
      </c>
      <c r="B2126" t="s">
        <v>38</v>
      </c>
      <c r="C2126" t="s">
        <v>32</v>
      </c>
      <c r="D2126" s="5" t="s">
        <v>11</v>
      </c>
      <c r="E2126" s="5" t="s">
        <v>12</v>
      </c>
      <c r="F2126" s="3" t="s">
        <v>13</v>
      </c>
      <c r="G2126" s="3" t="s">
        <v>13</v>
      </c>
      <c r="H2126" s="3" t="s">
        <v>13</v>
      </c>
      <c r="I2126" s="3">
        <v>821139000</v>
      </c>
    </row>
    <row r="2127" spans="1:9" x14ac:dyDescent="0.35">
      <c r="A2127" t="s">
        <v>30</v>
      </c>
      <c r="B2127" t="s">
        <v>39</v>
      </c>
      <c r="C2127" t="s">
        <v>863</v>
      </c>
      <c r="D2127" s="5" t="s">
        <v>11</v>
      </c>
      <c r="E2127" s="5" t="s">
        <v>12</v>
      </c>
      <c r="F2127" s="3" t="s">
        <v>13</v>
      </c>
      <c r="G2127" s="3" t="s">
        <v>13</v>
      </c>
      <c r="H2127" s="3" t="s">
        <v>13</v>
      </c>
      <c r="I2127" s="3">
        <v>8291715535</v>
      </c>
    </row>
    <row r="2128" spans="1:9" x14ac:dyDescent="0.35">
      <c r="A2128" t="str">
        <f>"43002"</f>
        <v>43002</v>
      </c>
      <c r="B2128" t="s">
        <v>9</v>
      </c>
      <c r="C2128" t="s">
        <v>872</v>
      </c>
      <c r="D2128" s="5" t="s">
        <v>11</v>
      </c>
      <c r="E2128" s="5" t="s">
        <v>12</v>
      </c>
      <c r="F2128" s="3" t="s">
        <v>13</v>
      </c>
      <c r="G2128" s="3" t="s">
        <v>13</v>
      </c>
      <c r="H2128" s="3" t="s">
        <v>13</v>
      </c>
      <c r="I2128" s="3">
        <v>479902200</v>
      </c>
    </row>
    <row r="2129" spans="1:9" x14ac:dyDescent="0.35">
      <c r="A2129" t="str">
        <f>"43004"</f>
        <v>43004</v>
      </c>
      <c r="B2129" t="s">
        <v>9</v>
      </c>
      <c r="C2129" t="s">
        <v>873</v>
      </c>
      <c r="D2129" s="5" t="s">
        <v>11</v>
      </c>
      <c r="E2129" s="5" t="s">
        <v>12</v>
      </c>
      <c r="F2129" s="3" t="s">
        <v>13</v>
      </c>
      <c r="G2129" s="3" t="s">
        <v>13</v>
      </c>
      <c r="H2129" s="3" t="s">
        <v>13</v>
      </c>
      <c r="I2129" s="3">
        <v>527108300</v>
      </c>
    </row>
    <row r="2130" spans="1:9" x14ac:dyDescent="0.35">
      <c r="A2130" t="str">
        <f>"43006"</f>
        <v>43006</v>
      </c>
      <c r="B2130" t="s">
        <v>9</v>
      </c>
      <c r="C2130" t="s">
        <v>874</v>
      </c>
      <c r="D2130" s="5" t="s">
        <v>11</v>
      </c>
      <c r="E2130" s="5" t="s">
        <v>12</v>
      </c>
      <c r="F2130" s="3" t="s">
        <v>13</v>
      </c>
      <c r="G2130" s="3" t="s">
        <v>13</v>
      </c>
      <c r="H2130" s="3" t="s">
        <v>13</v>
      </c>
      <c r="I2130" s="3">
        <v>177400000</v>
      </c>
    </row>
    <row r="2131" spans="1:9" x14ac:dyDescent="0.35">
      <c r="A2131" t="str">
        <f>"43008"</f>
        <v>43008</v>
      </c>
      <c r="B2131" t="s">
        <v>9</v>
      </c>
      <c r="C2131" t="s">
        <v>875</v>
      </c>
      <c r="D2131" s="5" t="s">
        <v>11</v>
      </c>
      <c r="E2131" s="5" t="s">
        <v>12</v>
      </c>
      <c r="F2131" s="3" t="s">
        <v>13</v>
      </c>
      <c r="G2131" s="3" t="s">
        <v>13</v>
      </c>
      <c r="H2131" s="3" t="s">
        <v>13</v>
      </c>
      <c r="I2131" s="3">
        <v>723145000</v>
      </c>
    </row>
    <row r="2132" spans="1:9" x14ac:dyDescent="0.35">
      <c r="A2132" t="str">
        <f>"43010"</f>
        <v>43010</v>
      </c>
      <c r="B2132" t="s">
        <v>9</v>
      </c>
      <c r="C2132" t="s">
        <v>876</v>
      </c>
      <c r="D2132" s="5" t="s">
        <v>11</v>
      </c>
      <c r="E2132" s="5" t="s">
        <v>12</v>
      </c>
      <c r="F2132" s="3" t="s">
        <v>13</v>
      </c>
      <c r="G2132" s="3" t="s">
        <v>13</v>
      </c>
      <c r="H2132" s="3" t="s">
        <v>13</v>
      </c>
      <c r="I2132" s="3">
        <v>488860600</v>
      </c>
    </row>
    <row r="2133" spans="1:9" x14ac:dyDescent="0.35">
      <c r="A2133" t="str">
        <f>"43012"</f>
        <v>43012</v>
      </c>
      <c r="B2133" t="s">
        <v>9</v>
      </c>
      <c r="C2133" t="s">
        <v>877</v>
      </c>
      <c r="D2133" s="5" t="s">
        <v>11</v>
      </c>
      <c r="E2133" s="5" t="s">
        <v>12</v>
      </c>
      <c r="F2133" s="3" t="s">
        <v>13</v>
      </c>
      <c r="G2133" s="3" t="s">
        <v>13</v>
      </c>
      <c r="H2133" s="3" t="s">
        <v>13</v>
      </c>
      <c r="I2133" s="3">
        <v>152286100</v>
      </c>
    </row>
    <row r="2134" spans="1:9" x14ac:dyDescent="0.35">
      <c r="A2134" t="str">
        <f>"43014"</f>
        <v>43014</v>
      </c>
      <c r="B2134" t="s">
        <v>9</v>
      </c>
      <c r="C2134" t="s">
        <v>878</v>
      </c>
      <c r="D2134" s="5" t="s">
        <v>11</v>
      </c>
      <c r="E2134" s="5" t="s">
        <v>12</v>
      </c>
      <c r="F2134" s="3" t="s">
        <v>13</v>
      </c>
      <c r="G2134" s="3" t="s">
        <v>13</v>
      </c>
      <c r="H2134" s="3" t="s">
        <v>13</v>
      </c>
      <c r="I2134" s="3">
        <v>71658300</v>
      </c>
    </row>
    <row r="2135" spans="1:9" x14ac:dyDescent="0.35">
      <c r="A2135" t="str">
        <f>"43016"</f>
        <v>43016</v>
      </c>
      <c r="B2135" t="s">
        <v>9</v>
      </c>
      <c r="C2135" t="s">
        <v>879</v>
      </c>
      <c r="D2135" s="5" t="str">
        <f>"001A"</f>
        <v>001A</v>
      </c>
      <c r="E2135" s="5">
        <v>2024</v>
      </c>
      <c r="F2135" s="3">
        <v>50890700</v>
      </c>
      <c r="G2135" s="3">
        <v>64710000</v>
      </c>
      <c r="H2135" s="3">
        <v>13819300</v>
      </c>
    </row>
    <row r="2136" spans="1:9" x14ac:dyDescent="0.35">
      <c r="A2136" t="str">
        <f>"43016"</f>
        <v>43016</v>
      </c>
      <c r="B2136" t="s">
        <v>9</v>
      </c>
      <c r="C2136" t="s">
        <v>879</v>
      </c>
      <c r="D2136" s="5" t="s">
        <v>11</v>
      </c>
      <c r="E2136" s="5" t="s">
        <v>12</v>
      </c>
      <c r="F2136" s="3" t="s">
        <v>13</v>
      </c>
      <c r="G2136" s="3" t="s">
        <v>13</v>
      </c>
      <c r="H2136" s="3" t="s">
        <v>13</v>
      </c>
      <c r="I2136" s="3">
        <v>3616335300</v>
      </c>
    </row>
    <row r="2137" spans="1:9" x14ac:dyDescent="0.35">
      <c r="A2137" t="str">
        <f>"43018"</f>
        <v>43018</v>
      </c>
      <c r="B2137" t="s">
        <v>9</v>
      </c>
      <c r="C2137" t="s">
        <v>880</v>
      </c>
      <c r="D2137" s="5" t="s">
        <v>11</v>
      </c>
      <c r="E2137" s="5" t="s">
        <v>12</v>
      </c>
      <c r="F2137" s="3" t="s">
        <v>13</v>
      </c>
      <c r="G2137" s="3" t="s">
        <v>13</v>
      </c>
      <c r="H2137" s="3" t="s">
        <v>13</v>
      </c>
      <c r="I2137" s="3">
        <v>55698200</v>
      </c>
    </row>
    <row r="2138" spans="1:9" x14ac:dyDescent="0.35">
      <c r="A2138" t="str">
        <f>"43020"</f>
        <v>43020</v>
      </c>
      <c r="B2138" t="s">
        <v>9</v>
      </c>
      <c r="C2138" t="s">
        <v>881</v>
      </c>
      <c r="D2138" s="5" t="s">
        <v>11</v>
      </c>
      <c r="E2138" s="5" t="s">
        <v>12</v>
      </c>
      <c r="F2138" s="3" t="s">
        <v>13</v>
      </c>
      <c r="G2138" s="3" t="s">
        <v>13</v>
      </c>
      <c r="H2138" s="3" t="s">
        <v>13</v>
      </c>
      <c r="I2138" s="3">
        <v>1022343200</v>
      </c>
    </row>
    <row r="2139" spans="1:9" x14ac:dyDescent="0.35">
      <c r="A2139" t="str">
        <f>"43022"</f>
        <v>43022</v>
      </c>
      <c r="B2139" t="s">
        <v>9</v>
      </c>
      <c r="C2139" t="s">
        <v>882</v>
      </c>
      <c r="D2139" s="5" t="s">
        <v>11</v>
      </c>
      <c r="E2139" s="5" t="s">
        <v>12</v>
      </c>
      <c r="F2139" s="3" t="s">
        <v>13</v>
      </c>
      <c r="G2139" s="3" t="s">
        <v>13</v>
      </c>
      <c r="H2139" s="3" t="s">
        <v>13</v>
      </c>
      <c r="I2139" s="3">
        <v>636333700</v>
      </c>
    </row>
    <row r="2140" spans="1:9" x14ac:dyDescent="0.35">
      <c r="A2140" t="str">
        <f>"43024"</f>
        <v>43024</v>
      </c>
      <c r="B2140" t="s">
        <v>9</v>
      </c>
      <c r="C2140" t="s">
        <v>883</v>
      </c>
      <c r="D2140" s="5" t="s">
        <v>11</v>
      </c>
      <c r="E2140" s="5" t="s">
        <v>12</v>
      </c>
      <c r="F2140" s="3" t="s">
        <v>13</v>
      </c>
      <c r="G2140" s="3" t="s">
        <v>13</v>
      </c>
      <c r="H2140" s="3" t="s">
        <v>13</v>
      </c>
      <c r="I2140" s="3">
        <v>547061300</v>
      </c>
    </row>
    <row r="2141" spans="1:9" x14ac:dyDescent="0.35">
      <c r="A2141" t="str">
        <f>"43026"</f>
        <v>43026</v>
      </c>
      <c r="B2141" t="s">
        <v>9</v>
      </c>
      <c r="C2141" t="s">
        <v>884</v>
      </c>
      <c r="D2141" s="5" t="s">
        <v>11</v>
      </c>
      <c r="E2141" s="5" t="s">
        <v>12</v>
      </c>
      <c r="F2141" s="3" t="s">
        <v>13</v>
      </c>
      <c r="G2141" s="3" t="s">
        <v>13</v>
      </c>
      <c r="H2141" s="3" t="s">
        <v>13</v>
      </c>
      <c r="I2141" s="3">
        <v>28060600</v>
      </c>
    </row>
    <row r="2142" spans="1:9" x14ac:dyDescent="0.35">
      <c r="A2142" t="str">
        <f>"43028"</f>
        <v>43028</v>
      </c>
      <c r="B2142" t="s">
        <v>9</v>
      </c>
      <c r="C2142" t="s">
        <v>885</v>
      </c>
      <c r="D2142" s="5" t="s">
        <v>11</v>
      </c>
      <c r="E2142" s="5" t="s">
        <v>12</v>
      </c>
      <c r="F2142" s="3" t="s">
        <v>13</v>
      </c>
      <c r="G2142" s="3" t="s">
        <v>13</v>
      </c>
      <c r="H2142" s="3" t="s">
        <v>13</v>
      </c>
      <c r="I2142" s="3">
        <v>628941800</v>
      </c>
    </row>
    <row r="2143" spans="1:9" x14ac:dyDescent="0.35">
      <c r="A2143" t="str">
        <f>"43030"</f>
        <v>43030</v>
      </c>
      <c r="B2143" t="s">
        <v>9</v>
      </c>
      <c r="C2143" t="s">
        <v>886</v>
      </c>
      <c r="D2143" s="5" t="s">
        <v>11</v>
      </c>
      <c r="E2143" s="5" t="s">
        <v>12</v>
      </c>
      <c r="F2143" s="3" t="s">
        <v>13</v>
      </c>
      <c r="G2143" s="3" t="s">
        <v>13</v>
      </c>
      <c r="H2143" s="3" t="s">
        <v>13</v>
      </c>
      <c r="I2143" s="3">
        <v>248397800</v>
      </c>
    </row>
    <row r="2144" spans="1:9" x14ac:dyDescent="0.35">
      <c r="A2144" t="str">
        <f>"43032"</f>
        <v>43032</v>
      </c>
      <c r="B2144" t="s">
        <v>9</v>
      </c>
      <c r="C2144" t="s">
        <v>887</v>
      </c>
      <c r="D2144" s="5" t="s">
        <v>11</v>
      </c>
      <c r="E2144" s="5" t="s">
        <v>12</v>
      </c>
      <c r="F2144" s="3" t="s">
        <v>13</v>
      </c>
      <c r="G2144" s="3" t="s">
        <v>13</v>
      </c>
      <c r="H2144" s="3" t="s">
        <v>13</v>
      </c>
      <c r="I2144" s="3">
        <v>152553100</v>
      </c>
    </row>
    <row r="2145" spans="1:9" x14ac:dyDescent="0.35">
      <c r="A2145" t="str">
        <f>"43034"</f>
        <v>43034</v>
      </c>
      <c r="B2145" t="s">
        <v>9</v>
      </c>
      <c r="C2145" t="s">
        <v>888</v>
      </c>
      <c r="D2145" s="5" t="s">
        <v>11</v>
      </c>
      <c r="E2145" s="5" t="s">
        <v>12</v>
      </c>
      <c r="F2145" s="3" t="s">
        <v>13</v>
      </c>
      <c r="G2145" s="3" t="s">
        <v>13</v>
      </c>
      <c r="H2145" s="3" t="s">
        <v>13</v>
      </c>
      <c r="I2145" s="3">
        <v>838021600</v>
      </c>
    </row>
    <row r="2146" spans="1:9" x14ac:dyDescent="0.35">
      <c r="A2146" t="str">
        <f>"43036"</f>
        <v>43036</v>
      </c>
      <c r="B2146" t="s">
        <v>9</v>
      </c>
      <c r="C2146" t="s">
        <v>889</v>
      </c>
      <c r="D2146" s="5" t="s">
        <v>11</v>
      </c>
      <c r="E2146" s="5" t="s">
        <v>12</v>
      </c>
      <c r="F2146" s="3" t="s">
        <v>13</v>
      </c>
      <c r="G2146" s="3" t="s">
        <v>13</v>
      </c>
      <c r="H2146" s="3" t="s">
        <v>13</v>
      </c>
      <c r="I2146" s="3">
        <v>2297659600</v>
      </c>
    </row>
    <row r="2147" spans="1:9" x14ac:dyDescent="0.35">
      <c r="A2147" t="str">
        <f>"43038"</f>
        <v>43038</v>
      </c>
      <c r="B2147" t="s">
        <v>9</v>
      </c>
      <c r="C2147" t="s">
        <v>890</v>
      </c>
      <c r="D2147" s="5" t="s">
        <v>11</v>
      </c>
      <c r="E2147" s="5" t="s">
        <v>12</v>
      </c>
      <c r="F2147" s="3" t="s">
        <v>13</v>
      </c>
      <c r="G2147" s="3" t="s">
        <v>13</v>
      </c>
      <c r="H2147" s="3" t="s">
        <v>13</v>
      </c>
      <c r="I2147" s="3">
        <v>340957800</v>
      </c>
    </row>
    <row r="2148" spans="1:9" x14ac:dyDescent="0.35">
      <c r="A2148" t="str">
        <f>"43040"</f>
        <v>43040</v>
      </c>
      <c r="B2148" t="s">
        <v>9</v>
      </c>
      <c r="C2148" t="s">
        <v>891</v>
      </c>
      <c r="D2148" s="5" t="s">
        <v>11</v>
      </c>
      <c r="E2148" s="5" t="s">
        <v>12</v>
      </c>
      <c r="F2148" s="3" t="s">
        <v>13</v>
      </c>
      <c r="G2148" s="3" t="s">
        <v>13</v>
      </c>
      <c r="H2148" s="3" t="s">
        <v>13</v>
      </c>
      <c r="I2148" s="3">
        <v>763687000</v>
      </c>
    </row>
    <row r="2149" spans="1:9" x14ac:dyDescent="0.35">
      <c r="A2149" t="s">
        <v>30</v>
      </c>
      <c r="B2149" t="s">
        <v>31</v>
      </c>
      <c r="C2149" t="s">
        <v>32</v>
      </c>
      <c r="D2149" s="5" t="s">
        <v>11</v>
      </c>
      <c r="E2149" s="5" t="s">
        <v>12</v>
      </c>
      <c r="F2149" s="3" t="s">
        <v>13</v>
      </c>
      <c r="G2149" s="3" t="s">
        <v>13</v>
      </c>
      <c r="H2149" s="3" t="s">
        <v>13</v>
      </c>
      <c r="I2149" s="3">
        <v>13796411500</v>
      </c>
    </row>
    <row r="2150" spans="1:9" x14ac:dyDescent="0.35">
      <c r="A2150" t="str">
        <f t="shared" ref="A2150:A2156" si="49">"43276"</f>
        <v>43276</v>
      </c>
      <c r="B2150" t="s">
        <v>36</v>
      </c>
      <c r="C2150" t="s">
        <v>892</v>
      </c>
      <c r="D2150" s="5" t="str">
        <f>"001E"</f>
        <v>001E</v>
      </c>
      <c r="E2150" s="5">
        <v>2005</v>
      </c>
      <c r="F2150" s="3">
        <v>1135800</v>
      </c>
      <c r="G2150" s="3">
        <v>8351300</v>
      </c>
      <c r="H2150" s="3">
        <v>7215500</v>
      </c>
    </row>
    <row r="2151" spans="1:9" x14ac:dyDescent="0.35">
      <c r="A2151" t="str">
        <f t="shared" si="49"/>
        <v>43276</v>
      </c>
      <c r="B2151" t="s">
        <v>36</v>
      </c>
      <c r="C2151" t="s">
        <v>892</v>
      </c>
      <c r="D2151" s="5" t="str">
        <f>"008"</f>
        <v>008</v>
      </c>
      <c r="E2151" s="5">
        <v>2010</v>
      </c>
      <c r="F2151" s="3">
        <v>44455400</v>
      </c>
      <c r="G2151" s="3">
        <v>65767500</v>
      </c>
      <c r="H2151" s="3">
        <v>21312100</v>
      </c>
    </row>
    <row r="2152" spans="1:9" x14ac:dyDescent="0.35">
      <c r="A2152" t="str">
        <f t="shared" si="49"/>
        <v>43276</v>
      </c>
      <c r="B2152" t="s">
        <v>36</v>
      </c>
      <c r="C2152" t="s">
        <v>892</v>
      </c>
      <c r="D2152" s="5" t="str">
        <f>"009"</f>
        <v>009</v>
      </c>
      <c r="E2152" s="5">
        <v>2012</v>
      </c>
      <c r="F2152" s="3">
        <v>4900</v>
      </c>
      <c r="G2152" s="3">
        <v>25677900</v>
      </c>
      <c r="H2152" s="3">
        <v>25673000</v>
      </c>
    </row>
    <row r="2153" spans="1:9" x14ac:dyDescent="0.35">
      <c r="A2153" t="str">
        <f t="shared" si="49"/>
        <v>43276</v>
      </c>
      <c r="B2153" t="s">
        <v>36</v>
      </c>
      <c r="C2153" t="s">
        <v>892</v>
      </c>
      <c r="D2153" s="5" t="str">
        <f>"010"</f>
        <v>010</v>
      </c>
      <c r="E2153" s="5">
        <v>2013</v>
      </c>
      <c r="F2153" s="3">
        <v>5648100</v>
      </c>
      <c r="G2153" s="3">
        <v>14394500</v>
      </c>
      <c r="H2153" s="3">
        <v>8746400</v>
      </c>
    </row>
    <row r="2154" spans="1:9" x14ac:dyDescent="0.35">
      <c r="A2154" t="str">
        <f t="shared" si="49"/>
        <v>43276</v>
      </c>
      <c r="B2154" t="s">
        <v>36</v>
      </c>
      <c r="C2154" t="s">
        <v>892</v>
      </c>
      <c r="D2154" s="5" t="str">
        <f>"011"</f>
        <v>011</v>
      </c>
      <c r="E2154" s="5">
        <v>2022</v>
      </c>
      <c r="F2154" s="3">
        <v>15434500</v>
      </c>
      <c r="G2154" s="3">
        <v>26499700</v>
      </c>
      <c r="H2154" s="3">
        <v>11065200</v>
      </c>
    </row>
    <row r="2155" spans="1:9" x14ac:dyDescent="0.35">
      <c r="A2155" t="str">
        <f t="shared" si="49"/>
        <v>43276</v>
      </c>
      <c r="B2155" t="s">
        <v>36</v>
      </c>
      <c r="C2155" t="s">
        <v>892</v>
      </c>
      <c r="D2155" s="5" t="str">
        <f>"012"</f>
        <v>012</v>
      </c>
      <c r="E2155" s="5">
        <v>2022</v>
      </c>
      <c r="F2155" s="3">
        <v>265900</v>
      </c>
      <c r="G2155" s="3">
        <v>12662400</v>
      </c>
      <c r="H2155" s="3">
        <v>12396500</v>
      </c>
    </row>
    <row r="2156" spans="1:9" x14ac:dyDescent="0.35">
      <c r="A2156" t="str">
        <f t="shared" si="49"/>
        <v>43276</v>
      </c>
      <c r="B2156" t="s">
        <v>36</v>
      </c>
      <c r="C2156" t="s">
        <v>892</v>
      </c>
      <c r="D2156" s="5" t="s">
        <v>11</v>
      </c>
      <c r="E2156" s="5" t="s">
        <v>12</v>
      </c>
      <c r="F2156" s="3" t="s">
        <v>13</v>
      </c>
      <c r="G2156" s="3" t="s">
        <v>13</v>
      </c>
      <c r="H2156" s="3" t="s">
        <v>13</v>
      </c>
      <c r="I2156" s="3">
        <v>799527200</v>
      </c>
    </row>
    <row r="2157" spans="1:9" x14ac:dyDescent="0.35">
      <c r="A2157" t="s">
        <v>30</v>
      </c>
      <c r="B2157" t="s">
        <v>38</v>
      </c>
      <c r="C2157" t="s">
        <v>32</v>
      </c>
      <c r="D2157" s="5" t="s">
        <v>11</v>
      </c>
      <c r="E2157" s="5" t="s">
        <v>12</v>
      </c>
      <c r="F2157" s="3" t="s">
        <v>13</v>
      </c>
      <c r="G2157" s="3" t="s">
        <v>13</v>
      </c>
      <c r="H2157" s="3" t="s">
        <v>13</v>
      </c>
      <c r="I2157" s="3">
        <v>799527200</v>
      </c>
    </row>
    <row r="2158" spans="1:9" x14ac:dyDescent="0.35">
      <c r="A2158" t="s">
        <v>30</v>
      </c>
      <c r="B2158" t="s">
        <v>39</v>
      </c>
      <c r="C2158" t="s">
        <v>893</v>
      </c>
      <c r="D2158" s="5" t="s">
        <v>11</v>
      </c>
      <c r="E2158" s="5" t="s">
        <v>12</v>
      </c>
      <c r="F2158" s="3" t="s">
        <v>13</v>
      </c>
      <c r="G2158" s="3" t="s">
        <v>13</v>
      </c>
      <c r="H2158" s="3" t="s">
        <v>13</v>
      </c>
      <c r="I2158" s="3">
        <v>14595938700</v>
      </c>
    </row>
    <row r="2159" spans="1:9" x14ac:dyDescent="0.35">
      <c r="A2159" t="str">
        <f>"44002"</f>
        <v>44002</v>
      </c>
      <c r="B2159" t="s">
        <v>9</v>
      </c>
      <c r="C2159" t="s">
        <v>894</v>
      </c>
      <c r="D2159" s="5" t="s">
        <v>11</v>
      </c>
      <c r="E2159" s="5" t="s">
        <v>12</v>
      </c>
      <c r="F2159" s="3" t="s">
        <v>13</v>
      </c>
      <c r="G2159" s="3" t="s">
        <v>13</v>
      </c>
      <c r="H2159" s="3" t="s">
        <v>13</v>
      </c>
      <c r="I2159" s="3">
        <v>231454400</v>
      </c>
    </row>
    <row r="2160" spans="1:9" x14ac:dyDescent="0.35">
      <c r="A2160" t="str">
        <f>"44004"</f>
        <v>44004</v>
      </c>
      <c r="B2160" t="s">
        <v>9</v>
      </c>
      <c r="C2160" t="s">
        <v>895</v>
      </c>
      <c r="D2160" s="5" t="s">
        <v>11</v>
      </c>
      <c r="E2160" s="5" t="s">
        <v>12</v>
      </c>
      <c r="F2160" s="3" t="s">
        <v>13</v>
      </c>
      <c r="G2160" s="3" t="s">
        <v>13</v>
      </c>
      <c r="H2160" s="3" t="s">
        <v>13</v>
      </c>
      <c r="I2160" s="3">
        <v>213724500</v>
      </c>
    </row>
    <row r="2161" spans="1:9" x14ac:dyDescent="0.35">
      <c r="A2161" t="str">
        <f>"44006"</f>
        <v>44006</v>
      </c>
      <c r="B2161" t="s">
        <v>9</v>
      </c>
      <c r="C2161" t="s">
        <v>896</v>
      </c>
      <c r="D2161" s="5" t="s">
        <v>11</v>
      </c>
      <c r="E2161" s="5" t="s">
        <v>12</v>
      </c>
      <c r="F2161" s="3" t="s">
        <v>13</v>
      </c>
      <c r="G2161" s="3" t="s">
        <v>13</v>
      </c>
      <c r="H2161" s="3" t="s">
        <v>13</v>
      </c>
      <c r="I2161" s="3">
        <v>1199896500</v>
      </c>
    </row>
    <row r="2162" spans="1:9" x14ac:dyDescent="0.35">
      <c r="A2162" t="str">
        <f>"44008"</f>
        <v>44008</v>
      </c>
      <c r="B2162" t="s">
        <v>9</v>
      </c>
      <c r="C2162" t="s">
        <v>897</v>
      </c>
      <c r="D2162" s="5" t="s">
        <v>11</v>
      </c>
      <c r="E2162" s="5" t="s">
        <v>12</v>
      </c>
      <c r="F2162" s="3" t="s">
        <v>13</v>
      </c>
      <c r="G2162" s="3" t="s">
        <v>13</v>
      </c>
      <c r="H2162" s="3" t="s">
        <v>13</v>
      </c>
      <c r="I2162" s="3">
        <v>755934700</v>
      </c>
    </row>
    <row r="2163" spans="1:9" x14ac:dyDescent="0.35">
      <c r="A2163" t="str">
        <f>"44010"</f>
        <v>44010</v>
      </c>
      <c r="B2163" t="s">
        <v>9</v>
      </c>
      <c r="C2163" t="s">
        <v>898</v>
      </c>
      <c r="D2163" s="5" t="s">
        <v>11</v>
      </c>
      <c r="E2163" s="5" t="s">
        <v>12</v>
      </c>
      <c r="F2163" s="3" t="s">
        <v>13</v>
      </c>
      <c r="G2163" s="3" t="s">
        <v>13</v>
      </c>
      <c r="H2163" s="3" t="s">
        <v>13</v>
      </c>
      <c r="I2163" s="3">
        <v>177188400</v>
      </c>
    </row>
    <row r="2164" spans="1:9" x14ac:dyDescent="0.35">
      <c r="A2164" t="str">
        <f>"44012"</f>
        <v>44012</v>
      </c>
      <c r="B2164" t="s">
        <v>9</v>
      </c>
      <c r="C2164" t="s">
        <v>899</v>
      </c>
      <c r="D2164" s="5" t="s">
        <v>11</v>
      </c>
      <c r="E2164" s="5" t="s">
        <v>12</v>
      </c>
      <c r="F2164" s="3" t="s">
        <v>13</v>
      </c>
      <c r="G2164" s="3" t="s">
        <v>13</v>
      </c>
      <c r="H2164" s="3" t="s">
        <v>13</v>
      </c>
      <c r="I2164" s="3">
        <v>518120300</v>
      </c>
    </row>
    <row r="2165" spans="1:9" x14ac:dyDescent="0.35">
      <c r="A2165" t="str">
        <f>"44014"</f>
        <v>44014</v>
      </c>
      <c r="B2165" t="s">
        <v>9</v>
      </c>
      <c r="C2165" t="s">
        <v>900</v>
      </c>
      <c r="D2165" s="5" t="s">
        <v>11</v>
      </c>
      <c r="E2165" s="5" t="s">
        <v>12</v>
      </c>
      <c r="F2165" s="3" t="s">
        <v>13</v>
      </c>
      <c r="G2165" s="3" t="s">
        <v>13</v>
      </c>
      <c r="H2165" s="3" t="s">
        <v>13</v>
      </c>
      <c r="I2165" s="3">
        <v>87156600</v>
      </c>
    </row>
    <row r="2166" spans="1:9" x14ac:dyDescent="0.35">
      <c r="A2166" t="str">
        <f>"44016"</f>
        <v>44016</v>
      </c>
      <c r="B2166" t="s">
        <v>9</v>
      </c>
      <c r="C2166" t="s">
        <v>901</v>
      </c>
      <c r="D2166" s="5" t="s">
        <v>11</v>
      </c>
      <c r="E2166" s="5" t="s">
        <v>12</v>
      </c>
      <c r="F2166" s="3" t="s">
        <v>13</v>
      </c>
      <c r="G2166" s="3" t="s">
        <v>13</v>
      </c>
      <c r="H2166" s="3" t="s">
        <v>13</v>
      </c>
      <c r="I2166" s="3">
        <v>617380500</v>
      </c>
    </row>
    <row r="2167" spans="1:9" x14ac:dyDescent="0.35">
      <c r="A2167" t="str">
        <f>"44018"</f>
        <v>44018</v>
      </c>
      <c r="B2167" t="s">
        <v>9</v>
      </c>
      <c r="C2167" t="s">
        <v>484</v>
      </c>
      <c r="D2167" s="5" t="str">
        <f>"001A"</f>
        <v>001A</v>
      </c>
      <c r="E2167" s="5">
        <v>2016</v>
      </c>
      <c r="F2167" s="3">
        <v>2008100</v>
      </c>
      <c r="G2167" s="3">
        <v>43472900</v>
      </c>
      <c r="H2167" s="3">
        <v>41464800</v>
      </c>
    </row>
    <row r="2168" spans="1:9" x14ac:dyDescent="0.35">
      <c r="A2168" t="str">
        <f>"44018"</f>
        <v>44018</v>
      </c>
      <c r="B2168" t="s">
        <v>9</v>
      </c>
      <c r="C2168" t="s">
        <v>484</v>
      </c>
      <c r="D2168" s="5" t="str">
        <f>"002A"</f>
        <v>002A</v>
      </c>
      <c r="E2168" s="5">
        <v>2017</v>
      </c>
      <c r="F2168" s="3">
        <v>11728400</v>
      </c>
      <c r="G2168" s="3">
        <v>36705500</v>
      </c>
      <c r="H2168" s="3">
        <v>24977100</v>
      </c>
    </row>
    <row r="2169" spans="1:9" x14ac:dyDescent="0.35">
      <c r="A2169" t="str">
        <f>"44018"</f>
        <v>44018</v>
      </c>
      <c r="B2169" t="s">
        <v>9</v>
      </c>
      <c r="C2169" t="s">
        <v>484</v>
      </c>
      <c r="D2169" s="5" t="str">
        <f>"003A"</f>
        <v>003A</v>
      </c>
      <c r="E2169" s="5">
        <v>2023</v>
      </c>
      <c r="F2169" s="3">
        <v>5675800</v>
      </c>
      <c r="G2169" s="3">
        <v>24043700</v>
      </c>
      <c r="H2169" s="3">
        <v>18367900</v>
      </c>
    </row>
    <row r="2170" spans="1:9" x14ac:dyDescent="0.35">
      <c r="A2170" t="str">
        <f>"44018"</f>
        <v>44018</v>
      </c>
      <c r="B2170" t="s">
        <v>9</v>
      </c>
      <c r="C2170" t="s">
        <v>484</v>
      </c>
      <c r="D2170" s="5" t="s">
        <v>11</v>
      </c>
      <c r="E2170" s="5" t="s">
        <v>12</v>
      </c>
      <c r="F2170" s="3" t="s">
        <v>13</v>
      </c>
      <c r="G2170" s="3" t="s">
        <v>13</v>
      </c>
      <c r="H2170" s="3" t="s">
        <v>13</v>
      </c>
      <c r="I2170" s="3">
        <v>1020030700</v>
      </c>
    </row>
    <row r="2171" spans="1:9" x14ac:dyDescent="0.35">
      <c r="A2171" t="str">
        <f t="shared" ref="A2171:A2176" si="50">"44020"</f>
        <v>44020</v>
      </c>
      <c r="B2171" t="s">
        <v>9</v>
      </c>
      <c r="C2171" t="s">
        <v>902</v>
      </c>
      <c r="D2171" s="5" t="str">
        <f>"001A"</f>
        <v>001A</v>
      </c>
      <c r="E2171" s="5">
        <v>2015</v>
      </c>
      <c r="F2171" s="3">
        <v>7700</v>
      </c>
      <c r="G2171" s="3">
        <v>25487700</v>
      </c>
      <c r="H2171" s="3">
        <v>25480000</v>
      </c>
    </row>
    <row r="2172" spans="1:9" x14ac:dyDescent="0.35">
      <c r="A2172" t="str">
        <f t="shared" si="50"/>
        <v>44020</v>
      </c>
      <c r="B2172" t="s">
        <v>9</v>
      </c>
      <c r="C2172" t="s">
        <v>902</v>
      </c>
      <c r="D2172" s="5" t="str">
        <f>"002A"</f>
        <v>002A</v>
      </c>
      <c r="E2172" s="5">
        <v>2016</v>
      </c>
      <c r="F2172" s="3">
        <v>18780400</v>
      </c>
      <c r="G2172" s="3">
        <v>107481100</v>
      </c>
      <c r="H2172" s="3">
        <v>88700700</v>
      </c>
    </row>
    <row r="2173" spans="1:9" x14ac:dyDescent="0.35">
      <c r="A2173" t="str">
        <f t="shared" si="50"/>
        <v>44020</v>
      </c>
      <c r="B2173" t="s">
        <v>9</v>
      </c>
      <c r="C2173" t="s">
        <v>902</v>
      </c>
      <c r="D2173" s="5" t="str">
        <f>"003A"</f>
        <v>003A</v>
      </c>
      <c r="E2173" s="5">
        <v>2017</v>
      </c>
      <c r="F2173" s="3">
        <v>14700600</v>
      </c>
      <c r="G2173" s="3">
        <v>35412500</v>
      </c>
      <c r="H2173" s="3">
        <v>20711900</v>
      </c>
    </row>
    <row r="2174" spans="1:9" x14ac:dyDescent="0.35">
      <c r="A2174" t="str">
        <f t="shared" si="50"/>
        <v>44020</v>
      </c>
      <c r="B2174" t="s">
        <v>9</v>
      </c>
      <c r="C2174" t="s">
        <v>902</v>
      </c>
      <c r="D2174" s="5" t="str">
        <f>"004A"</f>
        <v>004A</v>
      </c>
      <c r="E2174" s="5">
        <v>2018</v>
      </c>
      <c r="F2174" s="3">
        <v>3635800</v>
      </c>
      <c r="G2174" s="3">
        <v>36167500</v>
      </c>
      <c r="H2174" s="3">
        <v>32531700</v>
      </c>
    </row>
    <row r="2175" spans="1:9" x14ac:dyDescent="0.35">
      <c r="A2175" t="str">
        <f t="shared" si="50"/>
        <v>44020</v>
      </c>
      <c r="B2175" t="s">
        <v>9</v>
      </c>
      <c r="C2175" t="s">
        <v>902</v>
      </c>
      <c r="D2175" s="5" t="str">
        <f>"005A"</f>
        <v>005A</v>
      </c>
      <c r="E2175" s="5">
        <v>2024</v>
      </c>
      <c r="F2175" s="3">
        <v>2918500</v>
      </c>
      <c r="G2175" s="3">
        <v>3881200</v>
      </c>
      <c r="H2175" s="3">
        <v>962700</v>
      </c>
    </row>
    <row r="2176" spans="1:9" x14ac:dyDescent="0.35">
      <c r="A2176" t="str">
        <f t="shared" si="50"/>
        <v>44020</v>
      </c>
      <c r="B2176" t="s">
        <v>9</v>
      </c>
      <c r="C2176" t="s">
        <v>902</v>
      </c>
      <c r="D2176" s="5" t="s">
        <v>11</v>
      </c>
      <c r="E2176" s="5" t="s">
        <v>12</v>
      </c>
      <c r="F2176" s="3" t="s">
        <v>13</v>
      </c>
      <c r="G2176" s="3" t="s">
        <v>13</v>
      </c>
      <c r="H2176" s="3" t="s">
        <v>13</v>
      </c>
      <c r="I2176" s="3">
        <v>4671499800</v>
      </c>
    </row>
    <row r="2177" spans="1:9" x14ac:dyDescent="0.35">
      <c r="A2177" t="str">
        <f>"44024"</f>
        <v>44024</v>
      </c>
      <c r="B2177" t="s">
        <v>9</v>
      </c>
      <c r="C2177" t="s">
        <v>903</v>
      </c>
      <c r="D2177" s="5" t="s">
        <v>11</v>
      </c>
      <c r="E2177" s="5" t="s">
        <v>12</v>
      </c>
      <c r="F2177" s="3" t="s">
        <v>13</v>
      </c>
      <c r="G2177" s="3" t="s">
        <v>13</v>
      </c>
      <c r="H2177" s="3" t="s">
        <v>13</v>
      </c>
      <c r="I2177" s="3">
        <v>212031100</v>
      </c>
    </row>
    <row r="2178" spans="1:9" x14ac:dyDescent="0.35">
      <c r="A2178" t="str">
        <f>"44026"</f>
        <v>44026</v>
      </c>
      <c r="B2178" t="s">
        <v>9</v>
      </c>
      <c r="C2178" t="s">
        <v>183</v>
      </c>
      <c r="D2178" s="5" t="s">
        <v>11</v>
      </c>
      <c r="E2178" s="5" t="s">
        <v>12</v>
      </c>
      <c r="F2178" s="3" t="s">
        <v>13</v>
      </c>
      <c r="G2178" s="3" t="s">
        <v>13</v>
      </c>
      <c r="H2178" s="3" t="s">
        <v>13</v>
      </c>
      <c r="I2178" s="3">
        <v>305871100</v>
      </c>
    </row>
    <row r="2179" spans="1:9" x14ac:dyDescent="0.35">
      <c r="A2179" t="str">
        <f>"44028"</f>
        <v>44028</v>
      </c>
      <c r="B2179" t="s">
        <v>9</v>
      </c>
      <c r="C2179" t="s">
        <v>503</v>
      </c>
      <c r="D2179" s="5" t="s">
        <v>11</v>
      </c>
      <c r="E2179" s="5" t="s">
        <v>12</v>
      </c>
      <c r="F2179" s="3" t="s">
        <v>13</v>
      </c>
      <c r="G2179" s="3" t="s">
        <v>13</v>
      </c>
      <c r="H2179" s="3" t="s">
        <v>13</v>
      </c>
      <c r="I2179" s="3">
        <v>142147100</v>
      </c>
    </row>
    <row r="2180" spans="1:9" x14ac:dyDescent="0.35">
      <c r="A2180" t="str">
        <f>"44030"</f>
        <v>44030</v>
      </c>
      <c r="B2180" t="s">
        <v>9</v>
      </c>
      <c r="C2180" t="s">
        <v>776</v>
      </c>
      <c r="D2180" s="5" t="s">
        <v>11</v>
      </c>
      <c r="E2180" s="5" t="s">
        <v>12</v>
      </c>
      <c r="F2180" s="3" t="s">
        <v>13</v>
      </c>
      <c r="G2180" s="3" t="s">
        <v>13</v>
      </c>
      <c r="H2180" s="3" t="s">
        <v>13</v>
      </c>
      <c r="I2180" s="3">
        <v>142529800</v>
      </c>
    </row>
    <row r="2181" spans="1:9" x14ac:dyDescent="0.35">
      <c r="A2181" t="str">
        <f>"44032"</f>
        <v>44032</v>
      </c>
      <c r="B2181" t="s">
        <v>9</v>
      </c>
      <c r="C2181" t="s">
        <v>904</v>
      </c>
      <c r="D2181" s="5" t="s">
        <v>11</v>
      </c>
      <c r="E2181" s="5" t="s">
        <v>12</v>
      </c>
      <c r="F2181" s="3" t="s">
        <v>13</v>
      </c>
      <c r="G2181" s="3" t="s">
        <v>13</v>
      </c>
      <c r="H2181" s="3" t="s">
        <v>13</v>
      </c>
      <c r="I2181" s="3">
        <v>87897500</v>
      </c>
    </row>
    <row r="2182" spans="1:9" x14ac:dyDescent="0.35">
      <c r="A2182" t="str">
        <f>"44034"</f>
        <v>44034</v>
      </c>
      <c r="B2182" t="s">
        <v>9</v>
      </c>
      <c r="C2182" t="s">
        <v>893</v>
      </c>
      <c r="D2182" s="5" t="s">
        <v>11</v>
      </c>
      <c r="E2182" s="5" t="s">
        <v>12</v>
      </c>
      <c r="F2182" s="3" t="s">
        <v>13</v>
      </c>
      <c r="G2182" s="3" t="s">
        <v>13</v>
      </c>
      <c r="H2182" s="3" t="s">
        <v>13</v>
      </c>
      <c r="I2182" s="3">
        <v>457766100</v>
      </c>
    </row>
    <row r="2183" spans="1:9" x14ac:dyDescent="0.35">
      <c r="A2183" t="str">
        <f>"44036"</f>
        <v>44036</v>
      </c>
      <c r="B2183" t="s">
        <v>9</v>
      </c>
      <c r="C2183" t="s">
        <v>905</v>
      </c>
      <c r="D2183" s="5" t="s">
        <v>11</v>
      </c>
      <c r="E2183" s="5" t="s">
        <v>12</v>
      </c>
      <c r="F2183" s="3" t="s">
        <v>13</v>
      </c>
      <c r="G2183" s="3" t="s">
        <v>13</v>
      </c>
      <c r="H2183" s="3" t="s">
        <v>13</v>
      </c>
      <c r="I2183" s="3">
        <v>218288000</v>
      </c>
    </row>
    <row r="2184" spans="1:9" x14ac:dyDescent="0.35">
      <c r="A2184" t="str">
        <f>"44038"</f>
        <v>44038</v>
      </c>
      <c r="B2184" t="s">
        <v>9</v>
      </c>
      <c r="C2184" t="s">
        <v>443</v>
      </c>
      <c r="D2184" s="5" t="s">
        <v>11</v>
      </c>
      <c r="E2184" s="5" t="s">
        <v>12</v>
      </c>
      <c r="F2184" s="3" t="s">
        <v>13</v>
      </c>
      <c r="G2184" s="3" t="s">
        <v>13</v>
      </c>
      <c r="H2184" s="3" t="s">
        <v>13</v>
      </c>
      <c r="I2184" s="3">
        <v>193982900</v>
      </c>
    </row>
    <row r="2185" spans="1:9" x14ac:dyDescent="0.35">
      <c r="A2185" t="str">
        <f>"44040"</f>
        <v>44040</v>
      </c>
      <c r="B2185" t="s">
        <v>9</v>
      </c>
      <c r="C2185" t="s">
        <v>906</v>
      </c>
      <c r="D2185" s="5" t="s">
        <v>11</v>
      </c>
      <c r="E2185" s="5" t="s">
        <v>12</v>
      </c>
      <c r="F2185" s="3" t="s">
        <v>13</v>
      </c>
      <c r="G2185" s="3" t="s">
        <v>13</v>
      </c>
      <c r="H2185" s="3" t="s">
        <v>13</v>
      </c>
      <c r="I2185" s="3">
        <v>361592900</v>
      </c>
    </row>
    <row r="2186" spans="1:9" x14ac:dyDescent="0.35">
      <c r="A2186" t="s">
        <v>30</v>
      </c>
      <c r="B2186" t="s">
        <v>31</v>
      </c>
      <c r="C2186" t="s">
        <v>32</v>
      </c>
      <c r="D2186" s="5" t="s">
        <v>11</v>
      </c>
      <c r="E2186" s="5" t="s">
        <v>12</v>
      </c>
      <c r="F2186" s="3" t="s">
        <v>13</v>
      </c>
      <c r="G2186" s="3" t="s">
        <v>13</v>
      </c>
      <c r="H2186" s="3" t="s">
        <v>13</v>
      </c>
      <c r="I2186" s="3">
        <v>11614492900</v>
      </c>
    </row>
    <row r="2187" spans="1:9" x14ac:dyDescent="0.35">
      <c r="A2187" t="str">
        <f>"44106"</f>
        <v>44106</v>
      </c>
      <c r="B2187" t="s">
        <v>33</v>
      </c>
      <c r="C2187" t="s">
        <v>907</v>
      </c>
      <c r="D2187" s="5" t="s">
        <v>11</v>
      </c>
      <c r="E2187" s="5" t="s">
        <v>12</v>
      </c>
      <c r="F2187" s="3" t="s">
        <v>13</v>
      </c>
      <c r="G2187" s="3" t="s">
        <v>13</v>
      </c>
      <c r="H2187" s="3" t="s">
        <v>13</v>
      </c>
      <c r="I2187" s="3">
        <v>36620600</v>
      </c>
    </row>
    <row r="2188" spans="1:9" x14ac:dyDescent="0.35">
      <c r="A2188" t="str">
        <f>"44107"</f>
        <v>44107</v>
      </c>
      <c r="B2188" t="s">
        <v>33</v>
      </c>
      <c r="C2188" t="s">
        <v>894</v>
      </c>
      <c r="D2188" s="5" t="str">
        <f>"003"</f>
        <v>003</v>
      </c>
      <c r="E2188" s="5">
        <v>2022</v>
      </c>
      <c r="F2188" s="3">
        <v>5505400</v>
      </c>
      <c r="G2188" s="3">
        <v>8746800</v>
      </c>
      <c r="H2188" s="3">
        <v>3241400</v>
      </c>
    </row>
    <row r="2189" spans="1:9" x14ac:dyDescent="0.35">
      <c r="A2189" t="str">
        <f>"44107"</f>
        <v>44107</v>
      </c>
      <c r="B2189" t="s">
        <v>33</v>
      </c>
      <c r="C2189" t="s">
        <v>894</v>
      </c>
      <c r="D2189" s="5" t="s">
        <v>11</v>
      </c>
      <c r="E2189" s="5" t="s">
        <v>12</v>
      </c>
      <c r="F2189" s="3" t="s">
        <v>13</v>
      </c>
      <c r="G2189" s="3" t="s">
        <v>13</v>
      </c>
      <c r="H2189" s="3" t="s">
        <v>13</v>
      </c>
      <c r="I2189" s="3">
        <v>133966500</v>
      </c>
    </row>
    <row r="2190" spans="1:9" x14ac:dyDescent="0.35">
      <c r="A2190" t="str">
        <f>"44111"</f>
        <v>44111</v>
      </c>
      <c r="B2190" t="s">
        <v>33</v>
      </c>
      <c r="C2190" t="s">
        <v>908</v>
      </c>
      <c r="D2190" s="5" t="str">
        <f>"002"</f>
        <v>002</v>
      </c>
      <c r="E2190" s="5">
        <v>2015</v>
      </c>
      <c r="F2190" s="3">
        <v>8097400</v>
      </c>
      <c r="G2190" s="3">
        <v>17196800</v>
      </c>
      <c r="H2190" s="3">
        <v>9099400</v>
      </c>
    </row>
    <row r="2191" spans="1:9" x14ac:dyDescent="0.35">
      <c r="A2191" t="str">
        <f>"44111"</f>
        <v>44111</v>
      </c>
      <c r="B2191" t="s">
        <v>33</v>
      </c>
      <c r="C2191" t="s">
        <v>908</v>
      </c>
      <c r="D2191" s="5" t="str">
        <f>"003"</f>
        <v>003</v>
      </c>
      <c r="E2191" s="5">
        <v>2019</v>
      </c>
      <c r="F2191" s="3">
        <v>935400</v>
      </c>
      <c r="G2191" s="3">
        <v>12083700</v>
      </c>
      <c r="H2191" s="3">
        <v>11148300</v>
      </c>
    </row>
    <row r="2192" spans="1:9" x14ac:dyDescent="0.35">
      <c r="A2192" t="str">
        <f>"44111"</f>
        <v>44111</v>
      </c>
      <c r="B2192" t="s">
        <v>33</v>
      </c>
      <c r="C2192" t="s">
        <v>908</v>
      </c>
      <c r="D2192" s="5" t="s">
        <v>11</v>
      </c>
      <c r="E2192" s="5" t="s">
        <v>12</v>
      </c>
      <c r="F2192" s="3" t="s">
        <v>13</v>
      </c>
      <c r="G2192" s="3" t="s">
        <v>13</v>
      </c>
      <c r="H2192" s="3" t="s">
        <v>13</v>
      </c>
      <c r="I2192" s="3">
        <v>553548700</v>
      </c>
    </row>
    <row r="2193" spans="1:9" x14ac:dyDescent="0.35">
      <c r="A2193" t="str">
        <f>"44121"</f>
        <v>44121</v>
      </c>
      <c r="B2193" t="s">
        <v>33</v>
      </c>
      <c r="C2193" t="s">
        <v>909</v>
      </c>
      <c r="D2193" s="5" t="s">
        <v>11</v>
      </c>
      <c r="E2193" s="5" t="s">
        <v>12</v>
      </c>
      <c r="F2193" s="3" t="s">
        <v>13</v>
      </c>
      <c r="G2193" s="3" t="s">
        <v>13</v>
      </c>
      <c r="H2193" s="3" t="s">
        <v>13</v>
      </c>
      <c r="I2193" s="3">
        <v>116300</v>
      </c>
    </row>
    <row r="2194" spans="1:9" x14ac:dyDescent="0.35">
      <c r="A2194" t="str">
        <f>"44122"</f>
        <v>44122</v>
      </c>
      <c r="B2194" t="s">
        <v>33</v>
      </c>
      <c r="C2194" t="s">
        <v>910</v>
      </c>
      <c r="D2194" s="5" t="str">
        <f>"001"</f>
        <v>001</v>
      </c>
      <c r="E2194" s="5">
        <v>2017</v>
      </c>
      <c r="F2194" s="3">
        <v>11133900</v>
      </c>
      <c r="G2194" s="3">
        <v>48143600</v>
      </c>
      <c r="H2194" s="3">
        <v>37009700</v>
      </c>
    </row>
    <row r="2195" spans="1:9" x14ac:dyDescent="0.35">
      <c r="A2195" t="str">
        <f>"44122"</f>
        <v>44122</v>
      </c>
      <c r="B2195" t="s">
        <v>33</v>
      </c>
      <c r="C2195" t="s">
        <v>910</v>
      </c>
      <c r="D2195" s="5" t="str">
        <f>"002"</f>
        <v>002</v>
      </c>
      <c r="E2195" s="5">
        <v>2022</v>
      </c>
      <c r="F2195" s="3">
        <v>33457200</v>
      </c>
      <c r="G2195" s="3">
        <v>52174500</v>
      </c>
      <c r="H2195" s="3">
        <v>18717300</v>
      </c>
    </row>
    <row r="2196" spans="1:9" x14ac:dyDescent="0.35">
      <c r="A2196" t="str">
        <f>"44122"</f>
        <v>44122</v>
      </c>
      <c r="B2196" t="s">
        <v>33</v>
      </c>
      <c r="C2196" t="s">
        <v>910</v>
      </c>
      <c r="D2196" s="5" t="s">
        <v>11</v>
      </c>
      <c r="E2196" s="5" t="s">
        <v>12</v>
      </c>
      <c r="F2196" s="3" t="s">
        <v>13</v>
      </c>
      <c r="G2196" s="3" t="s">
        <v>13</v>
      </c>
      <c r="H2196" s="3" t="s">
        <v>13</v>
      </c>
      <c r="I2196" s="3">
        <v>2560942500</v>
      </c>
    </row>
    <row r="2197" spans="1:9" x14ac:dyDescent="0.35">
      <c r="A2197" t="str">
        <f>"44131"</f>
        <v>44131</v>
      </c>
      <c r="B2197" t="s">
        <v>33</v>
      </c>
      <c r="C2197" t="s">
        <v>174</v>
      </c>
      <c r="D2197" s="5" t="s">
        <v>11</v>
      </c>
      <c r="E2197" s="5" t="s">
        <v>12</v>
      </c>
      <c r="F2197" s="3" t="s">
        <v>13</v>
      </c>
      <c r="G2197" s="3" t="s">
        <v>13</v>
      </c>
      <c r="H2197" s="3" t="s">
        <v>13</v>
      </c>
      <c r="I2197" s="3">
        <v>0</v>
      </c>
    </row>
    <row r="2198" spans="1:9" x14ac:dyDescent="0.35">
      <c r="A2198" t="str">
        <f>"44136"</f>
        <v>44136</v>
      </c>
      <c r="B2198" t="s">
        <v>33</v>
      </c>
      <c r="C2198" t="s">
        <v>911</v>
      </c>
      <c r="D2198" s="5" t="str">
        <f>"003"</f>
        <v>003</v>
      </c>
      <c r="E2198" s="5">
        <v>2013</v>
      </c>
      <c r="F2198" s="3">
        <v>487700</v>
      </c>
      <c r="G2198" s="3">
        <v>8912500</v>
      </c>
      <c r="H2198" s="3">
        <v>8424800</v>
      </c>
    </row>
    <row r="2199" spans="1:9" x14ac:dyDescent="0.35">
      <c r="A2199" t="str">
        <f>"44136"</f>
        <v>44136</v>
      </c>
      <c r="B2199" t="s">
        <v>33</v>
      </c>
      <c r="C2199" t="s">
        <v>911</v>
      </c>
      <c r="D2199" s="5" t="str">
        <f>"004"</f>
        <v>004</v>
      </c>
      <c r="E2199" s="5">
        <v>2017</v>
      </c>
      <c r="F2199" s="3">
        <v>4288600</v>
      </c>
      <c r="G2199" s="3">
        <v>21888000</v>
      </c>
      <c r="H2199" s="3">
        <v>17599400</v>
      </c>
    </row>
    <row r="2200" spans="1:9" x14ac:dyDescent="0.35">
      <c r="A2200" t="str">
        <f>"44136"</f>
        <v>44136</v>
      </c>
      <c r="B2200" t="s">
        <v>33</v>
      </c>
      <c r="C2200" t="s">
        <v>911</v>
      </c>
      <c r="D2200" s="5" t="str">
        <f>"005"</f>
        <v>005</v>
      </c>
      <c r="E2200" s="5">
        <v>2017</v>
      </c>
      <c r="F2200" s="3">
        <v>520300</v>
      </c>
      <c r="G2200" s="3">
        <v>847300</v>
      </c>
      <c r="H2200" s="3">
        <v>327000</v>
      </c>
    </row>
    <row r="2201" spans="1:9" x14ac:dyDescent="0.35">
      <c r="A2201" t="str">
        <f>"44136"</f>
        <v>44136</v>
      </c>
      <c r="B2201" t="s">
        <v>33</v>
      </c>
      <c r="C2201" t="s">
        <v>911</v>
      </c>
      <c r="D2201" s="5" t="str">
        <f>"006"</f>
        <v>006</v>
      </c>
      <c r="E2201" s="5">
        <v>2022</v>
      </c>
      <c r="F2201" s="3">
        <v>5928500</v>
      </c>
      <c r="G2201" s="3">
        <v>22045700</v>
      </c>
      <c r="H2201" s="3">
        <v>16117200</v>
      </c>
    </row>
    <row r="2202" spans="1:9" x14ac:dyDescent="0.35">
      <c r="A2202" t="str">
        <f>"44136"</f>
        <v>44136</v>
      </c>
      <c r="B2202" t="s">
        <v>33</v>
      </c>
      <c r="C2202" t="s">
        <v>911</v>
      </c>
      <c r="D2202" s="5" t="s">
        <v>11</v>
      </c>
      <c r="E2202" s="5" t="s">
        <v>12</v>
      </c>
      <c r="F2202" s="3" t="s">
        <v>13</v>
      </c>
      <c r="G2202" s="3" t="s">
        <v>13</v>
      </c>
      <c r="H2202" s="3" t="s">
        <v>13</v>
      </c>
      <c r="I2202" s="3">
        <v>423367700</v>
      </c>
    </row>
    <row r="2203" spans="1:9" x14ac:dyDescent="0.35">
      <c r="A2203" t="str">
        <f>"44137"</f>
        <v>44137</v>
      </c>
      <c r="B2203" t="s">
        <v>33</v>
      </c>
      <c r="C2203" t="s">
        <v>126</v>
      </c>
      <c r="D2203" s="5" t="s">
        <v>11</v>
      </c>
      <c r="E2203" s="5" t="s">
        <v>12</v>
      </c>
      <c r="F2203" s="3" t="s">
        <v>13</v>
      </c>
      <c r="G2203" s="3" t="s">
        <v>13</v>
      </c>
      <c r="H2203" s="3" t="s">
        <v>13</v>
      </c>
      <c r="I2203" s="3">
        <v>0</v>
      </c>
    </row>
    <row r="2204" spans="1:9" x14ac:dyDescent="0.35">
      <c r="A2204" t="str">
        <f>"44141"</f>
        <v>44141</v>
      </c>
      <c r="B2204" t="s">
        <v>33</v>
      </c>
      <c r="C2204" t="s">
        <v>912</v>
      </c>
      <c r="D2204" s="5" t="str">
        <f>"004"</f>
        <v>004</v>
      </c>
      <c r="E2204" s="5">
        <v>2005</v>
      </c>
      <c r="F2204" s="3">
        <v>778200</v>
      </c>
      <c r="G2204" s="3">
        <v>17787100</v>
      </c>
      <c r="H2204" s="3">
        <v>17008900</v>
      </c>
    </row>
    <row r="2205" spans="1:9" x14ac:dyDescent="0.35">
      <c r="A2205" t="str">
        <f>"44141"</f>
        <v>44141</v>
      </c>
      <c r="B2205" t="s">
        <v>33</v>
      </c>
      <c r="C2205" t="s">
        <v>912</v>
      </c>
      <c r="D2205" s="5" t="str">
        <f>"005"</f>
        <v>005</v>
      </c>
      <c r="E2205" s="5">
        <v>2008</v>
      </c>
      <c r="F2205" s="3">
        <v>11345100</v>
      </c>
      <c r="G2205" s="3">
        <v>72059400</v>
      </c>
      <c r="H2205" s="3">
        <v>60714300</v>
      </c>
    </row>
    <row r="2206" spans="1:9" x14ac:dyDescent="0.35">
      <c r="A2206" t="str">
        <f>"44141"</f>
        <v>44141</v>
      </c>
      <c r="B2206" t="s">
        <v>33</v>
      </c>
      <c r="C2206" t="s">
        <v>912</v>
      </c>
      <c r="D2206" s="5" t="str">
        <f>"006"</f>
        <v>006</v>
      </c>
      <c r="E2206" s="5">
        <v>2016</v>
      </c>
      <c r="F2206" s="3">
        <v>18519100</v>
      </c>
      <c r="G2206" s="3">
        <v>206628400</v>
      </c>
      <c r="H2206" s="3">
        <v>188109300</v>
      </c>
    </row>
    <row r="2207" spans="1:9" x14ac:dyDescent="0.35">
      <c r="A2207" t="str">
        <f>"44141"</f>
        <v>44141</v>
      </c>
      <c r="B2207" t="s">
        <v>33</v>
      </c>
      <c r="C2207" t="s">
        <v>912</v>
      </c>
      <c r="D2207" s="5" t="s">
        <v>11</v>
      </c>
      <c r="E2207" s="5" t="s">
        <v>12</v>
      </c>
      <c r="F2207" s="3" t="s">
        <v>13</v>
      </c>
      <c r="G2207" s="3" t="s">
        <v>13</v>
      </c>
      <c r="H2207" s="3" t="s">
        <v>13</v>
      </c>
      <c r="I2207" s="3">
        <v>817906400</v>
      </c>
    </row>
    <row r="2208" spans="1:9" x14ac:dyDescent="0.35">
      <c r="A2208" t="str">
        <f>"44146"</f>
        <v>44146</v>
      </c>
      <c r="B2208" t="s">
        <v>33</v>
      </c>
      <c r="C2208" t="s">
        <v>913</v>
      </c>
      <c r="D2208" s="5" t="str">
        <f>"005"</f>
        <v>005</v>
      </c>
      <c r="E2208" s="5">
        <v>2013</v>
      </c>
      <c r="F2208" s="3">
        <v>11352900</v>
      </c>
      <c r="G2208" s="3">
        <v>60307300</v>
      </c>
      <c r="H2208" s="3">
        <v>48954400</v>
      </c>
    </row>
    <row r="2209" spans="1:9" x14ac:dyDescent="0.35">
      <c r="A2209" t="str">
        <f>"44146"</f>
        <v>44146</v>
      </c>
      <c r="B2209" t="s">
        <v>33</v>
      </c>
      <c r="C2209" t="s">
        <v>913</v>
      </c>
      <c r="D2209" s="5" t="str">
        <f>"006"</f>
        <v>006</v>
      </c>
      <c r="E2209" s="5">
        <v>2016</v>
      </c>
      <c r="F2209" s="3">
        <v>2075700</v>
      </c>
      <c r="G2209" s="3">
        <v>152367200</v>
      </c>
      <c r="H2209" s="3">
        <v>150291500</v>
      </c>
    </row>
    <row r="2210" spans="1:9" x14ac:dyDescent="0.35">
      <c r="A2210" t="str">
        <f>"44146"</f>
        <v>44146</v>
      </c>
      <c r="B2210" t="s">
        <v>33</v>
      </c>
      <c r="C2210" t="s">
        <v>913</v>
      </c>
      <c r="D2210" s="5" t="str">
        <f>"007"</f>
        <v>007</v>
      </c>
      <c r="E2210" s="5">
        <v>2018</v>
      </c>
      <c r="F2210" s="3">
        <v>3436200</v>
      </c>
      <c r="G2210" s="3">
        <v>123891400</v>
      </c>
      <c r="H2210" s="3">
        <v>120455200</v>
      </c>
    </row>
    <row r="2211" spans="1:9" x14ac:dyDescent="0.35">
      <c r="A2211" t="str">
        <f>"44146"</f>
        <v>44146</v>
      </c>
      <c r="B2211" t="s">
        <v>33</v>
      </c>
      <c r="C2211" t="s">
        <v>913</v>
      </c>
      <c r="D2211" s="5" t="str">
        <f>"008"</f>
        <v>008</v>
      </c>
      <c r="E2211" s="5">
        <v>2018</v>
      </c>
      <c r="F2211" s="3">
        <v>2599800</v>
      </c>
      <c r="G2211" s="3">
        <v>15528800</v>
      </c>
      <c r="H2211" s="3">
        <v>12929000</v>
      </c>
    </row>
    <row r="2212" spans="1:9" x14ac:dyDescent="0.35">
      <c r="A2212" t="str">
        <f>"44146"</f>
        <v>44146</v>
      </c>
      <c r="B2212" t="s">
        <v>33</v>
      </c>
      <c r="C2212" t="s">
        <v>913</v>
      </c>
      <c r="D2212" s="5" t="s">
        <v>11</v>
      </c>
      <c r="E2212" s="5" t="s">
        <v>12</v>
      </c>
      <c r="F2212" s="3" t="s">
        <v>13</v>
      </c>
      <c r="G2212" s="3" t="s">
        <v>13</v>
      </c>
      <c r="H2212" s="3" t="s">
        <v>13</v>
      </c>
      <c r="I2212" s="3">
        <v>1561597100</v>
      </c>
    </row>
    <row r="2213" spans="1:9" x14ac:dyDescent="0.35">
      <c r="A2213" t="str">
        <f>"44155"</f>
        <v>44155</v>
      </c>
      <c r="B2213" t="s">
        <v>33</v>
      </c>
      <c r="C2213" t="s">
        <v>914</v>
      </c>
      <c r="D2213" s="5" t="s">
        <v>11</v>
      </c>
      <c r="E2213" s="5" t="s">
        <v>12</v>
      </c>
      <c r="F2213" s="3" t="s">
        <v>13</v>
      </c>
      <c r="G2213" s="3" t="s">
        <v>13</v>
      </c>
      <c r="H2213" s="3" t="s">
        <v>13</v>
      </c>
      <c r="I2213" s="3">
        <v>16024000</v>
      </c>
    </row>
    <row r="2214" spans="1:9" x14ac:dyDescent="0.35">
      <c r="A2214" t="str">
        <f>"44181"</f>
        <v>44181</v>
      </c>
      <c r="B2214" t="s">
        <v>33</v>
      </c>
      <c r="C2214" t="s">
        <v>915</v>
      </c>
      <c r="D2214" s="5" t="s">
        <v>11</v>
      </c>
      <c r="E2214" s="5" t="s">
        <v>12</v>
      </c>
      <c r="F2214" s="3" t="s">
        <v>13</v>
      </c>
      <c r="G2214" s="3" t="s">
        <v>13</v>
      </c>
      <c r="H2214" s="3" t="s">
        <v>13</v>
      </c>
      <c r="I2214" s="3">
        <v>79795600</v>
      </c>
    </row>
    <row r="2215" spans="1:9" x14ac:dyDescent="0.35">
      <c r="A2215" t="str">
        <f>"44191"</f>
        <v>44191</v>
      </c>
      <c r="B2215" t="s">
        <v>33</v>
      </c>
      <c r="C2215" t="s">
        <v>119</v>
      </c>
      <c r="D2215" s="5" t="str">
        <f>"003"</f>
        <v>003</v>
      </c>
      <c r="E2215" s="5">
        <v>2015</v>
      </c>
      <c r="F2215" s="3">
        <v>1929200</v>
      </c>
      <c r="G2215" s="3">
        <v>86960200</v>
      </c>
      <c r="H2215" s="3">
        <v>85031000</v>
      </c>
    </row>
    <row r="2216" spans="1:9" x14ac:dyDescent="0.35">
      <c r="A2216" t="str">
        <f>"44191"</f>
        <v>44191</v>
      </c>
      <c r="B2216" t="s">
        <v>33</v>
      </c>
      <c r="C2216" t="s">
        <v>119</v>
      </c>
      <c r="D2216" s="5" t="str">
        <f>"004"</f>
        <v>004</v>
      </c>
      <c r="E2216" s="5">
        <v>2016</v>
      </c>
      <c r="F2216" s="3">
        <v>1087500</v>
      </c>
      <c r="G2216" s="3">
        <v>70864800</v>
      </c>
      <c r="H2216" s="3">
        <v>69777300</v>
      </c>
    </row>
    <row r="2217" spans="1:9" x14ac:dyDescent="0.35">
      <c r="A2217" t="str">
        <f>"44191"</f>
        <v>44191</v>
      </c>
      <c r="B2217" t="s">
        <v>33</v>
      </c>
      <c r="C2217" t="s">
        <v>119</v>
      </c>
      <c r="D2217" s="5" t="s">
        <v>11</v>
      </c>
      <c r="E2217" s="5" t="s">
        <v>12</v>
      </c>
      <c r="F2217" s="3" t="s">
        <v>13</v>
      </c>
      <c r="G2217" s="3" t="s">
        <v>13</v>
      </c>
      <c r="H2217" s="3" t="s">
        <v>13</v>
      </c>
      <c r="I2217" s="3">
        <v>60554400</v>
      </c>
    </row>
    <row r="2218" spans="1:9" x14ac:dyDescent="0.35">
      <c r="A2218" t="s">
        <v>30</v>
      </c>
      <c r="B2218" t="s">
        <v>35</v>
      </c>
      <c r="C2218" t="s">
        <v>32</v>
      </c>
      <c r="D2218" s="5" t="s">
        <v>11</v>
      </c>
      <c r="E2218" s="5" t="s">
        <v>12</v>
      </c>
      <c r="F2218" s="3" t="s">
        <v>13</v>
      </c>
      <c r="G2218" s="3" t="s">
        <v>13</v>
      </c>
      <c r="H2218" s="3" t="s">
        <v>13</v>
      </c>
      <c r="I2218" s="3">
        <v>6244439800</v>
      </c>
    </row>
    <row r="2219" spans="1:9" x14ac:dyDescent="0.35">
      <c r="A2219" t="str">
        <f t="shared" ref="A2219:A2225" si="51">"44201"</f>
        <v>44201</v>
      </c>
      <c r="B2219" t="s">
        <v>36</v>
      </c>
      <c r="C2219" t="s">
        <v>182</v>
      </c>
      <c r="D2219" s="5" t="str">
        <f>"003"</f>
        <v>003</v>
      </c>
      <c r="E2219" s="5">
        <v>1993</v>
      </c>
      <c r="F2219" s="3">
        <v>10526000</v>
      </c>
      <c r="G2219" s="3">
        <v>91393400</v>
      </c>
      <c r="H2219" s="3">
        <v>80867400</v>
      </c>
    </row>
    <row r="2220" spans="1:9" x14ac:dyDescent="0.35">
      <c r="A2220" t="str">
        <f t="shared" si="51"/>
        <v>44201</v>
      </c>
      <c r="B2220" t="s">
        <v>36</v>
      </c>
      <c r="C2220" t="s">
        <v>182</v>
      </c>
      <c r="D2220" s="5" t="str">
        <f>"008"</f>
        <v>008</v>
      </c>
      <c r="E2220" s="5">
        <v>2009</v>
      </c>
      <c r="F2220" s="3">
        <v>5665700</v>
      </c>
      <c r="G2220" s="3">
        <v>112750000</v>
      </c>
      <c r="H2220" s="3">
        <v>107084300</v>
      </c>
    </row>
    <row r="2221" spans="1:9" x14ac:dyDescent="0.35">
      <c r="A2221" t="str">
        <f t="shared" si="51"/>
        <v>44201</v>
      </c>
      <c r="B2221" t="s">
        <v>36</v>
      </c>
      <c r="C2221" t="s">
        <v>182</v>
      </c>
      <c r="D2221" s="5" t="str">
        <f>"009"</f>
        <v>009</v>
      </c>
      <c r="E2221" s="5">
        <v>2013</v>
      </c>
      <c r="F2221" s="3">
        <v>15525200</v>
      </c>
      <c r="G2221" s="3">
        <v>21714800</v>
      </c>
      <c r="H2221" s="3">
        <v>6189600</v>
      </c>
    </row>
    <row r="2222" spans="1:9" x14ac:dyDescent="0.35">
      <c r="A2222" t="str">
        <f t="shared" si="51"/>
        <v>44201</v>
      </c>
      <c r="B2222" t="s">
        <v>36</v>
      </c>
      <c r="C2222" t="s">
        <v>182</v>
      </c>
      <c r="D2222" s="5" t="str">
        <f>"010"</f>
        <v>010</v>
      </c>
      <c r="E2222" s="5">
        <v>2013</v>
      </c>
      <c r="F2222" s="3">
        <v>23547900</v>
      </c>
      <c r="G2222" s="3">
        <v>31042900</v>
      </c>
      <c r="H2222" s="3">
        <v>7495000</v>
      </c>
    </row>
    <row r="2223" spans="1:9" x14ac:dyDescent="0.35">
      <c r="A2223" t="str">
        <f t="shared" si="51"/>
        <v>44201</v>
      </c>
      <c r="B2223" t="s">
        <v>36</v>
      </c>
      <c r="C2223" t="s">
        <v>182</v>
      </c>
      <c r="D2223" s="5" t="str">
        <f>"011"</f>
        <v>011</v>
      </c>
      <c r="E2223" s="5">
        <v>2017</v>
      </c>
      <c r="F2223" s="3">
        <v>85469800</v>
      </c>
      <c r="G2223" s="3">
        <v>209873400</v>
      </c>
      <c r="H2223" s="3">
        <v>124403600</v>
      </c>
    </row>
    <row r="2224" spans="1:9" x14ac:dyDescent="0.35">
      <c r="A2224" t="str">
        <f t="shared" si="51"/>
        <v>44201</v>
      </c>
      <c r="B2224" t="s">
        <v>36</v>
      </c>
      <c r="C2224" t="s">
        <v>182</v>
      </c>
      <c r="D2224" s="5" t="str">
        <f>"012"</f>
        <v>012</v>
      </c>
      <c r="E2224" s="5">
        <v>2017</v>
      </c>
      <c r="F2224" s="3">
        <v>28929600</v>
      </c>
      <c r="G2224" s="3">
        <v>53677400</v>
      </c>
      <c r="H2224" s="3">
        <v>24747800</v>
      </c>
    </row>
    <row r="2225" spans="1:9" x14ac:dyDescent="0.35">
      <c r="A2225" t="str">
        <f t="shared" si="51"/>
        <v>44201</v>
      </c>
      <c r="B2225" t="s">
        <v>36</v>
      </c>
      <c r="C2225" t="s">
        <v>182</v>
      </c>
      <c r="D2225" s="5" t="s">
        <v>11</v>
      </c>
      <c r="E2225" s="5" t="s">
        <v>12</v>
      </c>
      <c r="F2225" s="3" t="s">
        <v>13</v>
      </c>
      <c r="G2225" s="3" t="s">
        <v>13</v>
      </c>
      <c r="H2225" s="3" t="s">
        <v>13</v>
      </c>
      <c r="I2225" s="3">
        <v>8401684700</v>
      </c>
    </row>
    <row r="2226" spans="1:9" x14ac:dyDescent="0.35">
      <c r="A2226" t="str">
        <f t="shared" ref="A2226:A2235" si="52">"44241"</f>
        <v>44241</v>
      </c>
      <c r="B2226" t="s">
        <v>36</v>
      </c>
      <c r="C2226" t="s">
        <v>183</v>
      </c>
      <c r="D2226" s="5" t="str">
        <f>"001E"</f>
        <v>001E</v>
      </c>
      <c r="E2226" s="5">
        <v>2005</v>
      </c>
      <c r="F2226" s="3">
        <v>32800</v>
      </c>
      <c r="G2226" s="3">
        <v>8326600</v>
      </c>
      <c r="H2226" s="3">
        <v>8293800</v>
      </c>
    </row>
    <row r="2227" spans="1:9" x14ac:dyDescent="0.35">
      <c r="A2227" t="str">
        <f t="shared" si="52"/>
        <v>44241</v>
      </c>
      <c r="B2227" t="s">
        <v>36</v>
      </c>
      <c r="C2227" t="s">
        <v>183</v>
      </c>
      <c r="D2227" s="5" t="str">
        <f>"004"</f>
        <v>004</v>
      </c>
      <c r="E2227" s="5">
        <v>2000</v>
      </c>
      <c r="F2227" s="3">
        <v>15252700</v>
      </c>
      <c r="G2227" s="3">
        <v>23609400</v>
      </c>
      <c r="H2227" s="3">
        <v>8356700</v>
      </c>
    </row>
    <row r="2228" spans="1:9" x14ac:dyDescent="0.35">
      <c r="A2228" t="str">
        <f t="shared" si="52"/>
        <v>44241</v>
      </c>
      <c r="B2228" t="s">
        <v>36</v>
      </c>
      <c r="C2228" t="s">
        <v>183</v>
      </c>
      <c r="D2228" s="5" t="str">
        <f>"005"</f>
        <v>005</v>
      </c>
      <c r="E2228" s="5">
        <v>2003</v>
      </c>
      <c r="F2228" s="3">
        <v>1077900</v>
      </c>
      <c r="G2228" s="3">
        <v>63931500</v>
      </c>
      <c r="H2228" s="3">
        <v>62853600</v>
      </c>
    </row>
    <row r="2229" spans="1:9" x14ac:dyDescent="0.35">
      <c r="A2229" t="str">
        <f t="shared" si="52"/>
        <v>44241</v>
      </c>
      <c r="B2229" t="s">
        <v>36</v>
      </c>
      <c r="C2229" t="s">
        <v>183</v>
      </c>
      <c r="D2229" s="5" t="str">
        <f>"006"</f>
        <v>006</v>
      </c>
      <c r="E2229" s="5">
        <v>2006</v>
      </c>
      <c r="F2229" s="3">
        <v>2726900</v>
      </c>
      <c r="G2229" s="3">
        <v>72752600</v>
      </c>
      <c r="H2229" s="3">
        <v>70025700</v>
      </c>
    </row>
    <row r="2230" spans="1:9" x14ac:dyDescent="0.35">
      <c r="A2230" t="str">
        <f t="shared" si="52"/>
        <v>44241</v>
      </c>
      <c r="B2230" t="s">
        <v>36</v>
      </c>
      <c r="C2230" t="s">
        <v>183</v>
      </c>
      <c r="D2230" s="5" t="str">
        <f>"008"</f>
        <v>008</v>
      </c>
      <c r="E2230" s="5">
        <v>2013</v>
      </c>
      <c r="F2230" s="3">
        <v>2571200</v>
      </c>
      <c r="G2230" s="3">
        <v>8193700</v>
      </c>
      <c r="H2230" s="3">
        <v>5622500</v>
      </c>
    </row>
    <row r="2231" spans="1:9" x14ac:dyDescent="0.35">
      <c r="A2231" t="str">
        <f t="shared" si="52"/>
        <v>44241</v>
      </c>
      <c r="B2231" t="s">
        <v>36</v>
      </c>
      <c r="C2231" t="s">
        <v>183</v>
      </c>
      <c r="D2231" s="5" t="str">
        <f>"009"</f>
        <v>009</v>
      </c>
      <c r="E2231" s="5">
        <v>2016</v>
      </c>
      <c r="F2231" s="3">
        <v>1259700</v>
      </c>
      <c r="G2231" s="3">
        <v>3390200</v>
      </c>
      <c r="H2231" s="3">
        <v>2130500</v>
      </c>
    </row>
    <row r="2232" spans="1:9" x14ac:dyDescent="0.35">
      <c r="A2232" t="str">
        <f t="shared" si="52"/>
        <v>44241</v>
      </c>
      <c r="B2232" t="s">
        <v>36</v>
      </c>
      <c r="C2232" t="s">
        <v>183</v>
      </c>
      <c r="D2232" s="5" t="str">
        <f>"010"</f>
        <v>010</v>
      </c>
      <c r="E2232" s="5">
        <v>2019</v>
      </c>
      <c r="F2232" s="3">
        <v>6040500</v>
      </c>
      <c r="G2232" s="3">
        <v>19245300</v>
      </c>
      <c r="H2232" s="3">
        <v>13204800</v>
      </c>
    </row>
    <row r="2233" spans="1:9" x14ac:dyDescent="0.35">
      <c r="A2233" t="str">
        <f t="shared" si="52"/>
        <v>44241</v>
      </c>
      <c r="B2233" t="s">
        <v>36</v>
      </c>
      <c r="C2233" t="s">
        <v>183</v>
      </c>
      <c r="D2233" s="5" t="str">
        <f>"011"</f>
        <v>011</v>
      </c>
      <c r="E2233" s="5">
        <v>2021</v>
      </c>
      <c r="F2233" s="3">
        <v>14546000</v>
      </c>
      <c r="G2233" s="3">
        <v>25078900</v>
      </c>
      <c r="H2233" s="3">
        <v>10532900</v>
      </c>
    </row>
    <row r="2234" spans="1:9" x14ac:dyDescent="0.35">
      <c r="A2234" t="str">
        <f t="shared" si="52"/>
        <v>44241</v>
      </c>
      <c r="B2234" t="s">
        <v>36</v>
      </c>
      <c r="C2234" t="s">
        <v>183</v>
      </c>
      <c r="D2234" s="5" t="str">
        <f>"012"</f>
        <v>012</v>
      </c>
      <c r="E2234" s="5">
        <v>2023</v>
      </c>
      <c r="F2234" s="3">
        <v>19313600</v>
      </c>
      <c r="G2234" s="3">
        <v>21366500</v>
      </c>
      <c r="H2234" s="3">
        <v>2052900</v>
      </c>
    </row>
    <row r="2235" spans="1:9" x14ac:dyDescent="0.35">
      <c r="A2235" t="str">
        <f t="shared" si="52"/>
        <v>44241</v>
      </c>
      <c r="B2235" t="s">
        <v>36</v>
      </c>
      <c r="C2235" t="s">
        <v>183</v>
      </c>
      <c r="D2235" s="5" t="s">
        <v>11</v>
      </c>
      <c r="E2235" s="5" t="s">
        <v>12</v>
      </c>
      <c r="F2235" s="3" t="s">
        <v>13</v>
      </c>
      <c r="G2235" s="3" t="s">
        <v>13</v>
      </c>
      <c r="H2235" s="3" t="s">
        <v>13</v>
      </c>
      <c r="I2235" s="3">
        <v>2026756400</v>
      </c>
    </row>
    <row r="2236" spans="1:9" x14ac:dyDescent="0.35">
      <c r="A2236" t="str">
        <f>"44261"</f>
        <v>44261</v>
      </c>
      <c r="B2236" t="s">
        <v>36</v>
      </c>
      <c r="C2236" t="s">
        <v>916</v>
      </c>
      <c r="D2236" s="5" t="str">
        <f>"006"</f>
        <v>006</v>
      </c>
      <c r="E2236" s="5">
        <v>2022</v>
      </c>
      <c r="F2236" s="3">
        <v>3663100</v>
      </c>
      <c r="G2236" s="3">
        <v>6209900</v>
      </c>
      <c r="H2236" s="3">
        <v>2546800</v>
      </c>
    </row>
    <row r="2237" spans="1:9" x14ac:dyDescent="0.35">
      <c r="A2237" t="str">
        <f>"44261"</f>
        <v>44261</v>
      </c>
      <c r="B2237" t="s">
        <v>36</v>
      </c>
      <c r="C2237" t="s">
        <v>916</v>
      </c>
      <c r="D2237" s="5" t="s">
        <v>11</v>
      </c>
      <c r="E2237" s="5" t="s">
        <v>12</v>
      </c>
      <c r="F2237" s="3" t="s">
        <v>13</v>
      </c>
      <c r="G2237" s="3" t="s">
        <v>13</v>
      </c>
      <c r="H2237" s="3" t="s">
        <v>13</v>
      </c>
      <c r="I2237" s="3">
        <v>204795300</v>
      </c>
    </row>
    <row r="2238" spans="1:9" x14ac:dyDescent="0.35">
      <c r="A2238" t="str">
        <f>"44281"</f>
        <v>44281</v>
      </c>
      <c r="B2238" t="s">
        <v>36</v>
      </c>
      <c r="C2238" t="s">
        <v>443</v>
      </c>
      <c r="D2238" s="5" t="str">
        <f>"003"</f>
        <v>003</v>
      </c>
      <c r="E2238" s="5">
        <v>2001</v>
      </c>
      <c r="F2238" s="3">
        <v>4544000</v>
      </c>
      <c r="G2238" s="3">
        <v>47896400</v>
      </c>
      <c r="H2238" s="3">
        <v>43352400</v>
      </c>
    </row>
    <row r="2239" spans="1:9" x14ac:dyDescent="0.35">
      <c r="A2239" t="str">
        <f>"44281"</f>
        <v>44281</v>
      </c>
      <c r="B2239" t="s">
        <v>36</v>
      </c>
      <c r="C2239" t="s">
        <v>443</v>
      </c>
      <c r="D2239" s="5" t="str">
        <f>"004"</f>
        <v>004</v>
      </c>
      <c r="E2239" s="5">
        <v>2011</v>
      </c>
      <c r="F2239" s="3">
        <v>5133400</v>
      </c>
      <c r="G2239" s="3">
        <v>15147700</v>
      </c>
      <c r="H2239" s="3">
        <v>10014300</v>
      </c>
    </row>
    <row r="2240" spans="1:9" x14ac:dyDescent="0.35">
      <c r="A2240" t="str">
        <f>"44281"</f>
        <v>44281</v>
      </c>
      <c r="B2240" t="s">
        <v>36</v>
      </c>
      <c r="C2240" t="s">
        <v>443</v>
      </c>
      <c r="D2240" s="5" t="str">
        <f>"005"</f>
        <v>005</v>
      </c>
      <c r="E2240" s="5">
        <v>2022</v>
      </c>
      <c r="F2240" s="3">
        <v>2637100</v>
      </c>
      <c r="G2240" s="3">
        <v>11034200</v>
      </c>
      <c r="H2240" s="3">
        <v>8397100</v>
      </c>
    </row>
    <row r="2241" spans="1:9" x14ac:dyDescent="0.35">
      <c r="A2241" t="str">
        <f>"44281"</f>
        <v>44281</v>
      </c>
      <c r="B2241" t="s">
        <v>36</v>
      </c>
      <c r="C2241" t="s">
        <v>443</v>
      </c>
      <c r="D2241" s="5" t="s">
        <v>11</v>
      </c>
      <c r="E2241" s="5" t="s">
        <v>12</v>
      </c>
      <c r="F2241" s="3" t="s">
        <v>13</v>
      </c>
      <c r="G2241" s="3" t="s">
        <v>13</v>
      </c>
      <c r="H2241" s="3" t="s">
        <v>13</v>
      </c>
      <c r="I2241" s="3">
        <v>359195800</v>
      </c>
    </row>
    <row r="2242" spans="1:9" x14ac:dyDescent="0.35">
      <c r="A2242" t="s">
        <v>30</v>
      </c>
      <c r="B2242" t="s">
        <v>38</v>
      </c>
      <c r="C2242" t="s">
        <v>32</v>
      </c>
      <c r="D2242" s="5" t="s">
        <v>11</v>
      </c>
      <c r="E2242" s="5" t="s">
        <v>12</v>
      </c>
      <c r="F2242" s="3" t="s">
        <v>13</v>
      </c>
      <c r="G2242" s="3" t="s">
        <v>13</v>
      </c>
      <c r="H2242" s="3" t="s">
        <v>13</v>
      </c>
      <c r="I2242" s="3">
        <v>10992432200</v>
      </c>
    </row>
    <row r="2243" spans="1:9" x14ac:dyDescent="0.35">
      <c r="A2243" t="s">
        <v>30</v>
      </c>
      <c r="B2243" t="s">
        <v>39</v>
      </c>
      <c r="C2243" t="s">
        <v>917</v>
      </c>
      <c r="D2243" s="5" t="s">
        <v>11</v>
      </c>
      <c r="E2243" s="5" t="s">
        <v>12</v>
      </c>
      <c r="F2243" s="3" t="s">
        <v>13</v>
      </c>
      <c r="G2243" s="3" t="s">
        <v>13</v>
      </c>
      <c r="H2243" s="3" t="s">
        <v>13</v>
      </c>
      <c r="I2243" s="3">
        <v>28851364900</v>
      </c>
    </row>
    <row r="2244" spans="1:9" x14ac:dyDescent="0.35">
      <c r="A2244" t="str">
        <f>"45002"</f>
        <v>45002</v>
      </c>
      <c r="B2244" t="s">
        <v>9</v>
      </c>
      <c r="C2244" t="s">
        <v>918</v>
      </c>
      <c r="D2244" s="5" t="s">
        <v>11</v>
      </c>
      <c r="E2244" s="5" t="s">
        <v>12</v>
      </c>
      <c r="F2244" s="3" t="s">
        <v>13</v>
      </c>
      <c r="G2244" s="3" t="s">
        <v>13</v>
      </c>
      <c r="H2244" s="3" t="s">
        <v>13</v>
      </c>
      <c r="I2244" s="3">
        <v>519897600</v>
      </c>
    </row>
    <row r="2245" spans="1:9" x14ac:dyDescent="0.35">
      <c r="A2245" t="str">
        <f>"45004"</f>
        <v>45004</v>
      </c>
      <c r="B2245" t="s">
        <v>9</v>
      </c>
      <c r="C2245" t="s">
        <v>919</v>
      </c>
      <c r="D2245" s="5" t="s">
        <v>11</v>
      </c>
      <c r="E2245" s="5" t="s">
        <v>12</v>
      </c>
      <c r="F2245" s="3" t="s">
        <v>13</v>
      </c>
      <c r="G2245" s="3" t="s">
        <v>13</v>
      </c>
      <c r="H2245" s="3" t="s">
        <v>13</v>
      </c>
      <c r="I2245" s="3">
        <v>1638329000</v>
      </c>
    </row>
    <row r="2246" spans="1:9" x14ac:dyDescent="0.35">
      <c r="A2246" t="str">
        <f>"45006"</f>
        <v>45006</v>
      </c>
      <c r="B2246" t="s">
        <v>9</v>
      </c>
      <c r="C2246" t="s">
        <v>920</v>
      </c>
      <c r="D2246" s="5" t="s">
        <v>11</v>
      </c>
      <c r="E2246" s="5" t="s">
        <v>12</v>
      </c>
      <c r="F2246" s="3" t="s">
        <v>13</v>
      </c>
      <c r="G2246" s="3" t="s">
        <v>13</v>
      </c>
      <c r="H2246" s="3" t="s">
        <v>13</v>
      </c>
      <c r="I2246" s="3">
        <v>437689000</v>
      </c>
    </row>
    <row r="2247" spans="1:9" x14ac:dyDescent="0.35">
      <c r="A2247" t="str">
        <f>"45008"</f>
        <v>45008</v>
      </c>
      <c r="B2247" t="s">
        <v>9</v>
      </c>
      <c r="C2247" t="s">
        <v>921</v>
      </c>
      <c r="D2247" s="5" t="s">
        <v>11</v>
      </c>
      <c r="E2247" s="5" t="s">
        <v>12</v>
      </c>
      <c r="F2247" s="3" t="s">
        <v>13</v>
      </c>
      <c r="G2247" s="3" t="s">
        <v>13</v>
      </c>
      <c r="H2247" s="3" t="s">
        <v>13</v>
      </c>
      <c r="I2247" s="3">
        <v>1176096700</v>
      </c>
    </row>
    <row r="2248" spans="1:9" x14ac:dyDescent="0.35">
      <c r="A2248" t="str">
        <f>"45012"</f>
        <v>45012</v>
      </c>
      <c r="B2248" t="s">
        <v>9</v>
      </c>
      <c r="C2248" t="s">
        <v>922</v>
      </c>
      <c r="D2248" s="5" t="s">
        <v>11</v>
      </c>
      <c r="E2248" s="5" t="s">
        <v>12</v>
      </c>
      <c r="F2248" s="3" t="s">
        <v>13</v>
      </c>
      <c r="G2248" s="3" t="s">
        <v>13</v>
      </c>
      <c r="H2248" s="3" t="s">
        <v>13</v>
      </c>
      <c r="I2248" s="3">
        <v>393767100</v>
      </c>
    </row>
    <row r="2249" spans="1:9" x14ac:dyDescent="0.35">
      <c r="A2249" t="str">
        <f>"45014"</f>
        <v>45014</v>
      </c>
      <c r="B2249" t="s">
        <v>9</v>
      </c>
      <c r="C2249" t="s">
        <v>923</v>
      </c>
      <c r="D2249" s="5" t="s">
        <v>11</v>
      </c>
      <c r="E2249" s="5" t="s">
        <v>12</v>
      </c>
      <c r="F2249" s="3" t="s">
        <v>13</v>
      </c>
      <c r="G2249" s="3" t="s">
        <v>13</v>
      </c>
      <c r="H2249" s="3" t="s">
        <v>13</v>
      </c>
      <c r="I2249" s="3">
        <v>422261000</v>
      </c>
    </row>
    <row r="2250" spans="1:9" x14ac:dyDescent="0.35">
      <c r="A2250" t="s">
        <v>30</v>
      </c>
      <c r="B2250" t="s">
        <v>31</v>
      </c>
      <c r="C2250" t="s">
        <v>32</v>
      </c>
      <c r="D2250" s="5" t="s">
        <v>11</v>
      </c>
      <c r="E2250" s="5" t="s">
        <v>12</v>
      </c>
      <c r="F2250" s="3" t="s">
        <v>13</v>
      </c>
      <c r="G2250" s="3" t="s">
        <v>13</v>
      </c>
      <c r="H2250" s="3" t="s">
        <v>13</v>
      </c>
      <c r="I2250" s="3">
        <v>4588040400</v>
      </c>
    </row>
    <row r="2251" spans="1:9" x14ac:dyDescent="0.35">
      <c r="A2251" t="str">
        <f>"45105"</f>
        <v>45105</v>
      </c>
      <c r="B2251" t="s">
        <v>33</v>
      </c>
      <c r="C2251" t="s">
        <v>811</v>
      </c>
      <c r="D2251" s="5" t="s">
        <v>11</v>
      </c>
      <c r="E2251" s="5" t="s">
        <v>12</v>
      </c>
      <c r="F2251" s="3" t="s">
        <v>13</v>
      </c>
      <c r="G2251" s="3" t="s">
        <v>13</v>
      </c>
      <c r="H2251" s="3" t="s">
        <v>13</v>
      </c>
      <c r="I2251" s="3">
        <v>41968400</v>
      </c>
    </row>
    <row r="2252" spans="1:9" x14ac:dyDescent="0.35">
      <c r="A2252" t="str">
        <f>"45106"</f>
        <v>45106</v>
      </c>
      <c r="B2252" t="s">
        <v>33</v>
      </c>
      <c r="C2252" t="s">
        <v>918</v>
      </c>
      <c r="D2252" s="5" t="s">
        <v>11</v>
      </c>
      <c r="E2252" s="5" t="s">
        <v>12</v>
      </c>
      <c r="F2252" s="3" t="s">
        <v>13</v>
      </c>
      <c r="G2252" s="3" t="s">
        <v>13</v>
      </c>
      <c r="H2252" s="3" t="s">
        <v>13</v>
      </c>
      <c r="I2252" s="3">
        <v>387627500</v>
      </c>
    </row>
    <row r="2253" spans="1:9" x14ac:dyDescent="0.35">
      <c r="A2253" t="str">
        <f>"45126"</f>
        <v>45126</v>
      </c>
      <c r="B2253" t="s">
        <v>33</v>
      </c>
      <c r="C2253" t="s">
        <v>920</v>
      </c>
      <c r="D2253" s="5" t="str">
        <f>"003"</f>
        <v>003</v>
      </c>
      <c r="E2253" s="5">
        <v>2021</v>
      </c>
      <c r="F2253" s="3">
        <v>2886700</v>
      </c>
      <c r="G2253" s="3">
        <v>11927400</v>
      </c>
      <c r="H2253" s="3">
        <v>9040700</v>
      </c>
    </row>
    <row r="2254" spans="1:9" x14ac:dyDescent="0.35">
      <c r="A2254" t="str">
        <f>"45126"</f>
        <v>45126</v>
      </c>
      <c r="B2254" t="s">
        <v>33</v>
      </c>
      <c r="C2254" t="s">
        <v>920</v>
      </c>
      <c r="D2254" s="5" t="s">
        <v>11</v>
      </c>
      <c r="E2254" s="5" t="s">
        <v>12</v>
      </c>
      <c r="F2254" s="3" t="s">
        <v>13</v>
      </c>
      <c r="G2254" s="3" t="s">
        <v>13</v>
      </c>
      <c r="H2254" s="3" t="s">
        <v>13</v>
      </c>
      <c r="I2254" s="3">
        <v>329140200</v>
      </c>
    </row>
    <row r="2255" spans="1:9" x14ac:dyDescent="0.35">
      <c r="A2255" t="str">
        <f>"45131"</f>
        <v>45131</v>
      </c>
      <c r="B2255" t="s">
        <v>33</v>
      </c>
      <c r="C2255" t="s">
        <v>921</v>
      </c>
      <c r="D2255" s="5" t="str">
        <f>"003"</f>
        <v>003</v>
      </c>
      <c r="E2255" s="5">
        <v>1999</v>
      </c>
      <c r="F2255" s="3">
        <v>21039900</v>
      </c>
      <c r="G2255" s="3">
        <v>101722300</v>
      </c>
      <c r="H2255" s="3">
        <v>80682400</v>
      </c>
    </row>
    <row r="2256" spans="1:9" x14ac:dyDescent="0.35">
      <c r="A2256" t="str">
        <f>"45131"</f>
        <v>45131</v>
      </c>
      <c r="B2256" t="s">
        <v>33</v>
      </c>
      <c r="C2256" t="s">
        <v>921</v>
      </c>
      <c r="D2256" s="5" t="str">
        <f>"004"</f>
        <v>004</v>
      </c>
      <c r="E2256" s="5">
        <v>2004</v>
      </c>
      <c r="F2256" s="3">
        <v>47847400</v>
      </c>
      <c r="G2256" s="3">
        <v>62745200</v>
      </c>
      <c r="H2256" s="3">
        <v>14897800</v>
      </c>
    </row>
    <row r="2257" spans="1:9" x14ac:dyDescent="0.35">
      <c r="A2257" t="str">
        <f>"45131"</f>
        <v>45131</v>
      </c>
      <c r="B2257" t="s">
        <v>33</v>
      </c>
      <c r="C2257" t="s">
        <v>921</v>
      </c>
      <c r="D2257" s="5" t="str">
        <f>"005"</f>
        <v>005</v>
      </c>
      <c r="E2257" s="5">
        <v>2006</v>
      </c>
      <c r="F2257" s="3">
        <v>493500</v>
      </c>
      <c r="G2257" s="3">
        <v>46957400</v>
      </c>
      <c r="H2257" s="3">
        <v>46463900</v>
      </c>
    </row>
    <row r="2258" spans="1:9" x14ac:dyDescent="0.35">
      <c r="A2258" t="str">
        <f>"45131"</f>
        <v>45131</v>
      </c>
      <c r="B2258" t="s">
        <v>33</v>
      </c>
      <c r="C2258" t="s">
        <v>921</v>
      </c>
      <c r="D2258" s="5" t="str">
        <f>"006"</f>
        <v>006</v>
      </c>
      <c r="E2258" s="5">
        <v>2024</v>
      </c>
      <c r="F2258" s="3">
        <v>18228100</v>
      </c>
      <c r="G2258" s="3">
        <v>32183300</v>
      </c>
      <c r="H2258" s="3">
        <v>13955200</v>
      </c>
    </row>
    <row r="2259" spans="1:9" x14ac:dyDescent="0.35">
      <c r="A2259" t="str">
        <f>"45131"</f>
        <v>45131</v>
      </c>
      <c r="B2259" t="s">
        <v>33</v>
      </c>
      <c r="C2259" t="s">
        <v>921</v>
      </c>
      <c r="D2259" s="5" t="s">
        <v>11</v>
      </c>
      <c r="E2259" s="5" t="s">
        <v>12</v>
      </c>
      <c r="F2259" s="3" t="s">
        <v>13</v>
      </c>
      <c r="G2259" s="3" t="s">
        <v>13</v>
      </c>
      <c r="H2259" s="3" t="s">
        <v>13</v>
      </c>
      <c r="I2259" s="3">
        <v>2474145000</v>
      </c>
    </row>
    <row r="2260" spans="1:9" x14ac:dyDescent="0.35">
      <c r="A2260" t="str">
        <f>"45161"</f>
        <v>45161</v>
      </c>
      <c r="B2260" t="s">
        <v>33</v>
      </c>
      <c r="C2260" t="s">
        <v>924</v>
      </c>
      <c r="D2260" s="5" t="s">
        <v>11</v>
      </c>
      <c r="E2260" s="5" t="s">
        <v>12</v>
      </c>
      <c r="F2260" s="3" t="s">
        <v>13</v>
      </c>
      <c r="G2260" s="3" t="s">
        <v>13</v>
      </c>
      <c r="H2260" s="3" t="s">
        <v>13</v>
      </c>
      <c r="I2260" s="3">
        <v>11846600</v>
      </c>
    </row>
    <row r="2261" spans="1:9" x14ac:dyDescent="0.35">
      <c r="A2261" t="str">
        <f>"45181"</f>
        <v>45181</v>
      </c>
      <c r="B2261" t="s">
        <v>33</v>
      </c>
      <c r="C2261" t="s">
        <v>923</v>
      </c>
      <c r="D2261" s="5" t="str">
        <f>"004"</f>
        <v>004</v>
      </c>
      <c r="E2261" s="5">
        <v>2006</v>
      </c>
      <c r="F2261" s="3">
        <v>1600100</v>
      </c>
      <c r="G2261" s="3">
        <v>12460600</v>
      </c>
      <c r="H2261" s="3">
        <v>10860500</v>
      </c>
    </row>
    <row r="2262" spans="1:9" x14ac:dyDescent="0.35">
      <c r="A2262" t="str">
        <f>"45181"</f>
        <v>45181</v>
      </c>
      <c r="B2262" t="s">
        <v>33</v>
      </c>
      <c r="C2262" t="s">
        <v>923</v>
      </c>
      <c r="D2262" s="5" t="str">
        <f>"005"</f>
        <v>005</v>
      </c>
      <c r="E2262" s="5">
        <v>2022</v>
      </c>
      <c r="F2262" s="3">
        <v>31400</v>
      </c>
      <c r="G2262" s="3">
        <v>41820300</v>
      </c>
      <c r="H2262" s="3">
        <v>41788900</v>
      </c>
    </row>
    <row r="2263" spans="1:9" x14ac:dyDescent="0.35">
      <c r="A2263" t="str">
        <f>"45181"</f>
        <v>45181</v>
      </c>
      <c r="B2263" t="s">
        <v>33</v>
      </c>
      <c r="C2263" t="s">
        <v>923</v>
      </c>
      <c r="D2263" s="5" t="str">
        <f>"006"</f>
        <v>006</v>
      </c>
      <c r="E2263" s="5">
        <v>2023</v>
      </c>
      <c r="F2263" s="3">
        <v>2398100</v>
      </c>
      <c r="G2263" s="3">
        <v>60468600</v>
      </c>
      <c r="H2263" s="3">
        <v>58070500</v>
      </c>
    </row>
    <row r="2264" spans="1:9" x14ac:dyDescent="0.35">
      <c r="A2264" t="str">
        <f>"45181"</f>
        <v>45181</v>
      </c>
      <c r="B2264" t="s">
        <v>33</v>
      </c>
      <c r="C2264" t="s">
        <v>923</v>
      </c>
      <c r="D2264" s="5" t="s">
        <v>11</v>
      </c>
      <c r="E2264" s="5" t="s">
        <v>12</v>
      </c>
      <c r="F2264" s="3" t="s">
        <v>13</v>
      </c>
      <c r="G2264" s="3" t="s">
        <v>13</v>
      </c>
      <c r="H2264" s="3" t="s">
        <v>13</v>
      </c>
      <c r="I2264" s="3">
        <v>760639300</v>
      </c>
    </row>
    <row r="2265" spans="1:9" x14ac:dyDescent="0.35">
      <c r="A2265" t="str">
        <f>"45186"</f>
        <v>45186</v>
      </c>
      <c r="B2265" t="s">
        <v>33</v>
      </c>
      <c r="C2265" t="s">
        <v>925</v>
      </c>
      <c r="D2265" s="5" t="str">
        <f>"002"</f>
        <v>002</v>
      </c>
      <c r="E2265" s="5">
        <v>2020</v>
      </c>
      <c r="F2265" s="3">
        <v>12683400</v>
      </c>
      <c r="G2265" s="3">
        <v>12867400</v>
      </c>
      <c r="H2265" s="3">
        <v>184000</v>
      </c>
    </row>
    <row r="2266" spans="1:9" x14ac:dyDescent="0.35">
      <c r="A2266" t="str">
        <f>"45186"</f>
        <v>45186</v>
      </c>
      <c r="B2266" t="s">
        <v>33</v>
      </c>
      <c r="C2266" t="s">
        <v>925</v>
      </c>
      <c r="D2266" s="5" t="s">
        <v>11</v>
      </c>
      <c r="E2266" s="5" t="s">
        <v>12</v>
      </c>
      <c r="F2266" s="3" t="s">
        <v>13</v>
      </c>
      <c r="G2266" s="3" t="s">
        <v>13</v>
      </c>
      <c r="H2266" s="3" t="s">
        <v>13</v>
      </c>
      <c r="I2266" s="3">
        <v>610417200</v>
      </c>
    </row>
    <row r="2267" spans="1:9" x14ac:dyDescent="0.35">
      <c r="A2267" t="s">
        <v>30</v>
      </c>
      <c r="B2267" t="s">
        <v>35</v>
      </c>
      <c r="C2267" t="s">
        <v>32</v>
      </c>
      <c r="D2267" s="5" t="s">
        <v>11</v>
      </c>
      <c r="E2267" s="5" t="s">
        <v>12</v>
      </c>
      <c r="F2267" s="3" t="s">
        <v>13</v>
      </c>
      <c r="G2267" s="3" t="s">
        <v>13</v>
      </c>
      <c r="H2267" s="3" t="s">
        <v>13</v>
      </c>
      <c r="I2267" s="3">
        <v>4615784200</v>
      </c>
    </row>
    <row r="2268" spans="1:9" x14ac:dyDescent="0.35">
      <c r="A2268" t="str">
        <f t="shared" ref="A2268:A2273" si="53">"45211"</f>
        <v>45211</v>
      </c>
      <c r="B2268" t="s">
        <v>36</v>
      </c>
      <c r="C2268" t="s">
        <v>919</v>
      </c>
      <c r="D2268" s="5" t="str">
        <f>"003"</f>
        <v>003</v>
      </c>
      <c r="E2268" s="5">
        <v>2015</v>
      </c>
      <c r="F2268" s="3">
        <v>282500</v>
      </c>
      <c r="G2268" s="3">
        <v>4714000</v>
      </c>
      <c r="H2268" s="3">
        <v>4431500</v>
      </c>
    </row>
    <row r="2269" spans="1:9" x14ac:dyDescent="0.35">
      <c r="A2269" t="str">
        <f t="shared" si="53"/>
        <v>45211</v>
      </c>
      <c r="B2269" t="s">
        <v>36</v>
      </c>
      <c r="C2269" t="s">
        <v>919</v>
      </c>
      <c r="D2269" s="5" t="str">
        <f>"004"</f>
        <v>004</v>
      </c>
      <c r="E2269" s="5">
        <v>2018</v>
      </c>
      <c r="F2269" s="3">
        <v>600</v>
      </c>
      <c r="G2269" s="3">
        <v>361200</v>
      </c>
      <c r="H2269" s="3">
        <v>360600</v>
      </c>
    </row>
    <row r="2270" spans="1:9" x14ac:dyDescent="0.35">
      <c r="A2270" t="str">
        <f t="shared" si="53"/>
        <v>45211</v>
      </c>
      <c r="B2270" t="s">
        <v>36</v>
      </c>
      <c r="C2270" t="s">
        <v>919</v>
      </c>
      <c r="D2270" s="5" t="str">
        <f>"005"</f>
        <v>005</v>
      </c>
      <c r="E2270" s="5">
        <v>2018</v>
      </c>
      <c r="F2270" s="3">
        <v>934200</v>
      </c>
      <c r="G2270" s="3">
        <v>16967400</v>
      </c>
      <c r="H2270" s="3">
        <v>16033200</v>
      </c>
    </row>
    <row r="2271" spans="1:9" x14ac:dyDescent="0.35">
      <c r="A2271" t="str">
        <f t="shared" si="53"/>
        <v>45211</v>
      </c>
      <c r="B2271" t="s">
        <v>36</v>
      </c>
      <c r="C2271" t="s">
        <v>919</v>
      </c>
      <c r="D2271" s="5" t="str">
        <f>"006"</f>
        <v>006</v>
      </c>
      <c r="E2271" s="5">
        <v>2020</v>
      </c>
      <c r="F2271" s="3">
        <v>0</v>
      </c>
      <c r="G2271" s="3">
        <v>28583100</v>
      </c>
      <c r="H2271" s="3">
        <v>28583100</v>
      </c>
    </row>
    <row r="2272" spans="1:9" x14ac:dyDescent="0.35">
      <c r="A2272" t="str">
        <f t="shared" si="53"/>
        <v>45211</v>
      </c>
      <c r="B2272" t="s">
        <v>36</v>
      </c>
      <c r="C2272" t="s">
        <v>919</v>
      </c>
      <c r="D2272" s="5" t="str">
        <f>"007"</f>
        <v>007</v>
      </c>
      <c r="E2272" s="5">
        <v>2022</v>
      </c>
      <c r="F2272" s="3">
        <v>1799600</v>
      </c>
      <c r="G2272" s="3">
        <v>76139200</v>
      </c>
      <c r="H2272" s="3">
        <v>74339600</v>
      </c>
    </row>
    <row r="2273" spans="1:9" x14ac:dyDescent="0.35">
      <c r="A2273" t="str">
        <f t="shared" si="53"/>
        <v>45211</v>
      </c>
      <c r="B2273" t="s">
        <v>36</v>
      </c>
      <c r="C2273" t="s">
        <v>919</v>
      </c>
      <c r="D2273" s="5" t="s">
        <v>11</v>
      </c>
      <c r="E2273" s="5" t="s">
        <v>12</v>
      </c>
      <c r="F2273" s="3" t="s">
        <v>13</v>
      </c>
      <c r="G2273" s="3" t="s">
        <v>13</v>
      </c>
      <c r="H2273" s="3" t="s">
        <v>13</v>
      </c>
      <c r="I2273" s="3">
        <v>2581707400</v>
      </c>
    </row>
    <row r="2274" spans="1:9" x14ac:dyDescent="0.35">
      <c r="A2274" t="str">
        <f>"45255"</f>
        <v>45255</v>
      </c>
      <c r="B2274" t="s">
        <v>36</v>
      </c>
      <c r="C2274" t="s">
        <v>926</v>
      </c>
      <c r="D2274" s="5" t="str">
        <f>"003"</f>
        <v>003</v>
      </c>
      <c r="E2274" s="5">
        <v>2008</v>
      </c>
      <c r="F2274" s="3">
        <v>38521400</v>
      </c>
      <c r="G2274" s="3">
        <v>250739500</v>
      </c>
      <c r="H2274" s="3">
        <v>212218100</v>
      </c>
    </row>
    <row r="2275" spans="1:9" x14ac:dyDescent="0.35">
      <c r="A2275" t="str">
        <f>"45255"</f>
        <v>45255</v>
      </c>
      <c r="B2275" t="s">
        <v>36</v>
      </c>
      <c r="C2275" t="s">
        <v>926</v>
      </c>
      <c r="D2275" s="5" t="str">
        <f>"004"</f>
        <v>004</v>
      </c>
      <c r="E2275" s="5">
        <v>2012</v>
      </c>
      <c r="F2275" s="3">
        <v>37434600</v>
      </c>
      <c r="G2275" s="3">
        <v>56362000</v>
      </c>
      <c r="H2275" s="3">
        <v>18927400</v>
      </c>
    </row>
    <row r="2276" spans="1:9" x14ac:dyDescent="0.35">
      <c r="A2276" t="str">
        <f>"45255"</f>
        <v>45255</v>
      </c>
      <c r="B2276" t="s">
        <v>36</v>
      </c>
      <c r="C2276" t="s">
        <v>926</v>
      </c>
      <c r="D2276" s="5" t="str">
        <f>"005"</f>
        <v>005</v>
      </c>
      <c r="E2276" s="5">
        <v>2012</v>
      </c>
      <c r="F2276" s="3">
        <v>47641900</v>
      </c>
      <c r="G2276" s="3">
        <v>83093900</v>
      </c>
      <c r="H2276" s="3">
        <v>35452000</v>
      </c>
    </row>
    <row r="2277" spans="1:9" x14ac:dyDescent="0.35">
      <c r="A2277" t="str">
        <f>"45255"</f>
        <v>45255</v>
      </c>
      <c r="B2277" t="s">
        <v>36</v>
      </c>
      <c r="C2277" t="s">
        <v>926</v>
      </c>
      <c r="D2277" s="5" t="s">
        <v>11</v>
      </c>
      <c r="E2277" s="5" t="s">
        <v>12</v>
      </c>
      <c r="F2277" s="3" t="s">
        <v>13</v>
      </c>
      <c r="G2277" s="3" t="s">
        <v>13</v>
      </c>
      <c r="H2277" s="3" t="s">
        <v>13</v>
      </c>
      <c r="I2277" s="3">
        <v>7813071700</v>
      </c>
    </row>
    <row r="2278" spans="1:9" x14ac:dyDescent="0.35">
      <c r="A2278" t="str">
        <f>"45271"</f>
        <v>45271</v>
      </c>
      <c r="B2278" t="s">
        <v>36</v>
      </c>
      <c r="C2278" t="s">
        <v>922</v>
      </c>
      <c r="D2278" s="5" t="str">
        <f>"002"</f>
        <v>002</v>
      </c>
      <c r="E2278" s="5">
        <v>2010</v>
      </c>
      <c r="F2278" s="3">
        <v>14787800</v>
      </c>
      <c r="G2278" s="3">
        <v>85439300</v>
      </c>
      <c r="H2278" s="3">
        <v>70651500</v>
      </c>
    </row>
    <row r="2279" spans="1:9" x14ac:dyDescent="0.35">
      <c r="A2279" t="str">
        <f>"45271"</f>
        <v>45271</v>
      </c>
      <c r="B2279" t="s">
        <v>36</v>
      </c>
      <c r="C2279" t="s">
        <v>922</v>
      </c>
      <c r="D2279" s="5" t="str">
        <f>"003"</f>
        <v>003</v>
      </c>
      <c r="E2279" s="5">
        <v>2015</v>
      </c>
      <c r="F2279" s="3">
        <v>8863600</v>
      </c>
      <c r="G2279" s="3">
        <v>15584400</v>
      </c>
      <c r="H2279" s="3">
        <v>6720800</v>
      </c>
    </row>
    <row r="2280" spans="1:9" x14ac:dyDescent="0.35">
      <c r="A2280" t="str">
        <f>"45271"</f>
        <v>45271</v>
      </c>
      <c r="B2280" t="s">
        <v>36</v>
      </c>
      <c r="C2280" t="s">
        <v>922</v>
      </c>
      <c r="D2280" s="5" t="str">
        <f>"004"</f>
        <v>004</v>
      </c>
      <c r="E2280" s="5">
        <v>2020</v>
      </c>
      <c r="F2280" s="3">
        <v>0</v>
      </c>
      <c r="G2280" s="3">
        <v>4115000</v>
      </c>
      <c r="H2280" s="3">
        <v>4115000</v>
      </c>
    </row>
    <row r="2281" spans="1:9" x14ac:dyDescent="0.35">
      <c r="A2281" t="str">
        <f>"45271"</f>
        <v>45271</v>
      </c>
      <c r="B2281" t="s">
        <v>36</v>
      </c>
      <c r="C2281" t="s">
        <v>922</v>
      </c>
      <c r="D2281" s="5" t="s">
        <v>11</v>
      </c>
      <c r="E2281" s="5" t="s">
        <v>12</v>
      </c>
      <c r="F2281" s="3" t="s">
        <v>13</v>
      </c>
      <c r="G2281" s="3" t="s">
        <v>13</v>
      </c>
      <c r="H2281" s="3" t="s">
        <v>13</v>
      </c>
      <c r="I2281" s="3">
        <v>2095554000</v>
      </c>
    </row>
    <row r="2282" spans="1:9" x14ac:dyDescent="0.35">
      <c r="A2282" t="s">
        <v>30</v>
      </c>
      <c r="B2282" t="s">
        <v>38</v>
      </c>
      <c r="C2282" t="s">
        <v>32</v>
      </c>
      <c r="D2282" s="5" t="s">
        <v>11</v>
      </c>
      <c r="E2282" s="5" t="s">
        <v>12</v>
      </c>
      <c r="F2282" s="3" t="s">
        <v>13</v>
      </c>
      <c r="G2282" s="3" t="s">
        <v>13</v>
      </c>
      <c r="H2282" s="3" t="s">
        <v>13</v>
      </c>
      <c r="I2282" s="3">
        <v>12490333100</v>
      </c>
    </row>
    <row r="2283" spans="1:9" x14ac:dyDescent="0.35">
      <c r="A2283" t="s">
        <v>30</v>
      </c>
      <c r="B2283" t="s">
        <v>39</v>
      </c>
      <c r="C2283" t="s">
        <v>927</v>
      </c>
      <c r="D2283" s="5" t="s">
        <v>11</v>
      </c>
      <c r="E2283" s="5" t="s">
        <v>12</v>
      </c>
      <c r="F2283" s="3" t="s">
        <v>13</v>
      </c>
      <c r="G2283" s="3" t="s">
        <v>13</v>
      </c>
      <c r="H2283" s="3" t="s">
        <v>13</v>
      </c>
      <c r="I2283" s="3">
        <v>21694157700</v>
      </c>
    </row>
    <row r="2284" spans="1:9" x14ac:dyDescent="0.35">
      <c r="A2284" t="str">
        <f>"46002"</f>
        <v>46002</v>
      </c>
      <c r="B2284" t="s">
        <v>9</v>
      </c>
      <c r="C2284" t="s">
        <v>531</v>
      </c>
      <c r="D2284" s="5" t="s">
        <v>11</v>
      </c>
      <c r="E2284" s="5" t="s">
        <v>12</v>
      </c>
      <c r="F2284" s="3" t="s">
        <v>13</v>
      </c>
      <c r="G2284" s="3" t="s">
        <v>13</v>
      </c>
      <c r="H2284" s="3" t="s">
        <v>13</v>
      </c>
      <c r="I2284" s="3">
        <v>122218500</v>
      </c>
    </row>
    <row r="2285" spans="1:9" x14ac:dyDescent="0.35">
      <c r="A2285" t="str">
        <f>"46004"</f>
        <v>46004</v>
      </c>
      <c r="B2285" t="s">
        <v>9</v>
      </c>
      <c r="C2285" t="s">
        <v>928</v>
      </c>
      <c r="D2285" s="5" t="s">
        <v>11</v>
      </c>
      <c r="E2285" s="5" t="s">
        <v>12</v>
      </c>
      <c r="F2285" s="3" t="s">
        <v>13</v>
      </c>
      <c r="G2285" s="3" t="s">
        <v>13</v>
      </c>
      <c r="H2285" s="3" t="s">
        <v>13</v>
      </c>
      <c r="I2285" s="3">
        <v>101359300</v>
      </c>
    </row>
    <row r="2286" spans="1:9" x14ac:dyDescent="0.35">
      <c r="A2286" t="str">
        <f>"46006"</f>
        <v>46006</v>
      </c>
      <c r="B2286" t="s">
        <v>9</v>
      </c>
      <c r="C2286" t="s">
        <v>745</v>
      </c>
      <c r="D2286" s="5" t="s">
        <v>11</v>
      </c>
      <c r="E2286" s="5" t="s">
        <v>12</v>
      </c>
      <c r="F2286" s="3" t="s">
        <v>13</v>
      </c>
      <c r="G2286" s="3" t="s">
        <v>13</v>
      </c>
      <c r="H2286" s="3" t="s">
        <v>13</v>
      </c>
      <c r="I2286" s="3">
        <v>62860700</v>
      </c>
    </row>
    <row r="2287" spans="1:9" x14ac:dyDescent="0.35">
      <c r="A2287" t="str">
        <f>"46008"</f>
        <v>46008</v>
      </c>
      <c r="B2287" t="s">
        <v>9</v>
      </c>
      <c r="C2287" t="s">
        <v>504</v>
      </c>
      <c r="D2287" s="5" t="s">
        <v>11</v>
      </c>
      <c r="E2287" s="5" t="s">
        <v>12</v>
      </c>
      <c r="F2287" s="3" t="s">
        <v>13</v>
      </c>
      <c r="G2287" s="3" t="s">
        <v>13</v>
      </c>
      <c r="H2287" s="3" t="s">
        <v>13</v>
      </c>
      <c r="I2287" s="3">
        <v>116688000</v>
      </c>
    </row>
    <row r="2288" spans="1:9" x14ac:dyDescent="0.35">
      <c r="A2288" t="str">
        <f>"46010"</f>
        <v>46010</v>
      </c>
      <c r="B2288" t="s">
        <v>9</v>
      </c>
      <c r="C2288" t="s">
        <v>929</v>
      </c>
      <c r="D2288" s="5" t="s">
        <v>11</v>
      </c>
      <c r="E2288" s="5" t="s">
        <v>12</v>
      </c>
      <c r="F2288" s="3" t="s">
        <v>13</v>
      </c>
      <c r="G2288" s="3" t="s">
        <v>13</v>
      </c>
      <c r="H2288" s="3" t="s">
        <v>13</v>
      </c>
      <c r="I2288" s="3">
        <v>211832400</v>
      </c>
    </row>
    <row r="2289" spans="1:9" x14ac:dyDescent="0.35">
      <c r="A2289" t="str">
        <f>"46012"</f>
        <v>46012</v>
      </c>
      <c r="B2289" t="s">
        <v>9</v>
      </c>
      <c r="C2289" t="s">
        <v>930</v>
      </c>
      <c r="D2289" s="5" t="s">
        <v>11</v>
      </c>
      <c r="E2289" s="5" t="s">
        <v>12</v>
      </c>
      <c r="F2289" s="3" t="s">
        <v>13</v>
      </c>
      <c r="G2289" s="3" t="s">
        <v>13</v>
      </c>
      <c r="H2289" s="3" t="s">
        <v>13</v>
      </c>
      <c r="I2289" s="3">
        <v>66980000</v>
      </c>
    </row>
    <row r="2290" spans="1:9" x14ac:dyDescent="0.35">
      <c r="A2290" t="str">
        <f>"46014"</f>
        <v>46014</v>
      </c>
      <c r="B2290" t="s">
        <v>9</v>
      </c>
      <c r="C2290" t="s">
        <v>931</v>
      </c>
      <c r="D2290" s="5" t="s">
        <v>11</v>
      </c>
      <c r="E2290" s="5" t="s">
        <v>12</v>
      </c>
      <c r="F2290" s="3" t="s">
        <v>13</v>
      </c>
      <c r="G2290" s="3" t="s">
        <v>13</v>
      </c>
      <c r="H2290" s="3" t="s">
        <v>13</v>
      </c>
      <c r="I2290" s="3">
        <v>131080800</v>
      </c>
    </row>
    <row r="2291" spans="1:9" x14ac:dyDescent="0.35">
      <c r="A2291" t="str">
        <f>"46016"</f>
        <v>46016</v>
      </c>
      <c r="B2291" t="s">
        <v>9</v>
      </c>
      <c r="C2291" t="s">
        <v>932</v>
      </c>
      <c r="D2291" s="5" t="s">
        <v>11</v>
      </c>
      <c r="E2291" s="5" t="s">
        <v>12</v>
      </c>
      <c r="F2291" s="3" t="s">
        <v>13</v>
      </c>
      <c r="G2291" s="3" t="s">
        <v>13</v>
      </c>
      <c r="H2291" s="3" t="s">
        <v>13</v>
      </c>
      <c r="I2291" s="3">
        <v>93633300</v>
      </c>
    </row>
    <row r="2292" spans="1:9" x14ac:dyDescent="0.35">
      <c r="A2292" t="s">
        <v>30</v>
      </c>
      <c r="B2292" t="s">
        <v>31</v>
      </c>
      <c r="C2292" t="s">
        <v>32</v>
      </c>
      <c r="D2292" s="5" t="s">
        <v>11</v>
      </c>
      <c r="E2292" s="5" t="s">
        <v>12</v>
      </c>
      <c r="F2292" s="3" t="s">
        <v>13</v>
      </c>
      <c r="G2292" s="3" t="s">
        <v>13</v>
      </c>
      <c r="H2292" s="3" t="s">
        <v>13</v>
      </c>
      <c r="I2292" s="3">
        <v>906653000</v>
      </c>
    </row>
    <row r="2293" spans="1:9" x14ac:dyDescent="0.35">
      <c r="A2293" t="str">
        <f t="shared" ref="A2293:A2298" si="54">"46171"</f>
        <v>46171</v>
      </c>
      <c r="B2293" t="s">
        <v>33</v>
      </c>
      <c r="C2293" t="s">
        <v>929</v>
      </c>
      <c r="D2293" s="5" t="str">
        <f>"003"</f>
        <v>003</v>
      </c>
      <c r="E2293" s="5">
        <v>2011</v>
      </c>
      <c r="F2293" s="3">
        <v>4820700</v>
      </c>
      <c r="G2293" s="3">
        <v>21249200</v>
      </c>
      <c r="H2293" s="3">
        <v>16428500</v>
      </c>
    </row>
    <row r="2294" spans="1:9" x14ac:dyDescent="0.35">
      <c r="A2294" t="str">
        <f t="shared" si="54"/>
        <v>46171</v>
      </c>
      <c r="B2294" t="s">
        <v>33</v>
      </c>
      <c r="C2294" t="s">
        <v>929</v>
      </c>
      <c r="D2294" s="5" t="str">
        <f>"004"</f>
        <v>004</v>
      </c>
      <c r="E2294" s="5">
        <v>2021</v>
      </c>
      <c r="F2294" s="3">
        <v>1475600</v>
      </c>
      <c r="G2294" s="3">
        <v>3068700</v>
      </c>
      <c r="H2294" s="3">
        <v>1593100</v>
      </c>
    </row>
    <row r="2295" spans="1:9" x14ac:dyDescent="0.35">
      <c r="A2295" t="str">
        <f t="shared" si="54"/>
        <v>46171</v>
      </c>
      <c r="B2295" t="s">
        <v>33</v>
      </c>
      <c r="C2295" t="s">
        <v>929</v>
      </c>
      <c r="D2295" s="5" t="str">
        <f>"005"</f>
        <v>005</v>
      </c>
      <c r="E2295" s="5">
        <v>2021</v>
      </c>
      <c r="F2295" s="3">
        <v>1938000</v>
      </c>
      <c r="G2295" s="3">
        <v>3067900</v>
      </c>
      <c r="H2295" s="3">
        <v>1129900</v>
      </c>
    </row>
    <row r="2296" spans="1:9" x14ac:dyDescent="0.35">
      <c r="A2296" t="str">
        <f t="shared" si="54"/>
        <v>46171</v>
      </c>
      <c r="B2296" t="s">
        <v>33</v>
      </c>
      <c r="C2296" t="s">
        <v>929</v>
      </c>
      <c r="D2296" s="5" t="str">
        <f>"006"</f>
        <v>006</v>
      </c>
      <c r="E2296" s="5">
        <v>2021</v>
      </c>
      <c r="F2296" s="3">
        <v>1642000</v>
      </c>
      <c r="G2296" s="3">
        <v>2624100</v>
      </c>
      <c r="H2296" s="3">
        <v>982100</v>
      </c>
    </row>
    <row r="2297" spans="1:9" x14ac:dyDescent="0.35">
      <c r="A2297" t="str">
        <f t="shared" si="54"/>
        <v>46171</v>
      </c>
      <c r="B2297" t="s">
        <v>33</v>
      </c>
      <c r="C2297" t="s">
        <v>929</v>
      </c>
      <c r="D2297" s="5" t="str">
        <f>"007"</f>
        <v>007</v>
      </c>
      <c r="E2297" s="5">
        <v>2021</v>
      </c>
      <c r="F2297" s="3">
        <v>1947200</v>
      </c>
      <c r="G2297" s="3">
        <v>3484300</v>
      </c>
      <c r="H2297" s="3">
        <v>1537100</v>
      </c>
    </row>
    <row r="2298" spans="1:9" x14ac:dyDescent="0.35">
      <c r="A2298" t="str">
        <f t="shared" si="54"/>
        <v>46171</v>
      </c>
      <c r="B2298" t="s">
        <v>33</v>
      </c>
      <c r="C2298" t="s">
        <v>929</v>
      </c>
      <c r="D2298" s="5" t="s">
        <v>11</v>
      </c>
      <c r="E2298" s="5" t="s">
        <v>12</v>
      </c>
      <c r="F2298" s="3" t="s">
        <v>13</v>
      </c>
      <c r="G2298" s="3" t="s">
        <v>13</v>
      </c>
      <c r="H2298" s="3" t="s">
        <v>13</v>
      </c>
      <c r="I2298" s="3">
        <v>109011100</v>
      </c>
    </row>
    <row r="2299" spans="1:9" x14ac:dyDescent="0.35">
      <c r="A2299" t="str">
        <f>"46181"</f>
        <v>46181</v>
      </c>
      <c r="B2299" t="s">
        <v>33</v>
      </c>
      <c r="C2299" t="s">
        <v>930</v>
      </c>
      <c r="D2299" s="5" t="s">
        <v>11</v>
      </c>
      <c r="E2299" s="5" t="s">
        <v>12</v>
      </c>
      <c r="F2299" s="3" t="s">
        <v>13</v>
      </c>
      <c r="G2299" s="3" t="s">
        <v>13</v>
      </c>
      <c r="H2299" s="3" t="s">
        <v>13</v>
      </c>
      <c r="I2299" s="3">
        <v>36523500</v>
      </c>
    </row>
    <row r="2300" spans="1:9" x14ac:dyDescent="0.35">
      <c r="A2300" t="s">
        <v>30</v>
      </c>
      <c r="B2300" t="s">
        <v>35</v>
      </c>
      <c r="C2300" t="s">
        <v>32</v>
      </c>
      <c r="D2300" s="5" t="s">
        <v>11</v>
      </c>
      <c r="E2300" s="5" t="s">
        <v>12</v>
      </c>
      <c r="F2300" s="3" t="s">
        <v>13</v>
      </c>
      <c r="G2300" s="3" t="s">
        <v>13</v>
      </c>
      <c r="H2300" s="3" t="s">
        <v>13</v>
      </c>
      <c r="I2300" s="3">
        <v>145534600</v>
      </c>
    </row>
    <row r="2301" spans="1:9" x14ac:dyDescent="0.35">
      <c r="A2301" t="str">
        <f>"46216"</f>
        <v>46216</v>
      </c>
      <c r="B2301" t="s">
        <v>36</v>
      </c>
      <c r="C2301" t="s">
        <v>928</v>
      </c>
      <c r="D2301" s="5" t="str">
        <f>"003"</f>
        <v>003</v>
      </c>
      <c r="E2301" s="5">
        <v>2007</v>
      </c>
      <c r="F2301" s="3">
        <v>10391700</v>
      </c>
      <c r="G2301" s="3">
        <v>21346300</v>
      </c>
      <c r="H2301" s="3">
        <v>10954600</v>
      </c>
    </row>
    <row r="2302" spans="1:9" x14ac:dyDescent="0.35">
      <c r="A2302" t="str">
        <f>"46216"</f>
        <v>46216</v>
      </c>
      <c r="B2302" t="s">
        <v>36</v>
      </c>
      <c r="C2302" t="s">
        <v>928</v>
      </c>
      <c r="D2302" s="5" t="s">
        <v>11</v>
      </c>
      <c r="E2302" s="5" t="s">
        <v>12</v>
      </c>
      <c r="F2302" s="3" t="s">
        <v>13</v>
      </c>
      <c r="G2302" s="3" t="s">
        <v>13</v>
      </c>
      <c r="H2302" s="3" t="s">
        <v>13</v>
      </c>
      <c r="I2302" s="3">
        <v>156145100</v>
      </c>
    </row>
    <row r="2303" spans="1:9" x14ac:dyDescent="0.35">
      <c r="A2303" t="s">
        <v>30</v>
      </c>
      <c r="B2303" t="s">
        <v>38</v>
      </c>
      <c r="C2303" t="s">
        <v>32</v>
      </c>
      <c r="D2303" s="5" t="s">
        <v>11</v>
      </c>
      <c r="E2303" s="5" t="s">
        <v>12</v>
      </c>
      <c r="F2303" s="3" t="s">
        <v>13</v>
      </c>
      <c r="G2303" s="3" t="s">
        <v>13</v>
      </c>
      <c r="H2303" s="3" t="s">
        <v>13</v>
      </c>
      <c r="I2303" s="3">
        <v>156145100</v>
      </c>
    </row>
    <row r="2304" spans="1:9" x14ac:dyDescent="0.35">
      <c r="A2304" t="s">
        <v>30</v>
      </c>
      <c r="B2304" t="s">
        <v>39</v>
      </c>
      <c r="C2304" t="s">
        <v>929</v>
      </c>
      <c r="D2304" s="5" t="s">
        <v>11</v>
      </c>
      <c r="E2304" s="5" t="s">
        <v>12</v>
      </c>
      <c r="F2304" s="3" t="s">
        <v>13</v>
      </c>
      <c r="G2304" s="3" t="s">
        <v>13</v>
      </c>
      <c r="H2304" s="3" t="s">
        <v>13</v>
      </c>
      <c r="I2304" s="3">
        <v>1208332700</v>
      </c>
    </row>
    <row r="2305" spans="1:9" x14ac:dyDescent="0.35">
      <c r="A2305" t="str">
        <f>"47002"</f>
        <v>47002</v>
      </c>
      <c r="B2305" t="s">
        <v>9</v>
      </c>
      <c r="C2305" t="s">
        <v>496</v>
      </c>
      <c r="D2305" s="5" t="s">
        <v>11</v>
      </c>
      <c r="E2305" s="5" t="s">
        <v>12</v>
      </c>
      <c r="F2305" s="3" t="s">
        <v>13</v>
      </c>
      <c r="G2305" s="3" t="s">
        <v>13</v>
      </c>
      <c r="H2305" s="3" t="s">
        <v>13</v>
      </c>
      <c r="I2305" s="3">
        <v>623325100</v>
      </c>
    </row>
    <row r="2306" spans="1:9" x14ac:dyDescent="0.35">
      <c r="A2306" t="str">
        <f>"47004"</f>
        <v>47004</v>
      </c>
      <c r="B2306" t="s">
        <v>9</v>
      </c>
      <c r="C2306" t="s">
        <v>933</v>
      </c>
      <c r="D2306" s="5" t="s">
        <v>11</v>
      </c>
      <c r="E2306" s="5" t="s">
        <v>12</v>
      </c>
      <c r="F2306" s="3" t="s">
        <v>13</v>
      </c>
      <c r="G2306" s="3" t="s">
        <v>13</v>
      </c>
      <c r="H2306" s="3" t="s">
        <v>13</v>
      </c>
      <c r="I2306" s="3">
        <v>98317800</v>
      </c>
    </row>
    <row r="2307" spans="1:9" x14ac:dyDescent="0.35">
      <c r="A2307" t="str">
        <f>"47006"</f>
        <v>47006</v>
      </c>
      <c r="B2307" t="s">
        <v>9</v>
      </c>
      <c r="C2307" t="s">
        <v>934</v>
      </c>
      <c r="D2307" s="5" t="s">
        <v>11</v>
      </c>
      <c r="E2307" s="5" t="s">
        <v>12</v>
      </c>
      <c r="F2307" s="3" t="s">
        <v>13</v>
      </c>
      <c r="G2307" s="3" t="s">
        <v>13</v>
      </c>
      <c r="H2307" s="3" t="s">
        <v>13</v>
      </c>
      <c r="I2307" s="3">
        <v>225992000</v>
      </c>
    </row>
    <row r="2308" spans="1:9" x14ac:dyDescent="0.35">
      <c r="A2308" t="str">
        <f>"47008"</f>
        <v>47008</v>
      </c>
      <c r="B2308" t="s">
        <v>9</v>
      </c>
      <c r="C2308" t="s">
        <v>935</v>
      </c>
      <c r="D2308" s="5" t="s">
        <v>11</v>
      </c>
      <c r="E2308" s="5" t="s">
        <v>12</v>
      </c>
      <c r="F2308" s="3" t="s">
        <v>13</v>
      </c>
      <c r="G2308" s="3" t="s">
        <v>13</v>
      </c>
      <c r="H2308" s="3" t="s">
        <v>13</v>
      </c>
      <c r="I2308" s="3">
        <v>148354000</v>
      </c>
    </row>
    <row r="2309" spans="1:9" x14ac:dyDescent="0.35">
      <c r="A2309" t="str">
        <f>"47010"</f>
        <v>47010</v>
      </c>
      <c r="B2309" t="s">
        <v>9</v>
      </c>
      <c r="C2309" t="s">
        <v>936</v>
      </c>
      <c r="D2309" s="5" t="s">
        <v>11</v>
      </c>
      <c r="E2309" s="5" t="s">
        <v>12</v>
      </c>
      <c r="F2309" s="3" t="s">
        <v>13</v>
      </c>
      <c r="G2309" s="3" t="s">
        <v>13</v>
      </c>
      <c r="H2309" s="3" t="s">
        <v>13</v>
      </c>
      <c r="I2309" s="3">
        <v>175292800</v>
      </c>
    </row>
    <row r="2310" spans="1:9" x14ac:dyDescent="0.35">
      <c r="A2310" t="str">
        <f>"47012"</f>
        <v>47012</v>
      </c>
      <c r="B2310" t="s">
        <v>9</v>
      </c>
      <c r="C2310" t="s">
        <v>937</v>
      </c>
      <c r="D2310" s="5" t="s">
        <v>11</v>
      </c>
      <c r="E2310" s="5" t="s">
        <v>12</v>
      </c>
      <c r="F2310" s="3" t="s">
        <v>13</v>
      </c>
      <c r="G2310" s="3" t="s">
        <v>13</v>
      </c>
      <c r="H2310" s="3" t="s">
        <v>13</v>
      </c>
      <c r="I2310" s="3">
        <v>153289600</v>
      </c>
    </row>
    <row r="2311" spans="1:9" x14ac:dyDescent="0.35">
      <c r="A2311" t="str">
        <f>"47014"</f>
        <v>47014</v>
      </c>
      <c r="B2311" t="s">
        <v>9</v>
      </c>
      <c r="C2311" t="s">
        <v>938</v>
      </c>
      <c r="D2311" s="5" t="s">
        <v>11</v>
      </c>
      <c r="E2311" s="5" t="s">
        <v>12</v>
      </c>
      <c r="F2311" s="3" t="s">
        <v>13</v>
      </c>
      <c r="G2311" s="3" t="s">
        <v>13</v>
      </c>
      <c r="H2311" s="3" t="s">
        <v>13</v>
      </c>
      <c r="I2311" s="3">
        <v>65512400</v>
      </c>
    </row>
    <row r="2312" spans="1:9" x14ac:dyDescent="0.35">
      <c r="A2312" t="str">
        <f>"47016"</f>
        <v>47016</v>
      </c>
      <c r="B2312" t="s">
        <v>9</v>
      </c>
      <c r="C2312" t="s">
        <v>939</v>
      </c>
      <c r="D2312" s="5" t="s">
        <v>11</v>
      </c>
      <c r="E2312" s="5" t="s">
        <v>12</v>
      </c>
      <c r="F2312" s="3" t="s">
        <v>13</v>
      </c>
      <c r="G2312" s="3" t="s">
        <v>13</v>
      </c>
      <c r="H2312" s="3" t="s">
        <v>13</v>
      </c>
      <c r="I2312" s="3">
        <v>135090700</v>
      </c>
    </row>
    <row r="2313" spans="1:9" x14ac:dyDescent="0.35">
      <c r="A2313" t="str">
        <f>"47018"</f>
        <v>47018</v>
      </c>
      <c r="B2313" t="s">
        <v>9</v>
      </c>
      <c r="C2313" t="s">
        <v>940</v>
      </c>
      <c r="D2313" s="5" t="s">
        <v>11</v>
      </c>
      <c r="E2313" s="5" t="s">
        <v>12</v>
      </c>
      <c r="F2313" s="3" t="s">
        <v>13</v>
      </c>
      <c r="G2313" s="3" t="s">
        <v>13</v>
      </c>
      <c r="H2313" s="3" t="s">
        <v>13</v>
      </c>
      <c r="I2313" s="3">
        <v>233937200</v>
      </c>
    </row>
    <row r="2314" spans="1:9" x14ac:dyDescent="0.35">
      <c r="A2314" t="str">
        <f>"47020"</f>
        <v>47020</v>
      </c>
      <c r="B2314" t="s">
        <v>9</v>
      </c>
      <c r="C2314" t="s">
        <v>70</v>
      </c>
      <c r="D2314" s="5" t="s">
        <v>11</v>
      </c>
      <c r="E2314" s="5" t="s">
        <v>12</v>
      </c>
      <c r="F2314" s="3" t="s">
        <v>13</v>
      </c>
      <c r="G2314" s="3" t="s">
        <v>13</v>
      </c>
      <c r="H2314" s="3" t="s">
        <v>13</v>
      </c>
      <c r="I2314" s="3">
        <v>640823300</v>
      </c>
    </row>
    <row r="2315" spans="1:9" x14ac:dyDescent="0.35">
      <c r="A2315" t="str">
        <f>"47022"</f>
        <v>47022</v>
      </c>
      <c r="B2315" t="s">
        <v>9</v>
      </c>
      <c r="C2315" t="s">
        <v>941</v>
      </c>
      <c r="D2315" s="5" t="s">
        <v>11</v>
      </c>
      <c r="E2315" s="5" t="s">
        <v>12</v>
      </c>
      <c r="F2315" s="3" t="s">
        <v>13</v>
      </c>
      <c r="G2315" s="3" t="s">
        <v>13</v>
      </c>
      <c r="H2315" s="3" t="s">
        <v>13</v>
      </c>
      <c r="I2315" s="3">
        <v>473349000</v>
      </c>
    </row>
    <row r="2316" spans="1:9" x14ac:dyDescent="0.35">
      <c r="A2316" t="str">
        <f>"47024"</f>
        <v>47024</v>
      </c>
      <c r="B2316" t="s">
        <v>9</v>
      </c>
      <c r="C2316" t="s">
        <v>942</v>
      </c>
      <c r="D2316" s="5" t="s">
        <v>11</v>
      </c>
      <c r="E2316" s="5" t="s">
        <v>12</v>
      </c>
      <c r="F2316" s="3" t="s">
        <v>13</v>
      </c>
      <c r="G2316" s="3" t="s">
        <v>13</v>
      </c>
      <c r="H2316" s="3" t="s">
        <v>13</v>
      </c>
      <c r="I2316" s="3">
        <v>79158500</v>
      </c>
    </row>
    <row r="2317" spans="1:9" x14ac:dyDescent="0.35">
      <c r="A2317" t="str">
        <f>"47026"</f>
        <v>47026</v>
      </c>
      <c r="B2317" t="s">
        <v>9</v>
      </c>
      <c r="C2317" t="s">
        <v>943</v>
      </c>
      <c r="D2317" s="5" t="s">
        <v>11</v>
      </c>
      <c r="E2317" s="5" t="s">
        <v>12</v>
      </c>
      <c r="F2317" s="3" t="s">
        <v>13</v>
      </c>
      <c r="G2317" s="3" t="s">
        <v>13</v>
      </c>
      <c r="H2317" s="3" t="s">
        <v>13</v>
      </c>
      <c r="I2317" s="3">
        <v>106627600</v>
      </c>
    </row>
    <row r="2318" spans="1:9" x14ac:dyDescent="0.35">
      <c r="A2318" t="str">
        <f>"47028"</f>
        <v>47028</v>
      </c>
      <c r="B2318" t="s">
        <v>9</v>
      </c>
      <c r="C2318" t="s">
        <v>944</v>
      </c>
      <c r="D2318" s="5" t="s">
        <v>11</v>
      </c>
      <c r="E2318" s="5" t="s">
        <v>12</v>
      </c>
      <c r="F2318" s="3" t="s">
        <v>13</v>
      </c>
      <c r="G2318" s="3" t="s">
        <v>13</v>
      </c>
      <c r="H2318" s="3" t="s">
        <v>13</v>
      </c>
      <c r="I2318" s="3">
        <v>97368100</v>
      </c>
    </row>
    <row r="2319" spans="1:9" x14ac:dyDescent="0.35">
      <c r="A2319" t="str">
        <f>"47030"</f>
        <v>47030</v>
      </c>
      <c r="B2319" t="s">
        <v>9</v>
      </c>
      <c r="C2319" t="s">
        <v>367</v>
      </c>
      <c r="D2319" s="5" t="s">
        <v>11</v>
      </c>
      <c r="E2319" s="5" t="s">
        <v>12</v>
      </c>
      <c r="F2319" s="3" t="s">
        <v>13</v>
      </c>
      <c r="G2319" s="3" t="s">
        <v>13</v>
      </c>
      <c r="H2319" s="3" t="s">
        <v>13</v>
      </c>
      <c r="I2319" s="3">
        <v>333636600</v>
      </c>
    </row>
    <row r="2320" spans="1:9" x14ac:dyDescent="0.35">
      <c r="A2320" t="str">
        <f>"47032"</f>
        <v>47032</v>
      </c>
      <c r="B2320" t="s">
        <v>9</v>
      </c>
      <c r="C2320" t="s">
        <v>945</v>
      </c>
      <c r="D2320" s="5" t="s">
        <v>11</v>
      </c>
      <c r="E2320" s="5" t="s">
        <v>12</v>
      </c>
      <c r="F2320" s="3" t="s">
        <v>13</v>
      </c>
      <c r="G2320" s="3" t="s">
        <v>13</v>
      </c>
      <c r="H2320" s="3" t="s">
        <v>13</v>
      </c>
      <c r="I2320" s="3">
        <v>292247400</v>
      </c>
    </row>
    <row r="2321" spans="1:9" x14ac:dyDescent="0.35">
      <c r="A2321" t="str">
        <f>"47034"</f>
        <v>47034</v>
      </c>
      <c r="B2321" t="s">
        <v>9</v>
      </c>
      <c r="C2321" t="s">
        <v>164</v>
      </c>
      <c r="D2321" s="5" t="s">
        <v>11</v>
      </c>
      <c r="E2321" s="5" t="s">
        <v>12</v>
      </c>
      <c r="F2321" s="3" t="s">
        <v>13</v>
      </c>
      <c r="G2321" s="3" t="s">
        <v>13</v>
      </c>
      <c r="H2321" s="3" t="s">
        <v>13</v>
      </c>
      <c r="I2321" s="3">
        <v>97600600</v>
      </c>
    </row>
    <row r="2322" spans="1:9" x14ac:dyDescent="0.35">
      <c r="A2322" t="s">
        <v>30</v>
      </c>
      <c r="B2322" t="s">
        <v>31</v>
      </c>
      <c r="C2322" t="s">
        <v>32</v>
      </c>
      <c r="D2322" s="5" t="s">
        <v>11</v>
      </c>
      <c r="E2322" s="5" t="s">
        <v>12</v>
      </c>
      <c r="F2322" s="3" t="s">
        <v>13</v>
      </c>
      <c r="G2322" s="3" t="s">
        <v>13</v>
      </c>
      <c r="H2322" s="3" t="s">
        <v>13</v>
      </c>
      <c r="I2322" s="3">
        <v>3979922700</v>
      </c>
    </row>
    <row r="2323" spans="1:9" x14ac:dyDescent="0.35">
      <c r="A2323" t="str">
        <f>"47106"</f>
        <v>47106</v>
      </c>
      <c r="B2323" t="s">
        <v>33</v>
      </c>
      <c r="C2323" t="s">
        <v>946</v>
      </c>
      <c r="D2323" s="5" t="s">
        <v>11</v>
      </c>
      <c r="E2323" s="5" t="s">
        <v>12</v>
      </c>
      <c r="F2323" s="3" t="s">
        <v>13</v>
      </c>
      <c r="G2323" s="3" t="s">
        <v>13</v>
      </c>
      <c r="H2323" s="3" t="s">
        <v>13</v>
      </c>
      <c r="I2323" s="3">
        <v>38214200</v>
      </c>
    </row>
    <row r="2324" spans="1:9" x14ac:dyDescent="0.35">
      <c r="A2324" t="str">
        <f t="shared" ref="A2324:A2332" si="55">"47121"</f>
        <v>47121</v>
      </c>
      <c r="B2324" t="s">
        <v>33</v>
      </c>
      <c r="C2324" t="s">
        <v>934</v>
      </c>
      <c r="D2324" s="5" t="str">
        <f>"004"</f>
        <v>004</v>
      </c>
      <c r="E2324" s="5">
        <v>1996</v>
      </c>
      <c r="F2324" s="3">
        <v>54600</v>
      </c>
      <c r="G2324" s="3">
        <v>910800</v>
      </c>
      <c r="H2324" s="3">
        <v>856200</v>
      </c>
    </row>
    <row r="2325" spans="1:9" x14ac:dyDescent="0.35">
      <c r="A2325" t="str">
        <f t="shared" si="55"/>
        <v>47121</v>
      </c>
      <c r="B2325" t="s">
        <v>33</v>
      </c>
      <c r="C2325" t="s">
        <v>934</v>
      </c>
      <c r="D2325" s="5" t="str">
        <f>"007"</f>
        <v>007</v>
      </c>
      <c r="E2325" s="5">
        <v>2006</v>
      </c>
      <c r="F2325" s="3">
        <v>217600</v>
      </c>
      <c r="G2325" s="3">
        <v>13593500</v>
      </c>
      <c r="H2325" s="3">
        <v>13375900</v>
      </c>
    </row>
    <row r="2326" spans="1:9" x14ac:dyDescent="0.35">
      <c r="A2326" t="str">
        <f t="shared" si="55"/>
        <v>47121</v>
      </c>
      <c r="B2326" t="s">
        <v>33</v>
      </c>
      <c r="C2326" t="s">
        <v>934</v>
      </c>
      <c r="D2326" s="5" t="str">
        <f>"008"</f>
        <v>008</v>
      </c>
      <c r="E2326" s="5">
        <v>2010</v>
      </c>
      <c r="F2326" s="3">
        <v>3773700</v>
      </c>
      <c r="G2326" s="3">
        <v>9157900</v>
      </c>
      <c r="H2326" s="3">
        <v>5384200</v>
      </c>
    </row>
    <row r="2327" spans="1:9" x14ac:dyDescent="0.35">
      <c r="A2327" t="str">
        <f t="shared" si="55"/>
        <v>47121</v>
      </c>
      <c r="B2327" t="s">
        <v>33</v>
      </c>
      <c r="C2327" t="s">
        <v>934</v>
      </c>
      <c r="D2327" s="5" t="str">
        <f>"009"</f>
        <v>009</v>
      </c>
      <c r="E2327" s="5">
        <v>2011</v>
      </c>
      <c r="F2327" s="3">
        <v>510400</v>
      </c>
      <c r="G2327" s="3">
        <v>5038000</v>
      </c>
      <c r="H2327" s="3">
        <v>4527600</v>
      </c>
    </row>
    <row r="2328" spans="1:9" x14ac:dyDescent="0.35">
      <c r="A2328" t="str">
        <f t="shared" si="55"/>
        <v>47121</v>
      </c>
      <c r="B2328" t="s">
        <v>33</v>
      </c>
      <c r="C2328" t="s">
        <v>934</v>
      </c>
      <c r="D2328" s="5" t="str">
        <f>"010"</f>
        <v>010</v>
      </c>
      <c r="E2328" s="5">
        <v>2012</v>
      </c>
      <c r="F2328" s="3">
        <v>827300</v>
      </c>
      <c r="G2328" s="3">
        <v>1782500</v>
      </c>
      <c r="H2328" s="3">
        <v>955200</v>
      </c>
    </row>
    <row r="2329" spans="1:9" x14ac:dyDescent="0.35">
      <c r="A2329" t="str">
        <f t="shared" si="55"/>
        <v>47121</v>
      </c>
      <c r="B2329" t="s">
        <v>33</v>
      </c>
      <c r="C2329" t="s">
        <v>934</v>
      </c>
      <c r="D2329" s="5" t="str">
        <f>"011"</f>
        <v>011</v>
      </c>
      <c r="E2329" s="5">
        <v>2013</v>
      </c>
      <c r="F2329" s="3">
        <v>1308200</v>
      </c>
      <c r="G2329" s="3">
        <v>1458700</v>
      </c>
      <c r="H2329" s="3">
        <v>150500</v>
      </c>
    </row>
    <row r="2330" spans="1:9" x14ac:dyDescent="0.35">
      <c r="A2330" t="str">
        <f t="shared" si="55"/>
        <v>47121</v>
      </c>
      <c r="B2330" t="s">
        <v>33</v>
      </c>
      <c r="C2330" t="s">
        <v>934</v>
      </c>
      <c r="D2330" s="5" t="str">
        <f>"012"</f>
        <v>012</v>
      </c>
      <c r="E2330" s="5">
        <v>2022</v>
      </c>
      <c r="F2330" s="3">
        <v>24200</v>
      </c>
      <c r="G2330" s="3">
        <v>3529400</v>
      </c>
      <c r="H2330" s="3">
        <v>3505200</v>
      </c>
    </row>
    <row r="2331" spans="1:9" x14ac:dyDescent="0.35">
      <c r="A2331" t="str">
        <f t="shared" si="55"/>
        <v>47121</v>
      </c>
      <c r="B2331" t="s">
        <v>33</v>
      </c>
      <c r="C2331" t="s">
        <v>934</v>
      </c>
      <c r="D2331" s="5" t="str">
        <f>"013"</f>
        <v>013</v>
      </c>
      <c r="E2331" s="5">
        <v>2024</v>
      </c>
      <c r="F2331" s="3">
        <v>2042500</v>
      </c>
      <c r="G2331" s="3">
        <v>9657000</v>
      </c>
      <c r="H2331" s="3">
        <v>7614500</v>
      </c>
    </row>
    <row r="2332" spans="1:9" x14ac:dyDescent="0.35">
      <c r="A2332" t="str">
        <f t="shared" si="55"/>
        <v>47121</v>
      </c>
      <c r="B2332" t="s">
        <v>33</v>
      </c>
      <c r="C2332" t="s">
        <v>934</v>
      </c>
      <c r="D2332" s="5" t="s">
        <v>11</v>
      </c>
      <c r="E2332" s="5" t="s">
        <v>12</v>
      </c>
      <c r="F2332" s="3" t="s">
        <v>13</v>
      </c>
      <c r="G2332" s="3" t="s">
        <v>13</v>
      </c>
      <c r="H2332" s="3" t="s">
        <v>13</v>
      </c>
      <c r="I2332" s="3">
        <v>355242900</v>
      </c>
    </row>
    <row r="2333" spans="1:9" x14ac:dyDescent="0.35">
      <c r="A2333" t="str">
        <f>"47122"</f>
        <v>47122</v>
      </c>
      <c r="B2333" t="s">
        <v>33</v>
      </c>
      <c r="C2333" t="s">
        <v>947</v>
      </c>
      <c r="D2333" s="5" t="str">
        <f>"005"</f>
        <v>005</v>
      </c>
      <c r="E2333" s="5">
        <v>2007</v>
      </c>
      <c r="F2333" s="3">
        <v>373300</v>
      </c>
      <c r="G2333" s="3">
        <v>3998500</v>
      </c>
      <c r="H2333" s="3">
        <v>3625200</v>
      </c>
    </row>
    <row r="2334" spans="1:9" x14ac:dyDescent="0.35">
      <c r="A2334" t="str">
        <f>"47122"</f>
        <v>47122</v>
      </c>
      <c r="B2334" t="s">
        <v>33</v>
      </c>
      <c r="C2334" t="s">
        <v>947</v>
      </c>
      <c r="D2334" s="5" t="s">
        <v>11</v>
      </c>
      <c r="E2334" s="5" t="s">
        <v>12</v>
      </c>
      <c r="F2334" s="3" t="s">
        <v>13</v>
      </c>
      <c r="G2334" s="3" t="s">
        <v>13</v>
      </c>
      <c r="H2334" s="3" t="s">
        <v>13</v>
      </c>
      <c r="I2334" s="3">
        <v>78020400</v>
      </c>
    </row>
    <row r="2335" spans="1:9" x14ac:dyDescent="0.35">
      <c r="A2335" t="str">
        <f>"47151"</f>
        <v>47151</v>
      </c>
      <c r="B2335" t="s">
        <v>33</v>
      </c>
      <c r="C2335" t="s">
        <v>939</v>
      </c>
      <c r="D2335" s="5" t="s">
        <v>11</v>
      </c>
      <c r="E2335" s="5" t="s">
        <v>12</v>
      </c>
      <c r="F2335" s="3" t="s">
        <v>13</v>
      </c>
      <c r="G2335" s="3" t="s">
        <v>13</v>
      </c>
      <c r="H2335" s="3" t="s">
        <v>13</v>
      </c>
      <c r="I2335" s="3">
        <v>26690900</v>
      </c>
    </row>
    <row r="2336" spans="1:9" x14ac:dyDescent="0.35">
      <c r="A2336" t="str">
        <f>"47171"</f>
        <v>47171</v>
      </c>
      <c r="B2336" t="s">
        <v>33</v>
      </c>
      <c r="C2336" t="s">
        <v>948</v>
      </c>
      <c r="D2336" s="5" t="s">
        <v>11</v>
      </c>
      <c r="E2336" s="5" t="s">
        <v>12</v>
      </c>
      <c r="F2336" s="3" t="s">
        <v>13</v>
      </c>
      <c r="G2336" s="3" t="s">
        <v>13</v>
      </c>
      <c r="H2336" s="3" t="s">
        <v>13</v>
      </c>
      <c r="I2336" s="3">
        <v>52976400</v>
      </c>
    </row>
    <row r="2337" spans="1:9" x14ac:dyDescent="0.35">
      <c r="A2337" t="str">
        <f>"47181"</f>
        <v>47181</v>
      </c>
      <c r="B2337" t="s">
        <v>33</v>
      </c>
      <c r="C2337" t="s">
        <v>949</v>
      </c>
      <c r="D2337" s="5" t="str">
        <f>"002"</f>
        <v>002</v>
      </c>
      <c r="E2337" s="5">
        <v>1995</v>
      </c>
      <c r="F2337" s="3">
        <v>83300</v>
      </c>
      <c r="G2337" s="3">
        <v>15877900</v>
      </c>
      <c r="H2337" s="3">
        <v>15794600</v>
      </c>
    </row>
    <row r="2338" spans="1:9" x14ac:dyDescent="0.35">
      <c r="A2338" t="str">
        <f>"47181"</f>
        <v>47181</v>
      </c>
      <c r="B2338" t="s">
        <v>33</v>
      </c>
      <c r="C2338" t="s">
        <v>949</v>
      </c>
      <c r="D2338" s="5" t="str">
        <f>"003"</f>
        <v>003</v>
      </c>
      <c r="E2338" s="5">
        <v>2007</v>
      </c>
      <c r="F2338" s="3">
        <v>2402900</v>
      </c>
      <c r="G2338" s="3">
        <v>6710000</v>
      </c>
      <c r="H2338" s="3">
        <v>4307100</v>
      </c>
    </row>
    <row r="2339" spans="1:9" x14ac:dyDescent="0.35">
      <c r="A2339" t="str">
        <f>"47181"</f>
        <v>47181</v>
      </c>
      <c r="B2339" t="s">
        <v>33</v>
      </c>
      <c r="C2339" t="s">
        <v>949</v>
      </c>
      <c r="D2339" s="5" t="s">
        <v>11</v>
      </c>
      <c r="E2339" s="5" t="s">
        <v>12</v>
      </c>
      <c r="F2339" s="3" t="s">
        <v>13</v>
      </c>
      <c r="G2339" s="3" t="s">
        <v>13</v>
      </c>
      <c r="H2339" s="3" t="s">
        <v>13</v>
      </c>
      <c r="I2339" s="3">
        <v>126868200</v>
      </c>
    </row>
    <row r="2340" spans="1:9" x14ac:dyDescent="0.35">
      <c r="A2340" t="s">
        <v>30</v>
      </c>
      <c r="B2340" t="s">
        <v>35</v>
      </c>
      <c r="C2340" t="s">
        <v>32</v>
      </c>
      <c r="D2340" s="5" t="s">
        <v>11</v>
      </c>
      <c r="E2340" s="5" t="s">
        <v>12</v>
      </c>
      <c r="F2340" s="3" t="s">
        <v>13</v>
      </c>
      <c r="G2340" s="3" t="s">
        <v>13</v>
      </c>
      <c r="H2340" s="3" t="s">
        <v>13</v>
      </c>
      <c r="I2340" s="3">
        <v>678013000</v>
      </c>
    </row>
    <row r="2341" spans="1:9" x14ac:dyDescent="0.35">
      <c r="A2341" t="str">
        <f>"47271"</f>
        <v>47271</v>
      </c>
      <c r="B2341" t="s">
        <v>36</v>
      </c>
      <c r="C2341" t="s">
        <v>950</v>
      </c>
      <c r="D2341" s="5" t="str">
        <f>"004"</f>
        <v>004</v>
      </c>
      <c r="E2341" s="5">
        <v>2003</v>
      </c>
      <c r="F2341" s="3">
        <v>8340700</v>
      </c>
      <c r="G2341" s="3">
        <v>46776500</v>
      </c>
      <c r="H2341" s="3">
        <v>38435800</v>
      </c>
    </row>
    <row r="2342" spans="1:9" x14ac:dyDescent="0.35">
      <c r="A2342" t="str">
        <f>"47271"</f>
        <v>47271</v>
      </c>
      <c r="B2342" t="s">
        <v>36</v>
      </c>
      <c r="C2342" t="s">
        <v>950</v>
      </c>
      <c r="D2342" s="5" t="str">
        <f>"005"</f>
        <v>005</v>
      </c>
      <c r="E2342" s="5">
        <v>2006</v>
      </c>
      <c r="F2342" s="3">
        <v>2568600</v>
      </c>
      <c r="G2342" s="3">
        <v>48041100</v>
      </c>
      <c r="H2342" s="3">
        <v>45472500</v>
      </c>
    </row>
    <row r="2343" spans="1:9" x14ac:dyDescent="0.35">
      <c r="A2343" t="str">
        <f>"47271"</f>
        <v>47271</v>
      </c>
      <c r="B2343" t="s">
        <v>36</v>
      </c>
      <c r="C2343" t="s">
        <v>950</v>
      </c>
      <c r="D2343" s="5" t="str">
        <f>"006"</f>
        <v>006</v>
      </c>
      <c r="E2343" s="5">
        <v>2024</v>
      </c>
      <c r="F2343" s="3">
        <v>40153200</v>
      </c>
      <c r="G2343" s="3">
        <v>44465600</v>
      </c>
      <c r="H2343" s="3">
        <v>4312400</v>
      </c>
    </row>
    <row r="2344" spans="1:9" x14ac:dyDescent="0.35">
      <c r="A2344" t="str">
        <f>"47271"</f>
        <v>47271</v>
      </c>
      <c r="B2344" t="s">
        <v>36</v>
      </c>
      <c r="C2344" t="s">
        <v>950</v>
      </c>
      <c r="D2344" s="5" t="s">
        <v>11</v>
      </c>
      <c r="E2344" s="5" t="s">
        <v>12</v>
      </c>
      <c r="F2344" s="3" t="s">
        <v>13</v>
      </c>
      <c r="G2344" s="3" t="s">
        <v>13</v>
      </c>
      <c r="H2344" s="3" t="s">
        <v>13</v>
      </c>
      <c r="I2344" s="3">
        <v>652041300</v>
      </c>
    </row>
    <row r="2345" spans="1:9" x14ac:dyDescent="0.35">
      <c r="A2345" t="str">
        <f t="shared" ref="A2345:A2351" si="56">"47276"</f>
        <v>47276</v>
      </c>
      <c r="B2345" t="s">
        <v>36</v>
      </c>
      <c r="C2345" t="s">
        <v>941</v>
      </c>
      <c r="D2345" s="5" t="str">
        <f>"006"</f>
        <v>006</v>
      </c>
      <c r="E2345" s="5">
        <v>2005</v>
      </c>
      <c r="F2345" s="3">
        <v>973400</v>
      </c>
      <c r="G2345" s="3">
        <v>11574300</v>
      </c>
      <c r="H2345" s="3">
        <v>10600900</v>
      </c>
    </row>
    <row r="2346" spans="1:9" x14ac:dyDescent="0.35">
      <c r="A2346" t="str">
        <f t="shared" si="56"/>
        <v>47276</v>
      </c>
      <c r="B2346" t="s">
        <v>36</v>
      </c>
      <c r="C2346" t="s">
        <v>941</v>
      </c>
      <c r="D2346" s="5" t="str">
        <f>"008"</f>
        <v>008</v>
      </c>
      <c r="E2346" s="5">
        <v>2010</v>
      </c>
      <c r="F2346" s="3">
        <v>1326500</v>
      </c>
      <c r="G2346" s="3">
        <v>7010300</v>
      </c>
      <c r="H2346" s="3">
        <v>5683800</v>
      </c>
    </row>
    <row r="2347" spans="1:9" x14ac:dyDescent="0.35">
      <c r="A2347" t="str">
        <f t="shared" si="56"/>
        <v>47276</v>
      </c>
      <c r="B2347" t="s">
        <v>36</v>
      </c>
      <c r="C2347" t="s">
        <v>941</v>
      </c>
      <c r="D2347" s="5" t="str">
        <f>"009"</f>
        <v>009</v>
      </c>
      <c r="E2347" s="5">
        <v>2012</v>
      </c>
      <c r="F2347" s="3">
        <v>4212300</v>
      </c>
      <c r="G2347" s="3">
        <v>6639200</v>
      </c>
      <c r="H2347" s="3">
        <v>2426900</v>
      </c>
    </row>
    <row r="2348" spans="1:9" x14ac:dyDescent="0.35">
      <c r="A2348" t="str">
        <f t="shared" si="56"/>
        <v>47276</v>
      </c>
      <c r="B2348" t="s">
        <v>36</v>
      </c>
      <c r="C2348" t="s">
        <v>941</v>
      </c>
      <c r="D2348" s="5" t="str">
        <f>"014"</f>
        <v>014</v>
      </c>
      <c r="E2348" s="5">
        <v>2018</v>
      </c>
      <c r="F2348" s="3">
        <v>73100</v>
      </c>
      <c r="G2348" s="3">
        <v>10490500</v>
      </c>
      <c r="H2348" s="3">
        <v>10417400</v>
      </c>
    </row>
    <row r="2349" spans="1:9" x14ac:dyDescent="0.35">
      <c r="A2349" t="str">
        <f t="shared" si="56"/>
        <v>47276</v>
      </c>
      <c r="B2349" t="s">
        <v>36</v>
      </c>
      <c r="C2349" t="s">
        <v>941</v>
      </c>
      <c r="D2349" s="5" t="str">
        <f>"015"</f>
        <v>015</v>
      </c>
      <c r="E2349" s="5">
        <v>2020</v>
      </c>
      <c r="F2349" s="3">
        <v>245200</v>
      </c>
      <c r="G2349" s="3">
        <v>3862400</v>
      </c>
      <c r="H2349" s="3">
        <v>3617200</v>
      </c>
    </row>
    <row r="2350" spans="1:9" x14ac:dyDescent="0.35">
      <c r="A2350" t="str">
        <f t="shared" si="56"/>
        <v>47276</v>
      </c>
      <c r="B2350" t="s">
        <v>36</v>
      </c>
      <c r="C2350" t="s">
        <v>941</v>
      </c>
      <c r="D2350" s="5" t="str">
        <f>"018"</f>
        <v>018</v>
      </c>
      <c r="E2350" s="5">
        <v>2021</v>
      </c>
      <c r="F2350" s="3">
        <v>538400</v>
      </c>
      <c r="G2350" s="3">
        <v>12698400</v>
      </c>
      <c r="H2350" s="3">
        <v>12160000</v>
      </c>
    </row>
    <row r="2351" spans="1:9" x14ac:dyDescent="0.35">
      <c r="A2351" t="str">
        <f t="shared" si="56"/>
        <v>47276</v>
      </c>
      <c r="B2351" t="s">
        <v>36</v>
      </c>
      <c r="C2351" t="s">
        <v>941</v>
      </c>
      <c r="D2351" s="5" t="s">
        <v>11</v>
      </c>
      <c r="E2351" s="5" t="s">
        <v>12</v>
      </c>
      <c r="F2351" s="3" t="s">
        <v>13</v>
      </c>
      <c r="G2351" s="3" t="s">
        <v>13</v>
      </c>
      <c r="H2351" s="3" t="s">
        <v>13</v>
      </c>
      <c r="I2351" s="3">
        <v>1269314600</v>
      </c>
    </row>
    <row r="2352" spans="1:9" x14ac:dyDescent="0.35">
      <c r="A2352" t="s">
        <v>30</v>
      </c>
      <c r="B2352" t="s">
        <v>38</v>
      </c>
      <c r="C2352" t="s">
        <v>32</v>
      </c>
      <c r="D2352" s="5" t="s">
        <v>11</v>
      </c>
      <c r="E2352" s="5" t="s">
        <v>12</v>
      </c>
      <c r="F2352" s="3" t="s">
        <v>13</v>
      </c>
      <c r="G2352" s="3" t="s">
        <v>13</v>
      </c>
      <c r="H2352" s="3" t="s">
        <v>13</v>
      </c>
      <c r="I2352" s="3">
        <v>1921355900</v>
      </c>
    </row>
    <row r="2353" spans="1:9" x14ac:dyDescent="0.35">
      <c r="A2353" t="s">
        <v>30</v>
      </c>
      <c r="B2353" t="s">
        <v>39</v>
      </c>
      <c r="C2353" t="s">
        <v>655</v>
      </c>
      <c r="D2353" s="5" t="s">
        <v>11</v>
      </c>
      <c r="E2353" s="5" t="s">
        <v>12</v>
      </c>
      <c r="F2353" s="3" t="s">
        <v>13</v>
      </c>
      <c r="G2353" s="3" t="s">
        <v>13</v>
      </c>
      <c r="H2353" s="3" t="s">
        <v>13</v>
      </c>
      <c r="I2353" s="3">
        <v>6579291600</v>
      </c>
    </row>
    <row r="2354" spans="1:9" x14ac:dyDescent="0.35">
      <c r="A2354" t="str">
        <f>"48002"</f>
        <v>48002</v>
      </c>
      <c r="B2354" t="s">
        <v>9</v>
      </c>
      <c r="C2354" t="s">
        <v>951</v>
      </c>
      <c r="D2354" s="5" t="s">
        <v>11</v>
      </c>
      <c r="E2354" s="5" t="s">
        <v>12</v>
      </c>
      <c r="F2354" s="3" t="s">
        <v>13</v>
      </c>
      <c r="G2354" s="3" t="s">
        <v>13</v>
      </c>
      <c r="H2354" s="3" t="s">
        <v>13</v>
      </c>
      <c r="I2354" s="3">
        <v>759681200</v>
      </c>
    </row>
    <row r="2355" spans="1:9" x14ac:dyDescent="0.35">
      <c r="A2355" t="str">
        <f>"48004"</f>
        <v>48004</v>
      </c>
      <c r="B2355" t="s">
        <v>9</v>
      </c>
      <c r="C2355" t="s">
        <v>952</v>
      </c>
      <c r="D2355" s="5" t="s">
        <v>11</v>
      </c>
      <c r="E2355" s="5" t="s">
        <v>12</v>
      </c>
      <c r="F2355" s="3" t="s">
        <v>13</v>
      </c>
      <c r="G2355" s="3" t="s">
        <v>13</v>
      </c>
      <c r="H2355" s="3" t="s">
        <v>13</v>
      </c>
      <c r="I2355" s="3">
        <v>332931100</v>
      </c>
    </row>
    <row r="2356" spans="1:9" x14ac:dyDescent="0.35">
      <c r="A2356" t="str">
        <f>"48006"</f>
        <v>48006</v>
      </c>
      <c r="B2356" t="s">
        <v>9</v>
      </c>
      <c r="C2356" t="s">
        <v>953</v>
      </c>
      <c r="D2356" s="5" t="s">
        <v>11</v>
      </c>
      <c r="E2356" s="5" t="s">
        <v>12</v>
      </c>
      <c r="F2356" s="3" t="s">
        <v>13</v>
      </c>
      <c r="G2356" s="3" t="s">
        <v>13</v>
      </c>
      <c r="H2356" s="3" t="s">
        <v>13</v>
      </c>
      <c r="I2356" s="3">
        <v>612260600</v>
      </c>
    </row>
    <row r="2357" spans="1:9" x14ac:dyDescent="0.35">
      <c r="A2357" t="str">
        <f>"48008"</f>
        <v>48008</v>
      </c>
      <c r="B2357" t="s">
        <v>9</v>
      </c>
      <c r="C2357" t="s">
        <v>214</v>
      </c>
      <c r="D2357" s="5" t="s">
        <v>11</v>
      </c>
      <c r="E2357" s="5" t="s">
        <v>12</v>
      </c>
      <c r="F2357" s="3" t="s">
        <v>13</v>
      </c>
      <c r="G2357" s="3" t="s">
        <v>13</v>
      </c>
      <c r="H2357" s="3" t="s">
        <v>13</v>
      </c>
      <c r="I2357" s="3">
        <v>221393300</v>
      </c>
    </row>
    <row r="2358" spans="1:9" x14ac:dyDescent="0.35">
      <c r="A2358" t="str">
        <f>"48010"</f>
        <v>48010</v>
      </c>
      <c r="B2358" t="s">
        <v>9</v>
      </c>
      <c r="C2358" t="s">
        <v>954</v>
      </c>
      <c r="D2358" s="5" t="s">
        <v>11</v>
      </c>
      <c r="E2358" s="5" t="s">
        <v>12</v>
      </c>
      <c r="F2358" s="3" t="s">
        <v>13</v>
      </c>
      <c r="G2358" s="3" t="s">
        <v>13</v>
      </c>
      <c r="H2358" s="3" t="s">
        <v>13</v>
      </c>
      <c r="I2358" s="3">
        <v>281235600</v>
      </c>
    </row>
    <row r="2359" spans="1:9" x14ac:dyDescent="0.35">
      <c r="A2359" t="str">
        <f>"48012"</f>
        <v>48012</v>
      </c>
      <c r="B2359" t="s">
        <v>9</v>
      </c>
      <c r="C2359" t="s">
        <v>955</v>
      </c>
      <c r="D2359" s="5" t="s">
        <v>11</v>
      </c>
      <c r="E2359" s="5" t="s">
        <v>12</v>
      </c>
      <c r="F2359" s="3" t="s">
        <v>13</v>
      </c>
      <c r="G2359" s="3" t="s">
        <v>13</v>
      </c>
      <c r="H2359" s="3" t="s">
        <v>13</v>
      </c>
      <c r="I2359" s="3">
        <v>219651500</v>
      </c>
    </row>
    <row r="2360" spans="1:9" x14ac:dyDescent="0.35">
      <c r="A2360" t="str">
        <f>"48014"</f>
        <v>48014</v>
      </c>
      <c r="B2360" t="s">
        <v>9</v>
      </c>
      <c r="C2360" t="s">
        <v>956</v>
      </c>
      <c r="D2360" s="5" t="s">
        <v>11</v>
      </c>
      <c r="E2360" s="5" t="s">
        <v>12</v>
      </c>
      <c r="F2360" s="3" t="s">
        <v>13</v>
      </c>
      <c r="G2360" s="3" t="s">
        <v>13</v>
      </c>
      <c r="H2360" s="3" t="s">
        <v>13</v>
      </c>
      <c r="I2360" s="3">
        <v>120817500</v>
      </c>
    </row>
    <row r="2361" spans="1:9" x14ac:dyDescent="0.35">
      <c r="A2361" t="str">
        <f>"48016"</f>
        <v>48016</v>
      </c>
      <c r="B2361" t="s">
        <v>9</v>
      </c>
      <c r="C2361" t="s">
        <v>282</v>
      </c>
      <c r="D2361" s="5" t="s">
        <v>11</v>
      </c>
      <c r="E2361" s="5" t="s">
        <v>12</v>
      </c>
      <c r="F2361" s="3" t="s">
        <v>13</v>
      </c>
      <c r="G2361" s="3" t="s">
        <v>13</v>
      </c>
      <c r="H2361" s="3" t="s">
        <v>13</v>
      </c>
      <c r="I2361" s="3">
        <v>168188000</v>
      </c>
    </row>
    <row r="2362" spans="1:9" x14ac:dyDescent="0.35">
      <c r="A2362" t="str">
        <f>"48018"</f>
        <v>48018</v>
      </c>
      <c r="B2362" t="s">
        <v>9</v>
      </c>
      <c r="C2362" t="s">
        <v>957</v>
      </c>
      <c r="D2362" s="5" t="s">
        <v>11</v>
      </c>
      <c r="E2362" s="5" t="s">
        <v>12</v>
      </c>
      <c r="F2362" s="3" t="s">
        <v>13</v>
      </c>
      <c r="G2362" s="3" t="s">
        <v>13</v>
      </c>
      <c r="H2362" s="3" t="s">
        <v>13</v>
      </c>
      <c r="I2362" s="3">
        <v>121812000</v>
      </c>
    </row>
    <row r="2363" spans="1:9" x14ac:dyDescent="0.35">
      <c r="A2363" t="str">
        <f>"48020"</f>
        <v>48020</v>
      </c>
      <c r="B2363" t="s">
        <v>9</v>
      </c>
      <c r="C2363" t="s">
        <v>958</v>
      </c>
      <c r="D2363" s="5" t="s">
        <v>11</v>
      </c>
      <c r="E2363" s="5" t="s">
        <v>12</v>
      </c>
      <c r="F2363" s="3" t="s">
        <v>13</v>
      </c>
      <c r="G2363" s="3" t="s">
        <v>13</v>
      </c>
      <c r="H2363" s="3" t="s">
        <v>13</v>
      </c>
      <c r="I2363" s="3">
        <v>356038300</v>
      </c>
    </row>
    <row r="2364" spans="1:9" x14ac:dyDescent="0.35">
      <c r="A2364" t="str">
        <f>"48022"</f>
        <v>48022</v>
      </c>
      <c r="B2364" t="s">
        <v>9</v>
      </c>
      <c r="C2364" t="s">
        <v>605</v>
      </c>
      <c r="D2364" s="5" t="s">
        <v>11</v>
      </c>
      <c r="E2364" s="5" t="s">
        <v>12</v>
      </c>
      <c r="F2364" s="3" t="s">
        <v>13</v>
      </c>
      <c r="G2364" s="3" t="s">
        <v>13</v>
      </c>
      <c r="H2364" s="3" t="s">
        <v>13</v>
      </c>
      <c r="I2364" s="3">
        <v>388070900</v>
      </c>
    </row>
    <row r="2365" spans="1:9" x14ac:dyDescent="0.35">
      <c r="A2365" t="str">
        <f>"48024"</f>
        <v>48024</v>
      </c>
      <c r="B2365" t="s">
        <v>9</v>
      </c>
      <c r="C2365" t="s">
        <v>590</v>
      </c>
      <c r="D2365" s="5" t="s">
        <v>11</v>
      </c>
      <c r="E2365" s="5" t="s">
        <v>12</v>
      </c>
      <c r="F2365" s="3" t="s">
        <v>13</v>
      </c>
      <c r="G2365" s="3" t="s">
        <v>13</v>
      </c>
      <c r="H2365" s="3" t="s">
        <v>13</v>
      </c>
      <c r="I2365" s="3">
        <v>469607400</v>
      </c>
    </row>
    <row r="2366" spans="1:9" x14ac:dyDescent="0.35">
      <c r="A2366" t="str">
        <f>"48026"</f>
        <v>48026</v>
      </c>
      <c r="B2366" t="s">
        <v>9</v>
      </c>
      <c r="C2366" t="s">
        <v>959</v>
      </c>
      <c r="D2366" s="5" t="s">
        <v>11</v>
      </c>
      <c r="E2366" s="5" t="s">
        <v>12</v>
      </c>
      <c r="F2366" s="3" t="s">
        <v>13</v>
      </c>
      <c r="G2366" s="3" t="s">
        <v>13</v>
      </c>
      <c r="H2366" s="3" t="s">
        <v>13</v>
      </c>
      <c r="I2366" s="3">
        <v>714627500</v>
      </c>
    </row>
    <row r="2367" spans="1:9" x14ac:dyDescent="0.35">
      <c r="A2367" t="str">
        <f>"48028"</f>
        <v>48028</v>
      </c>
      <c r="B2367" t="s">
        <v>9</v>
      </c>
      <c r="C2367" t="s">
        <v>960</v>
      </c>
      <c r="D2367" s="5" t="s">
        <v>11</v>
      </c>
      <c r="E2367" s="5" t="s">
        <v>12</v>
      </c>
      <c r="F2367" s="3" t="s">
        <v>13</v>
      </c>
      <c r="G2367" s="3" t="s">
        <v>13</v>
      </c>
      <c r="H2367" s="3" t="s">
        <v>13</v>
      </c>
      <c r="I2367" s="3">
        <v>224114700</v>
      </c>
    </row>
    <row r="2368" spans="1:9" x14ac:dyDescent="0.35">
      <c r="A2368" t="str">
        <f>"48030"</f>
        <v>48030</v>
      </c>
      <c r="B2368" t="s">
        <v>9</v>
      </c>
      <c r="C2368" t="s">
        <v>961</v>
      </c>
      <c r="D2368" s="5" t="s">
        <v>11</v>
      </c>
      <c r="E2368" s="5" t="s">
        <v>12</v>
      </c>
      <c r="F2368" s="3" t="s">
        <v>13</v>
      </c>
      <c r="G2368" s="3" t="s">
        <v>13</v>
      </c>
      <c r="H2368" s="3" t="s">
        <v>13</v>
      </c>
      <c r="I2368" s="3">
        <v>197784800</v>
      </c>
    </row>
    <row r="2369" spans="1:9" x14ac:dyDescent="0.35">
      <c r="A2369" t="str">
        <f>"48032"</f>
        <v>48032</v>
      </c>
      <c r="B2369" t="s">
        <v>9</v>
      </c>
      <c r="C2369" t="s">
        <v>20</v>
      </c>
      <c r="D2369" s="5" t="s">
        <v>11</v>
      </c>
      <c r="E2369" s="5" t="s">
        <v>12</v>
      </c>
      <c r="F2369" s="3" t="s">
        <v>13</v>
      </c>
      <c r="G2369" s="3" t="s">
        <v>13</v>
      </c>
      <c r="H2369" s="3" t="s">
        <v>13</v>
      </c>
      <c r="I2369" s="3">
        <v>572151200</v>
      </c>
    </row>
    <row r="2370" spans="1:9" x14ac:dyDescent="0.35">
      <c r="A2370" t="str">
        <f>"48034"</f>
        <v>48034</v>
      </c>
      <c r="B2370" t="s">
        <v>9</v>
      </c>
      <c r="C2370" t="s">
        <v>962</v>
      </c>
      <c r="D2370" s="5" t="s">
        <v>11</v>
      </c>
      <c r="E2370" s="5" t="s">
        <v>12</v>
      </c>
      <c r="F2370" s="3" t="s">
        <v>13</v>
      </c>
      <c r="G2370" s="3" t="s">
        <v>13</v>
      </c>
      <c r="H2370" s="3" t="s">
        <v>13</v>
      </c>
      <c r="I2370" s="3">
        <v>64302700</v>
      </c>
    </row>
    <row r="2371" spans="1:9" x14ac:dyDescent="0.35">
      <c r="A2371" t="str">
        <f>"48036"</f>
        <v>48036</v>
      </c>
      <c r="B2371" t="s">
        <v>9</v>
      </c>
      <c r="C2371" t="s">
        <v>963</v>
      </c>
      <c r="D2371" s="5" t="s">
        <v>11</v>
      </c>
      <c r="E2371" s="5" t="s">
        <v>12</v>
      </c>
      <c r="F2371" s="3" t="s">
        <v>13</v>
      </c>
      <c r="G2371" s="3" t="s">
        <v>13</v>
      </c>
      <c r="H2371" s="3" t="s">
        <v>13</v>
      </c>
      <c r="I2371" s="3">
        <v>174585400</v>
      </c>
    </row>
    <row r="2372" spans="1:9" x14ac:dyDescent="0.35">
      <c r="A2372" t="str">
        <f>"48038"</f>
        <v>48038</v>
      </c>
      <c r="B2372" t="s">
        <v>9</v>
      </c>
      <c r="C2372" t="s">
        <v>964</v>
      </c>
      <c r="D2372" s="5" t="s">
        <v>11</v>
      </c>
      <c r="E2372" s="5" t="s">
        <v>12</v>
      </c>
      <c r="F2372" s="3" t="s">
        <v>13</v>
      </c>
      <c r="G2372" s="3" t="s">
        <v>13</v>
      </c>
      <c r="H2372" s="3" t="s">
        <v>13</v>
      </c>
      <c r="I2372" s="3">
        <v>99096800</v>
      </c>
    </row>
    <row r="2373" spans="1:9" x14ac:dyDescent="0.35">
      <c r="A2373" t="str">
        <f>"48040"</f>
        <v>48040</v>
      </c>
      <c r="B2373" t="s">
        <v>9</v>
      </c>
      <c r="C2373" t="s">
        <v>965</v>
      </c>
      <c r="D2373" s="5" t="s">
        <v>11</v>
      </c>
      <c r="E2373" s="5" t="s">
        <v>12</v>
      </c>
      <c r="F2373" s="3" t="s">
        <v>13</v>
      </c>
      <c r="G2373" s="3" t="s">
        <v>13</v>
      </c>
      <c r="H2373" s="3" t="s">
        <v>13</v>
      </c>
      <c r="I2373" s="3">
        <v>584906400</v>
      </c>
    </row>
    <row r="2374" spans="1:9" x14ac:dyDescent="0.35">
      <c r="A2374" t="str">
        <f>"48042"</f>
        <v>48042</v>
      </c>
      <c r="B2374" t="s">
        <v>9</v>
      </c>
      <c r="C2374" t="s">
        <v>467</v>
      </c>
      <c r="D2374" s="5" t="s">
        <v>11</v>
      </c>
      <c r="E2374" s="5" t="s">
        <v>12</v>
      </c>
      <c r="F2374" s="3" t="s">
        <v>13</v>
      </c>
      <c r="G2374" s="3" t="s">
        <v>13</v>
      </c>
      <c r="H2374" s="3" t="s">
        <v>13</v>
      </c>
      <c r="I2374" s="3">
        <v>597303300</v>
      </c>
    </row>
    <row r="2375" spans="1:9" x14ac:dyDescent="0.35">
      <c r="A2375" t="str">
        <f>"48044"</f>
        <v>48044</v>
      </c>
      <c r="B2375" t="s">
        <v>9</v>
      </c>
      <c r="C2375" t="s">
        <v>966</v>
      </c>
      <c r="D2375" s="5" t="s">
        <v>11</v>
      </c>
      <c r="E2375" s="5" t="s">
        <v>12</v>
      </c>
      <c r="F2375" s="3" t="s">
        <v>13</v>
      </c>
      <c r="G2375" s="3" t="s">
        <v>13</v>
      </c>
      <c r="H2375" s="3" t="s">
        <v>13</v>
      </c>
      <c r="I2375" s="3">
        <v>360343900</v>
      </c>
    </row>
    <row r="2376" spans="1:9" x14ac:dyDescent="0.35">
      <c r="A2376" t="str">
        <f>"48046"</f>
        <v>48046</v>
      </c>
      <c r="B2376" t="s">
        <v>9</v>
      </c>
      <c r="C2376" t="s">
        <v>967</v>
      </c>
      <c r="D2376" s="5" t="s">
        <v>11</v>
      </c>
      <c r="E2376" s="5" t="s">
        <v>12</v>
      </c>
      <c r="F2376" s="3" t="s">
        <v>13</v>
      </c>
      <c r="G2376" s="3" t="s">
        <v>13</v>
      </c>
      <c r="H2376" s="3" t="s">
        <v>13</v>
      </c>
      <c r="I2376" s="3">
        <v>133766000</v>
      </c>
    </row>
    <row r="2377" spans="1:9" x14ac:dyDescent="0.35">
      <c r="A2377" t="str">
        <f>"48048"</f>
        <v>48048</v>
      </c>
      <c r="B2377" t="s">
        <v>9</v>
      </c>
      <c r="C2377" t="s">
        <v>968</v>
      </c>
      <c r="D2377" s="5" t="s">
        <v>11</v>
      </c>
      <c r="E2377" s="5" t="s">
        <v>12</v>
      </c>
      <c r="F2377" s="3" t="s">
        <v>13</v>
      </c>
      <c r="G2377" s="3" t="s">
        <v>13</v>
      </c>
      <c r="H2377" s="3" t="s">
        <v>13</v>
      </c>
      <c r="I2377" s="3">
        <v>121129600</v>
      </c>
    </row>
    <row r="2378" spans="1:9" x14ac:dyDescent="0.35">
      <c r="A2378" t="s">
        <v>30</v>
      </c>
      <c r="B2378" t="s">
        <v>31</v>
      </c>
      <c r="C2378" t="s">
        <v>32</v>
      </c>
      <c r="D2378" s="5" t="s">
        <v>11</v>
      </c>
      <c r="E2378" s="5" t="s">
        <v>12</v>
      </c>
      <c r="F2378" s="3" t="s">
        <v>13</v>
      </c>
      <c r="G2378" s="3" t="s">
        <v>13</v>
      </c>
      <c r="H2378" s="3" t="s">
        <v>13</v>
      </c>
      <c r="I2378" s="3">
        <v>7895799700</v>
      </c>
    </row>
    <row r="2379" spans="1:9" x14ac:dyDescent="0.35">
      <c r="A2379" t="str">
        <f>"48106"</f>
        <v>48106</v>
      </c>
      <c r="B2379" t="s">
        <v>33</v>
      </c>
      <c r="C2379" t="s">
        <v>953</v>
      </c>
      <c r="D2379" s="5" t="str">
        <f>"002"</f>
        <v>002</v>
      </c>
      <c r="E2379" s="5">
        <v>1995</v>
      </c>
      <c r="F2379" s="3">
        <v>11800</v>
      </c>
      <c r="G2379" s="3">
        <v>4155500</v>
      </c>
      <c r="H2379" s="3">
        <v>4143700</v>
      </c>
    </row>
    <row r="2380" spans="1:9" x14ac:dyDescent="0.35">
      <c r="A2380" t="str">
        <f>"48106"</f>
        <v>48106</v>
      </c>
      <c r="B2380" t="s">
        <v>33</v>
      </c>
      <c r="C2380" t="s">
        <v>953</v>
      </c>
      <c r="D2380" s="5" t="str">
        <f>"003"</f>
        <v>003</v>
      </c>
      <c r="E2380" s="5">
        <v>2004</v>
      </c>
      <c r="F2380" s="3">
        <v>22300</v>
      </c>
      <c r="G2380" s="3">
        <v>0</v>
      </c>
      <c r="H2380" s="3">
        <v>0</v>
      </c>
    </row>
    <row r="2381" spans="1:9" x14ac:dyDescent="0.35">
      <c r="A2381" t="str">
        <f>"48106"</f>
        <v>48106</v>
      </c>
      <c r="B2381" t="s">
        <v>33</v>
      </c>
      <c r="C2381" t="s">
        <v>953</v>
      </c>
      <c r="D2381" s="5" t="str">
        <f>"005"</f>
        <v>005</v>
      </c>
      <c r="E2381" s="5">
        <v>2006</v>
      </c>
      <c r="F2381" s="3">
        <v>7735100</v>
      </c>
      <c r="G2381" s="3">
        <v>15265100</v>
      </c>
      <c r="H2381" s="3">
        <v>7530000</v>
      </c>
    </row>
    <row r="2382" spans="1:9" x14ac:dyDescent="0.35">
      <c r="A2382" t="str">
        <f>"48106"</f>
        <v>48106</v>
      </c>
      <c r="B2382" t="s">
        <v>33</v>
      </c>
      <c r="C2382" t="s">
        <v>953</v>
      </c>
      <c r="D2382" s="5" t="str">
        <f>"006"</f>
        <v>006</v>
      </c>
      <c r="E2382" s="5">
        <v>2013</v>
      </c>
      <c r="F2382" s="3">
        <v>7793600</v>
      </c>
      <c r="G2382" s="3">
        <v>19828300</v>
      </c>
      <c r="H2382" s="3">
        <v>12034700</v>
      </c>
    </row>
    <row r="2383" spans="1:9" x14ac:dyDescent="0.35">
      <c r="A2383" t="str">
        <f>"48106"</f>
        <v>48106</v>
      </c>
      <c r="B2383" t="s">
        <v>33</v>
      </c>
      <c r="C2383" t="s">
        <v>953</v>
      </c>
      <c r="D2383" s="5" t="s">
        <v>11</v>
      </c>
      <c r="E2383" s="5" t="s">
        <v>12</v>
      </c>
      <c r="F2383" s="3" t="s">
        <v>13</v>
      </c>
      <c r="G2383" s="3" t="s">
        <v>13</v>
      </c>
      <c r="H2383" s="3" t="s">
        <v>13</v>
      </c>
      <c r="I2383" s="3">
        <v>260267800</v>
      </c>
    </row>
    <row r="2384" spans="1:9" x14ac:dyDescent="0.35">
      <c r="A2384" t="str">
        <f>"48111"</f>
        <v>48111</v>
      </c>
      <c r="B2384" t="s">
        <v>33</v>
      </c>
      <c r="C2384" t="s">
        <v>969</v>
      </c>
      <c r="D2384" s="5" t="str">
        <f>"001"</f>
        <v>001</v>
      </c>
      <c r="E2384" s="5">
        <v>1999</v>
      </c>
      <c r="F2384" s="3">
        <v>4526600</v>
      </c>
      <c r="G2384" s="3">
        <v>19831400</v>
      </c>
      <c r="H2384" s="3">
        <v>15304800</v>
      </c>
    </row>
    <row r="2385" spans="1:9" x14ac:dyDescent="0.35">
      <c r="A2385" t="str">
        <f>"48111"</f>
        <v>48111</v>
      </c>
      <c r="B2385" t="s">
        <v>33</v>
      </c>
      <c r="C2385" t="s">
        <v>969</v>
      </c>
      <c r="D2385" s="5" t="s">
        <v>11</v>
      </c>
      <c r="E2385" s="5" t="s">
        <v>12</v>
      </c>
      <c r="F2385" s="3" t="s">
        <v>13</v>
      </c>
      <c r="G2385" s="3" t="s">
        <v>13</v>
      </c>
      <c r="H2385" s="3" t="s">
        <v>13</v>
      </c>
      <c r="I2385" s="3">
        <v>68819900</v>
      </c>
    </row>
    <row r="2386" spans="1:9" x14ac:dyDescent="0.35">
      <c r="A2386" t="str">
        <f>"48112"</f>
        <v>48112</v>
      </c>
      <c r="B2386" t="s">
        <v>33</v>
      </c>
      <c r="C2386" t="s">
        <v>282</v>
      </c>
      <c r="D2386" s="5" t="str">
        <f>"002"</f>
        <v>002</v>
      </c>
      <c r="E2386" s="5">
        <v>1999</v>
      </c>
      <c r="F2386" s="3">
        <v>16700</v>
      </c>
      <c r="G2386" s="3">
        <v>1945200</v>
      </c>
      <c r="H2386" s="3">
        <v>1928500</v>
      </c>
    </row>
    <row r="2387" spans="1:9" x14ac:dyDescent="0.35">
      <c r="A2387" t="str">
        <f>"48112"</f>
        <v>48112</v>
      </c>
      <c r="B2387" t="s">
        <v>33</v>
      </c>
      <c r="C2387" t="s">
        <v>282</v>
      </c>
      <c r="D2387" s="5" t="str">
        <f>"003"</f>
        <v>003</v>
      </c>
      <c r="E2387" s="5">
        <v>2020</v>
      </c>
      <c r="F2387" s="3">
        <v>1746200</v>
      </c>
      <c r="G2387" s="3">
        <v>3961800</v>
      </c>
      <c r="H2387" s="3">
        <v>2215600</v>
      </c>
    </row>
    <row r="2388" spans="1:9" x14ac:dyDescent="0.35">
      <c r="A2388" t="str">
        <f>"48112"</f>
        <v>48112</v>
      </c>
      <c r="B2388" t="s">
        <v>33</v>
      </c>
      <c r="C2388" t="s">
        <v>282</v>
      </c>
      <c r="D2388" s="5" t="s">
        <v>11</v>
      </c>
      <c r="E2388" s="5" t="s">
        <v>12</v>
      </c>
      <c r="F2388" s="3" t="s">
        <v>13</v>
      </c>
      <c r="G2388" s="3" t="s">
        <v>13</v>
      </c>
      <c r="H2388" s="3" t="s">
        <v>13</v>
      </c>
      <c r="I2388" s="3">
        <v>42325800</v>
      </c>
    </row>
    <row r="2389" spans="1:9" x14ac:dyDescent="0.35">
      <c r="A2389" t="str">
        <f>"48113"</f>
        <v>48113</v>
      </c>
      <c r="B2389" t="s">
        <v>33</v>
      </c>
      <c r="C2389" t="s">
        <v>957</v>
      </c>
      <c r="D2389" s="5" t="s">
        <v>11</v>
      </c>
      <c r="E2389" s="5" t="s">
        <v>12</v>
      </c>
      <c r="F2389" s="3" t="s">
        <v>13</v>
      </c>
      <c r="G2389" s="3" t="s">
        <v>13</v>
      </c>
      <c r="H2389" s="3" t="s">
        <v>13</v>
      </c>
      <c r="I2389" s="3">
        <v>124269200</v>
      </c>
    </row>
    <row r="2390" spans="1:9" x14ac:dyDescent="0.35">
      <c r="A2390" t="str">
        <f>"48116"</f>
        <v>48116</v>
      </c>
      <c r="B2390" t="s">
        <v>33</v>
      </c>
      <c r="C2390" t="s">
        <v>970</v>
      </c>
      <c r="D2390" s="5" t="s">
        <v>11</v>
      </c>
      <c r="E2390" s="5" t="s">
        <v>12</v>
      </c>
      <c r="F2390" s="3" t="s">
        <v>13</v>
      </c>
      <c r="G2390" s="3" t="s">
        <v>13</v>
      </c>
      <c r="H2390" s="3" t="s">
        <v>13</v>
      </c>
      <c r="I2390" s="3">
        <v>118113900</v>
      </c>
    </row>
    <row r="2391" spans="1:9" x14ac:dyDescent="0.35">
      <c r="A2391" t="str">
        <f>"48126"</f>
        <v>48126</v>
      </c>
      <c r="B2391" t="s">
        <v>33</v>
      </c>
      <c r="C2391" t="s">
        <v>971</v>
      </c>
      <c r="D2391" s="5" t="str">
        <f>"003"</f>
        <v>003</v>
      </c>
      <c r="E2391" s="5">
        <v>2007</v>
      </c>
      <c r="F2391" s="3">
        <v>1755300</v>
      </c>
      <c r="G2391" s="3">
        <v>2525900</v>
      </c>
      <c r="H2391" s="3">
        <v>770600</v>
      </c>
    </row>
    <row r="2392" spans="1:9" x14ac:dyDescent="0.35">
      <c r="A2392" t="str">
        <f>"48126"</f>
        <v>48126</v>
      </c>
      <c r="B2392" t="s">
        <v>33</v>
      </c>
      <c r="C2392" t="s">
        <v>971</v>
      </c>
      <c r="D2392" s="5" t="s">
        <v>11</v>
      </c>
      <c r="E2392" s="5" t="s">
        <v>12</v>
      </c>
      <c r="F2392" s="3" t="s">
        <v>13</v>
      </c>
      <c r="G2392" s="3" t="s">
        <v>13</v>
      </c>
      <c r="H2392" s="3" t="s">
        <v>13</v>
      </c>
      <c r="I2392" s="3">
        <v>114849700</v>
      </c>
    </row>
    <row r="2393" spans="1:9" x14ac:dyDescent="0.35">
      <c r="A2393" t="str">
        <f>"48146"</f>
        <v>48146</v>
      </c>
      <c r="B2393" t="s">
        <v>33</v>
      </c>
      <c r="C2393" t="s">
        <v>963</v>
      </c>
      <c r="D2393" s="5" t="str">
        <f>"002"</f>
        <v>002</v>
      </c>
      <c r="E2393" s="5">
        <v>2002</v>
      </c>
      <c r="F2393" s="3">
        <v>5509600</v>
      </c>
      <c r="G2393" s="3">
        <v>5509600</v>
      </c>
      <c r="H2393" s="3">
        <v>0</v>
      </c>
    </row>
    <row r="2394" spans="1:9" x14ac:dyDescent="0.35">
      <c r="A2394" t="str">
        <f>"48146"</f>
        <v>48146</v>
      </c>
      <c r="B2394" t="s">
        <v>33</v>
      </c>
      <c r="C2394" t="s">
        <v>963</v>
      </c>
      <c r="D2394" s="5" t="str">
        <f>"004"</f>
        <v>004</v>
      </c>
      <c r="E2394" s="5">
        <v>2018</v>
      </c>
      <c r="F2394" s="3">
        <v>7421700</v>
      </c>
      <c r="G2394" s="3">
        <v>12660600</v>
      </c>
      <c r="H2394" s="3">
        <v>5238900</v>
      </c>
    </row>
    <row r="2395" spans="1:9" x14ac:dyDescent="0.35">
      <c r="A2395" t="str">
        <f>"48146"</f>
        <v>48146</v>
      </c>
      <c r="B2395" t="s">
        <v>33</v>
      </c>
      <c r="C2395" t="s">
        <v>963</v>
      </c>
      <c r="D2395" s="5" t="s">
        <v>11</v>
      </c>
      <c r="E2395" s="5" t="s">
        <v>12</v>
      </c>
      <c r="F2395" s="3" t="s">
        <v>13</v>
      </c>
      <c r="G2395" s="3" t="s">
        <v>13</v>
      </c>
      <c r="H2395" s="3" t="s">
        <v>13</v>
      </c>
      <c r="I2395" s="3">
        <v>133485500</v>
      </c>
    </row>
    <row r="2396" spans="1:9" x14ac:dyDescent="0.35">
      <c r="A2396" t="str">
        <f>"48151"</f>
        <v>48151</v>
      </c>
      <c r="B2396" t="s">
        <v>33</v>
      </c>
      <c r="C2396" t="s">
        <v>965</v>
      </c>
      <c r="D2396" s="5" t="str">
        <f>"003"</f>
        <v>003</v>
      </c>
      <c r="E2396" s="5">
        <v>2004</v>
      </c>
      <c r="F2396" s="3">
        <v>3445200</v>
      </c>
      <c r="G2396" s="3">
        <v>7706300</v>
      </c>
      <c r="H2396" s="3">
        <v>4261100</v>
      </c>
    </row>
    <row r="2397" spans="1:9" x14ac:dyDescent="0.35">
      <c r="A2397" t="str">
        <f>"48151"</f>
        <v>48151</v>
      </c>
      <c r="B2397" t="s">
        <v>33</v>
      </c>
      <c r="C2397" t="s">
        <v>965</v>
      </c>
      <c r="D2397" s="5" t="str">
        <f>"004"</f>
        <v>004</v>
      </c>
      <c r="E2397" s="5">
        <v>2012</v>
      </c>
      <c r="F2397" s="3">
        <v>887000</v>
      </c>
      <c r="G2397" s="3">
        <v>3420600</v>
      </c>
      <c r="H2397" s="3">
        <v>2533600</v>
      </c>
    </row>
    <row r="2398" spans="1:9" x14ac:dyDescent="0.35">
      <c r="A2398" t="str">
        <f>"48151"</f>
        <v>48151</v>
      </c>
      <c r="B2398" t="s">
        <v>33</v>
      </c>
      <c r="C2398" t="s">
        <v>965</v>
      </c>
      <c r="D2398" s="5" t="str">
        <f>"005"</f>
        <v>005</v>
      </c>
      <c r="E2398" s="5">
        <v>2022</v>
      </c>
      <c r="F2398" s="3">
        <v>1858600</v>
      </c>
      <c r="G2398" s="3">
        <v>7376700</v>
      </c>
      <c r="H2398" s="3">
        <v>5518100</v>
      </c>
    </row>
    <row r="2399" spans="1:9" x14ac:dyDescent="0.35">
      <c r="A2399" t="str">
        <f>"48151"</f>
        <v>48151</v>
      </c>
      <c r="B2399" t="s">
        <v>33</v>
      </c>
      <c r="C2399" t="s">
        <v>965</v>
      </c>
      <c r="D2399" s="5" t="s">
        <v>11</v>
      </c>
      <c r="E2399" s="5" t="s">
        <v>12</v>
      </c>
      <c r="F2399" s="3" t="s">
        <v>13</v>
      </c>
      <c r="G2399" s="3" t="s">
        <v>13</v>
      </c>
      <c r="H2399" s="3" t="s">
        <v>13</v>
      </c>
      <c r="I2399" s="3">
        <v>89464200</v>
      </c>
    </row>
    <row r="2400" spans="1:9" x14ac:dyDescent="0.35">
      <c r="A2400" t="str">
        <f>"48165"</f>
        <v>48165</v>
      </c>
      <c r="B2400" t="s">
        <v>33</v>
      </c>
      <c r="C2400" t="s">
        <v>467</v>
      </c>
      <c r="D2400" s="5" t="str">
        <f>"003"</f>
        <v>003</v>
      </c>
      <c r="E2400" s="5">
        <v>2020</v>
      </c>
      <c r="F2400" s="3">
        <v>5092400</v>
      </c>
      <c r="G2400" s="3">
        <v>12863800</v>
      </c>
      <c r="H2400" s="3">
        <v>7771400</v>
      </c>
    </row>
    <row r="2401" spans="1:9" x14ac:dyDescent="0.35">
      <c r="A2401" t="str">
        <f>"48165"</f>
        <v>48165</v>
      </c>
      <c r="B2401" t="s">
        <v>33</v>
      </c>
      <c r="C2401" t="s">
        <v>467</v>
      </c>
      <c r="D2401" s="5" t="str">
        <f>"004"</f>
        <v>004</v>
      </c>
      <c r="E2401" s="5">
        <v>2024</v>
      </c>
      <c r="F2401" s="3">
        <v>22269500</v>
      </c>
      <c r="G2401" s="3">
        <v>26324700</v>
      </c>
      <c r="H2401" s="3">
        <v>4055200</v>
      </c>
    </row>
    <row r="2402" spans="1:9" x14ac:dyDescent="0.35">
      <c r="A2402" t="str">
        <f>"48165"</f>
        <v>48165</v>
      </c>
      <c r="B2402" t="s">
        <v>33</v>
      </c>
      <c r="C2402" t="s">
        <v>467</v>
      </c>
      <c r="D2402" s="5" t="s">
        <v>11</v>
      </c>
      <c r="E2402" s="5" t="s">
        <v>12</v>
      </c>
      <c r="F2402" s="3" t="s">
        <v>13</v>
      </c>
      <c r="G2402" s="3" t="s">
        <v>13</v>
      </c>
      <c r="H2402" s="3" t="s">
        <v>13</v>
      </c>
      <c r="I2402" s="3">
        <v>405771200</v>
      </c>
    </row>
    <row r="2403" spans="1:9" x14ac:dyDescent="0.35">
      <c r="A2403" t="str">
        <f>"48168"</f>
        <v>48168</v>
      </c>
      <c r="B2403" t="s">
        <v>33</v>
      </c>
      <c r="C2403" t="s">
        <v>78</v>
      </c>
      <c r="D2403" s="5" t="str">
        <f>"003"</f>
        <v>003</v>
      </c>
      <c r="E2403" s="5">
        <v>2009</v>
      </c>
      <c r="F2403" s="3">
        <v>4222500</v>
      </c>
      <c r="G2403" s="3">
        <v>19906100</v>
      </c>
      <c r="H2403" s="3">
        <v>15683600</v>
      </c>
    </row>
    <row r="2404" spans="1:9" x14ac:dyDescent="0.35">
      <c r="A2404" t="str">
        <f>"48168"</f>
        <v>48168</v>
      </c>
      <c r="B2404" t="s">
        <v>33</v>
      </c>
      <c r="C2404" t="s">
        <v>78</v>
      </c>
      <c r="D2404" s="5" t="s">
        <v>11</v>
      </c>
      <c r="E2404" s="5" t="s">
        <v>12</v>
      </c>
      <c r="F2404" s="3" t="s">
        <v>13</v>
      </c>
      <c r="G2404" s="3" t="s">
        <v>13</v>
      </c>
      <c r="H2404" s="3" t="s">
        <v>13</v>
      </c>
      <c r="I2404" s="3">
        <v>24686200</v>
      </c>
    </row>
    <row r="2405" spans="1:9" x14ac:dyDescent="0.35">
      <c r="A2405" t="s">
        <v>30</v>
      </c>
      <c r="B2405" t="s">
        <v>35</v>
      </c>
      <c r="C2405" t="s">
        <v>32</v>
      </c>
      <c r="D2405" s="5" t="s">
        <v>11</v>
      </c>
      <c r="E2405" s="5" t="s">
        <v>12</v>
      </c>
      <c r="F2405" s="3" t="s">
        <v>13</v>
      </c>
      <c r="G2405" s="3" t="s">
        <v>13</v>
      </c>
      <c r="H2405" s="3" t="s">
        <v>13</v>
      </c>
      <c r="I2405" s="3">
        <v>1382053400</v>
      </c>
    </row>
    <row r="2406" spans="1:9" x14ac:dyDescent="0.35">
      <c r="A2406" t="str">
        <f t="shared" ref="A2406:A2411" si="57">"48201"</f>
        <v>48201</v>
      </c>
      <c r="B2406" t="s">
        <v>36</v>
      </c>
      <c r="C2406" t="s">
        <v>972</v>
      </c>
      <c r="D2406" s="5" t="str">
        <f>"006"</f>
        <v>006</v>
      </c>
      <c r="E2406" s="5">
        <v>2004</v>
      </c>
      <c r="F2406" s="3">
        <v>19643000</v>
      </c>
      <c r="G2406" s="3">
        <v>35618600</v>
      </c>
      <c r="H2406" s="3">
        <v>15975600</v>
      </c>
    </row>
    <row r="2407" spans="1:9" x14ac:dyDescent="0.35">
      <c r="A2407" t="str">
        <f t="shared" si="57"/>
        <v>48201</v>
      </c>
      <c r="B2407" t="s">
        <v>36</v>
      </c>
      <c r="C2407" t="s">
        <v>972</v>
      </c>
      <c r="D2407" s="5" t="str">
        <f>"007"</f>
        <v>007</v>
      </c>
      <c r="E2407" s="5">
        <v>2010</v>
      </c>
      <c r="F2407" s="3">
        <v>3318500</v>
      </c>
      <c r="G2407" s="3">
        <v>6714000</v>
      </c>
      <c r="H2407" s="3">
        <v>3395500</v>
      </c>
    </row>
    <row r="2408" spans="1:9" x14ac:dyDescent="0.35">
      <c r="A2408" t="str">
        <f t="shared" si="57"/>
        <v>48201</v>
      </c>
      <c r="B2408" t="s">
        <v>36</v>
      </c>
      <c r="C2408" t="s">
        <v>972</v>
      </c>
      <c r="D2408" s="5" t="str">
        <f>"008"</f>
        <v>008</v>
      </c>
      <c r="E2408" s="5">
        <v>2016</v>
      </c>
      <c r="F2408" s="3">
        <v>10050700</v>
      </c>
      <c r="G2408" s="3">
        <v>16513400</v>
      </c>
      <c r="H2408" s="3">
        <v>6462700</v>
      </c>
    </row>
    <row r="2409" spans="1:9" x14ac:dyDescent="0.35">
      <c r="A2409" t="str">
        <f t="shared" si="57"/>
        <v>48201</v>
      </c>
      <c r="B2409" t="s">
        <v>36</v>
      </c>
      <c r="C2409" t="s">
        <v>972</v>
      </c>
      <c r="D2409" s="5" t="str">
        <f>"009"</f>
        <v>009</v>
      </c>
      <c r="E2409" s="5">
        <v>2019</v>
      </c>
      <c r="F2409" s="3">
        <v>27286400</v>
      </c>
      <c r="G2409" s="3">
        <v>44300500</v>
      </c>
      <c r="H2409" s="3">
        <v>17014100</v>
      </c>
    </row>
    <row r="2410" spans="1:9" x14ac:dyDescent="0.35">
      <c r="A2410" t="str">
        <f t="shared" si="57"/>
        <v>48201</v>
      </c>
      <c r="B2410" t="s">
        <v>36</v>
      </c>
      <c r="C2410" t="s">
        <v>972</v>
      </c>
      <c r="D2410" s="5" t="str">
        <f>"010"</f>
        <v>010</v>
      </c>
      <c r="E2410" s="5">
        <v>2024</v>
      </c>
      <c r="F2410" s="3">
        <v>4037100</v>
      </c>
      <c r="G2410" s="3">
        <v>5505100</v>
      </c>
      <c r="H2410" s="3">
        <v>1468000</v>
      </c>
    </row>
    <row r="2411" spans="1:9" x14ac:dyDescent="0.35">
      <c r="A2411" t="str">
        <f t="shared" si="57"/>
        <v>48201</v>
      </c>
      <c r="B2411" t="s">
        <v>36</v>
      </c>
      <c r="C2411" t="s">
        <v>972</v>
      </c>
      <c r="D2411" s="5" t="s">
        <v>11</v>
      </c>
      <c r="E2411" s="5" t="s">
        <v>12</v>
      </c>
      <c r="F2411" s="3" t="s">
        <v>13</v>
      </c>
      <c r="G2411" s="3" t="s">
        <v>13</v>
      </c>
      <c r="H2411" s="3" t="s">
        <v>13</v>
      </c>
      <c r="I2411" s="3">
        <v>351132900</v>
      </c>
    </row>
    <row r="2412" spans="1:9" x14ac:dyDescent="0.35">
      <c r="A2412" t="str">
        <f>"48281"</f>
        <v>48281</v>
      </c>
      <c r="B2412" t="s">
        <v>36</v>
      </c>
      <c r="C2412" t="s">
        <v>966</v>
      </c>
      <c r="D2412" s="5" t="str">
        <f>"002"</f>
        <v>002</v>
      </c>
      <c r="E2412" s="5">
        <v>2023</v>
      </c>
      <c r="F2412" s="3">
        <v>1080900</v>
      </c>
      <c r="G2412" s="3">
        <v>2576300</v>
      </c>
      <c r="H2412" s="3">
        <v>1495400</v>
      </c>
    </row>
    <row r="2413" spans="1:9" x14ac:dyDescent="0.35">
      <c r="A2413" t="str">
        <f>"48281"</f>
        <v>48281</v>
      </c>
      <c r="B2413" t="s">
        <v>36</v>
      </c>
      <c r="C2413" t="s">
        <v>966</v>
      </c>
      <c r="D2413" s="5" t="s">
        <v>11</v>
      </c>
      <c r="E2413" s="5" t="s">
        <v>12</v>
      </c>
      <c r="F2413" s="3" t="s">
        <v>13</v>
      </c>
      <c r="G2413" s="3" t="s">
        <v>13</v>
      </c>
      <c r="H2413" s="3" t="s">
        <v>13</v>
      </c>
      <c r="I2413" s="3">
        <v>377363400</v>
      </c>
    </row>
    <row r="2414" spans="1:9" x14ac:dyDescent="0.35">
      <c r="A2414" t="s">
        <v>30</v>
      </c>
      <c r="B2414" t="s">
        <v>38</v>
      </c>
      <c r="C2414" t="s">
        <v>32</v>
      </c>
      <c r="D2414" s="5" t="s">
        <v>11</v>
      </c>
      <c r="E2414" s="5" t="s">
        <v>12</v>
      </c>
      <c r="F2414" s="3" t="s">
        <v>13</v>
      </c>
      <c r="G2414" s="3" t="s">
        <v>13</v>
      </c>
      <c r="H2414" s="3" t="s">
        <v>13</v>
      </c>
      <c r="I2414" s="3">
        <v>728496300</v>
      </c>
    </row>
    <row r="2415" spans="1:9" x14ac:dyDescent="0.35">
      <c r="A2415" t="s">
        <v>30</v>
      </c>
      <c r="B2415" t="s">
        <v>39</v>
      </c>
      <c r="C2415" t="s">
        <v>973</v>
      </c>
      <c r="D2415" s="5" t="s">
        <v>11</v>
      </c>
      <c r="E2415" s="5" t="s">
        <v>12</v>
      </c>
      <c r="F2415" s="3" t="s">
        <v>13</v>
      </c>
      <c r="G2415" s="3" t="s">
        <v>13</v>
      </c>
      <c r="H2415" s="3" t="s">
        <v>13</v>
      </c>
      <c r="I2415" s="3">
        <v>10006349400</v>
      </c>
    </row>
    <row r="2416" spans="1:9" x14ac:dyDescent="0.35">
      <c r="A2416" t="str">
        <f>"49002"</f>
        <v>49002</v>
      </c>
      <c r="B2416" t="s">
        <v>9</v>
      </c>
      <c r="C2416" t="s">
        <v>974</v>
      </c>
      <c r="D2416" s="5" t="s">
        <v>11</v>
      </c>
      <c r="E2416" s="5" t="s">
        <v>12</v>
      </c>
      <c r="F2416" s="3" t="s">
        <v>13</v>
      </c>
      <c r="G2416" s="3" t="s">
        <v>13</v>
      </c>
      <c r="H2416" s="3" t="s">
        <v>13</v>
      </c>
      <c r="I2416" s="3">
        <v>171161800</v>
      </c>
    </row>
    <row r="2417" spans="1:9" x14ac:dyDescent="0.35">
      <c r="A2417" t="str">
        <f>"49004"</f>
        <v>49004</v>
      </c>
      <c r="B2417" t="s">
        <v>9</v>
      </c>
      <c r="C2417" t="s">
        <v>975</v>
      </c>
      <c r="D2417" s="5" t="s">
        <v>11</v>
      </c>
      <c r="E2417" s="5" t="s">
        <v>12</v>
      </c>
      <c r="F2417" s="3" t="s">
        <v>13</v>
      </c>
      <c r="G2417" s="3" t="s">
        <v>13</v>
      </c>
      <c r="H2417" s="3" t="s">
        <v>13</v>
      </c>
      <c r="I2417" s="3">
        <v>108724000</v>
      </c>
    </row>
    <row r="2418" spans="1:9" x14ac:dyDescent="0.35">
      <c r="A2418" t="str">
        <f>"49006"</f>
        <v>49006</v>
      </c>
      <c r="B2418" t="s">
        <v>9</v>
      </c>
      <c r="C2418" t="s">
        <v>976</v>
      </c>
      <c r="D2418" s="5" t="s">
        <v>11</v>
      </c>
      <c r="E2418" s="5" t="s">
        <v>12</v>
      </c>
      <c r="F2418" s="3" t="s">
        <v>13</v>
      </c>
      <c r="G2418" s="3" t="s">
        <v>13</v>
      </c>
      <c r="H2418" s="3" t="s">
        <v>13</v>
      </c>
      <c r="I2418" s="3">
        <v>261154800</v>
      </c>
    </row>
    <row r="2419" spans="1:9" x14ac:dyDescent="0.35">
      <c r="A2419" t="str">
        <f>"49008"</f>
        <v>49008</v>
      </c>
      <c r="B2419" t="s">
        <v>9</v>
      </c>
      <c r="C2419" t="s">
        <v>673</v>
      </c>
      <c r="D2419" s="5" t="s">
        <v>11</v>
      </c>
      <c r="E2419" s="5" t="s">
        <v>12</v>
      </c>
      <c r="F2419" s="3" t="s">
        <v>13</v>
      </c>
      <c r="G2419" s="3" t="s">
        <v>13</v>
      </c>
      <c r="H2419" s="3" t="s">
        <v>13</v>
      </c>
      <c r="I2419" s="3">
        <v>117349400</v>
      </c>
    </row>
    <row r="2420" spans="1:9" x14ac:dyDescent="0.35">
      <c r="A2420" t="str">
        <f>"49010"</f>
        <v>49010</v>
      </c>
      <c r="B2420" t="s">
        <v>9</v>
      </c>
      <c r="C2420" t="s">
        <v>977</v>
      </c>
      <c r="D2420" s="5" t="s">
        <v>11</v>
      </c>
      <c r="E2420" s="5" t="s">
        <v>12</v>
      </c>
      <c r="F2420" s="3" t="s">
        <v>13</v>
      </c>
      <c r="G2420" s="3" t="s">
        <v>13</v>
      </c>
      <c r="H2420" s="3" t="s">
        <v>13</v>
      </c>
      <c r="I2420" s="3">
        <v>188377400</v>
      </c>
    </row>
    <row r="2421" spans="1:9" x14ac:dyDescent="0.35">
      <c r="A2421" t="str">
        <f>"49012"</f>
        <v>49012</v>
      </c>
      <c r="B2421" t="s">
        <v>9</v>
      </c>
      <c r="C2421" t="s">
        <v>978</v>
      </c>
      <c r="D2421" s="5" t="s">
        <v>11</v>
      </c>
      <c r="E2421" s="5" t="s">
        <v>12</v>
      </c>
      <c r="F2421" s="3" t="s">
        <v>13</v>
      </c>
      <c r="G2421" s="3" t="s">
        <v>13</v>
      </c>
      <c r="H2421" s="3" t="s">
        <v>13</v>
      </c>
      <c r="I2421" s="3">
        <v>277409600</v>
      </c>
    </row>
    <row r="2422" spans="1:9" x14ac:dyDescent="0.35">
      <c r="A2422" t="str">
        <f>"49014"</f>
        <v>49014</v>
      </c>
      <c r="B2422" t="s">
        <v>9</v>
      </c>
      <c r="C2422" t="s">
        <v>153</v>
      </c>
      <c r="D2422" s="5" t="s">
        <v>11</v>
      </c>
      <c r="E2422" s="5" t="s">
        <v>12</v>
      </c>
      <c r="F2422" s="3" t="s">
        <v>13</v>
      </c>
      <c r="G2422" s="3" t="s">
        <v>13</v>
      </c>
      <c r="H2422" s="3" t="s">
        <v>13</v>
      </c>
      <c r="I2422" s="3">
        <v>245356100</v>
      </c>
    </row>
    <row r="2423" spans="1:9" x14ac:dyDescent="0.35">
      <c r="A2423" t="str">
        <f>"49016"</f>
        <v>49016</v>
      </c>
      <c r="B2423" t="s">
        <v>9</v>
      </c>
      <c r="C2423" t="s">
        <v>743</v>
      </c>
      <c r="D2423" s="5" t="s">
        <v>11</v>
      </c>
      <c r="E2423" s="5" t="s">
        <v>12</v>
      </c>
      <c r="F2423" s="3" t="s">
        <v>13</v>
      </c>
      <c r="G2423" s="3" t="s">
        <v>13</v>
      </c>
      <c r="H2423" s="3" t="s">
        <v>13</v>
      </c>
      <c r="I2423" s="3">
        <v>253619600</v>
      </c>
    </row>
    <row r="2424" spans="1:9" x14ac:dyDescent="0.35">
      <c r="A2424" t="str">
        <f>"49018"</f>
        <v>49018</v>
      </c>
      <c r="B2424" t="s">
        <v>9</v>
      </c>
      <c r="C2424" t="s">
        <v>220</v>
      </c>
      <c r="D2424" s="5" t="s">
        <v>11</v>
      </c>
      <c r="E2424" s="5" t="s">
        <v>12</v>
      </c>
      <c r="F2424" s="3" t="s">
        <v>13</v>
      </c>
      <c r="G2424" s="3" t="s">
        <v>13</v>
      </c>
      <c r="H2424" s="3" t="s">
        <v>13</v>
      </c>
      <c r="I2424" s="3">
        <v>303091500</v>
      </c>
    </row>
    <row r="2425" spans="1:9" x14ac:dyDescent="0.35">
      <c r="A2425" t="str">
        <f>"49020"</f>
        <v>49020</v>
      </c>
      <c r="B2425" t="s">
        <v>9</v>
      </c>
      <c r="C2425" t="s">
        <v>753</v>
      </c>
      <c r="D2425" s="5" t="s">
        <v>11</v>
      </c>
      <c r="E2425" s="5" t="s">
        <v>12</v>
      </c>
      <c r="F2425" s="3" t="s">
        <v>13</v>
      </c>
      <c r="G2425" s="3" t="s">
        <v>13</v>
      </c>
      <c r="H2425" s="3" t="s">
        <v>13</v>
      </c>
      <c r="I2425" s="3">
        <v>822820000</v>
      </c>
    </row>
    <row r="2426" spans="1:9" x14ac:dyDescent="0.35">
      <c r="A2426" t="str">
        <f>"49022"</f>
        <v>49022</v>
      </c>
      <c r="B2426" t="s">
        <v>9</v>
      </c>
      <c r="C2426" t="s">
        <v>979</v>
      </c>
      <c r="D2426" s="5" t="s">
        <v>11</v>
      </c>
      <c r="E2426" s="5" t="s">
        <v>12</v>
      </c>
      <c r="F2426" s="3" t="s">
        <v>13</v>
      </c>
      <c r="G2426" s="3" t="s">
        <v>13</v>
      </c>
      <c r="H2426" s="3" t="s">
        <v>13</v>
      </c>
      <c r="I2426" s="3">
        <v>246197300</v>
      </c>
    </row>
    <row r="2427" spans="1:9" x14ac:dyDescent="0.35">
      <c r="A2427" t="str">
        <f>"49024"</f>
        <v>49024</v>
      </c>
      <c r="B2427" t="s">
        <v>9</v>
      </c>
      <c r="C2427" t="s">
        <v>980</v>
      </c>
      <c r="D2427" s="5" t="s">
        <v>11</v>
      </c>
      <c r="E2427" s="5" t="s">
        <v>12</v>
      </c>
      <c r="F2427" s="3" t="s">
        <v>13</v>
      </c>
      <c r="G2427" s="3" t="s">
        <v>13</v>
      </c>
      <c r="H2427" s="3" t="s">
        <v>13</v>
      </c>
      <c r="I2427" s="3">
        <v>218383300</v>
      </c>
    </row>
    <row r="2428" spans="1:9" x14ac:dyDescent="0.35">
      <c r="A2428" t="str">
        <f>"49026"</f>
        <v>49026</v>
      </c>
      <c r="B2428" t="s">
        <v>9</v>
      </c>
      <c r="C2428" t="s">
        <v>981</v>
      </c>
      <c r="D2428" s="5" t="s">
        <v>11</v>
      </c>
      <c r="E2428" s="5" t="s">
        <v>12</v>
      </c>
      <c r="F2428" s="3" t="s">
        <v>13</v>
      </c>
      <c r="G2428" s="3" t="s">
        <v>13</v>
      </c>
      <c r="H2428" s="3" t="s">
        <v>13</v>
      </c>
      <c r="I2428" s="3">
        <v>159640700</v>
      </c>
    </row>
    <row r="2429" spans="1:9" x14ac:dyDescent="0.35">
      <c r="A2429" t="str">
        <f>"49028"</f>
        <v>49028</v>
      </c>
      <c r="B2429" t="s">
        <v>9</v>
      </c>
      <c r="C2429" t="s">
        <v>982</v>
      </c>
      <c r="D2429" s="5" t="s">
        <v>11</v>
      </c>
      <c r="E2429" s="5" t="s">
        <v>12</v>
      </c>
      <c r="F2429" s="3" t="s">
        <v>13</v>
      </c>
      <c r="G2429" s="3" t="s">
        <v>13</v>
      </c>
      <c r="H2429" s="3" t="s">
        <v>13</v>
      </c>
      <c r="I2429" s="3">
        <v>81737100</v>
      </c>
    </row>
    <row r="2430" spans="1:9" x14ac:dyDescent="0.35">
      <c r="A2430" t="str">
        <f>"49030"</f>
        <v>49030</v>
      </c>
      <c r="B2430" t="s">
        <v>9</v>
      </c>
      <c r="C2430" t="s">
        <v>760</v>
      </c>
      <c r="D2430" s="5" t="s">
        <v>11</v>
      </c>
      <c r="E2430" s="5" t="s">
        <v>12</v>
      </c>
      <c r="F2430" s="3" t="s">
        <v>13</v>
      </c>
      <c r="G2430" s="3" t="s">
        <v>13</v>
      </c>
      <c r="H2430" s="3" t="s">
        <v>13</v>
      </c>
      <c r="I2430" s="3">
        <v>322105200</v>
      </c>
    </row>
    <row r="2431" spans="1:9" x14ac:dyDescent="0.35">
      <c r="A2431" t="str">
        <f>"49032"</f>
        <v>49032</v>
      </c>
      <c r="B2431" t="s">
        <v>9</v>
      </c>
      <c r="C2431" t="s">
        <v>983</v>
      </c>
      <c r="D2431" s="5" t="s">
        <v>11</v>
      </c>
      <c r="E2431" s="5" t="s">
        <v>12</v>
      </c>
      <c r="F2431" s="3" t="s">
        <v>13</v>
      </c>
      <c r="G2431" s="3" t="s">
        <v>13</v>
      </c>
      <c r="H2431" s="3" t="s">
        <v>13</v>
      </c>
      <c r="I2431" s="3">
        <v>384701500</v>
      </c>
    </row>
    <row r="2432" spans="1:9" x14ac:dyDescent="0.35">
      <c r="A2432" t="str">
        <f>"49034"</f>
        <v>49034</v>
      </c>
      <c r="B2432" t="s">
        <v>9</v>
      </c>
      <c r="C2432" t="s">
        <v>984</v>
      </c>
      <c r="D2432" s="5" t="s">
        <v>11</v>
      </c>
      <c r="E2432" s="5" t="s">
        <v>12</v>
      </c>
      <c r="F2432" s="3" t="s">
        <v>13</v>
      </c>
      <c r="G2432" s="3" t="s">
        <v>13</v>
      </c>
      <c r="H2432" s="3" t="s">
        <v>13</v>
      </c>
      <c r="I2432" s="3">
        <v>540073500</v>
      </c>
    </row>
    <row r="2433" spans="1:9" x14ac:dyDescent="0.35">
      <c r="A2433" t="s">
        <v>30</v>
      </c>
      <c r="B2433" t="s">
        <v>31</v>
      </c>
      <c r="C2433" t="s">
        <v>32</v>
      </c>
      <c r="D2433" s="5" t="s">
        <v>11</v>
      </c>
      <c r="E2433" s="5" t="s">
        <v>12</v>
      </c>
      <c r="F2433" s="3" t="s">
        <v>13</v>
      </c>
      <c r="G2433" s="3" t="s">
        <v>13</v>
      </c>
      <c r="H2433" s="3" t="s">
        <v>13</v>
      </c>
      <c r="I2433" s="3">
        <v>4701902800</v>
      </c>
    </row>
    <row r="2434" spans="1:9" x14ac:dyDescent="0.35">
      <c r="A2434" t="str">
        <f>"49101"</f>
        <v>49101</v>
      </c>
      <c r="B2434" t="s">
        <v>33</v>
      </c>
      <c r="C2434" t="s">
        <v>975</v>
      </c>
      <c r="D2434" s="5" t="s">
        <v>11</v>
      </c>
      <c r="E2434" s="5" t="s">
        <v>12</v>
      </c>
      <c r="F2434" s="3" t="s">
        <v>13</v>
      </c>
      <c r="G2434" s="3" t="s">
        <v>13</v>
      </c>
      <c r="H2434" s="3" t="s">
        <v>13</v>
      </c>
      <c r="I2434" s="3">
        <v>34333500</v>
      </c>
    </row>
    <row r="2435" spans="1:9" x14ac:dyDescent="0.35">
      <c r="A2435" t="str">
        <f>"49102"</f>
        <v>49102</v>
      </c>
      <c r="B2435" t="s">
        <v>33</v>
      </c>
      <c r="C2435" t="s">
        <v>976</v>
      </c>
      <c r="D2435" s="5" t="s">
        <v>11</v>
      </c>
      <c r="E2435" s="5" t="s">
        <v>12</v>
      </c>
      <c r="F2435" s="3" t="s">
        <v>13</v>
      </c>
      <c r="G2435" s="3" t="s">
        <v>13</v>
      </c>
      <c r="H2435" s="3" t="s">
        <v>13</v>
      </c>
      <c r="I2435" s="3">
        <v>134851800</v>
      </c>
    </row>
    <row r="2436" spans="1:9" x14ac:dyDescent="0.35">
      <c r="A2436" t="str">
        <f>"49103"</f>
        <v>49103</v>
      </c>
      <c r="B2436" t="s">
        <v>33</v>
      </c>
      <c r="C2436" t="s">
        <v>985</v>
      </c>
      <c r="D2436" s="5" t="s">
        <v>11</v>
      </c>
      <c r="E2436" s="5" t="s">
        <v>12</v>
      </c>
      <c r="F2436" s="3" t="s">
        <v>13</v>
      </c>
      <c r="G2436" s="3" t="s">
        <v>13</v>
      </c>
      <c r="H2436" s="3" t="s">
        <v>13</v>
      </c>
      <c r="I2436" s="3">
        <v>54578300</v>
      </c>
    </row>
    <row r="2437" spans="1:9" x14ac:dyDescent="0.35">
      <c r="A2437" t="str">
        <f>"49141"</f>
        <v>49141</v>
      </c>
      <c r="B2437" t="s">
        <v>33</v>
      </c>
      <c r="C2437" t="s">
        <v>986</v>
      </c>
      <c r="D2437" s="5" t="str">
        <f>"001"</f>
        <v>001</v>
      </c>
      <c r="E2437" s="5">
        <v>2008</v>
      </c>
      <c r="F2437" s="3">
        <v>1267700</v>
      </c>
      <c r="G2437" s="3">
        <v>8947800</v>
      </c>
      <c r="H2437" s="3">
        <v>7680100</v>
      </c>
    </row>
    <row r="2438" spans="1:9" x14ac:dyDescent="0.35">
      <c r="A2438" t="str">
        <f>"49141"</f>
        <v>49141</v>
      </c>
      <c r="B2438" t="s">
        <v>33</v>
      </c>
      <c r="C2438" t="s">
        <v>986</v>
      </c>
      <c r="D2438" s="5" t="str">
        <f>"002"</f>
        <v>002</v>
      </c>
      <c r="E2438" s="5">
        <v>2019</v>
      </c>
      <c r="F2438" s="3">
        <v>1883200</v>
      </c>
      <c r="G2438" s="3">
        <v>4002000</v>
      </c>
      <c r="H2438" s="3">
        <v>2118800</v>
      </c>
    </row>
    <row r="2439" spans="1:9" x14ac:dyDescent="0.35">
      <c r="A2439" t="str">
        <f>"49141"</f>
        <v>49141</v>
      </c>
      <c r="B2439" t="s">
        <v>33</v>
      </c>
      <c r="C2439" t="s">
        <v>986</v>
      </c>
      <c r="D2439" s="5" t="s">
        <v>11</v>
      </c>
      <c r="E2439" s="5" t="s">
        <v>12</v>
      </c>
      <c r="F2439" s="3" t="s">
        <v>13</v>
      </c>
      <c r="G2439" s="3" t="s">
        <v>13</v>
      </c>
      <c r="H2439" s="3" t="s">
        <v>13</v>
      </c>
      <c r="I2439" s="3">
        <v>32185100</v>
      </c>
    </row>
    <row r="2440" spans="1:9" x14ac:dyDescent="0.35">
      <c r="A2440" t="str">
        <f>"49151"</f>
        <v>49151</v>
      </c>
      <c r="B2440" t="s">
        <v>33</v>
      </c>
      <c r="C2440" t="s">
        <v>987</v>
      </c>
      <c r="D2440" s="5" t="s">
        <v>11</v>
      </c>
      <c r="E2440" s="5" t="s">
        <v>12</v>
      </c>
      <c r="F2440" s="3" t="s">
        <v>13</v>
      </c>
      <c r="G2440" s="3" t="s">
        <v>13</v>
      </c>
      <c r="H2440" s="3" t="s">
        <v>13</v>
      </c>
      <c r="I2440" s="3">
        <v>575300</v>
      </c>
    </row>
    <row r="2441" spans="1:9" x14ac:dyDescent="0.35">
      <c r="A2441" t="str">
        <f>"49161"</f>
        <v>49161</v>
      </c>
      <c r="B2441" t="s">
        <v>33</v>
      </c>
      <c r="C2441" t="s">
        <v>988</v>
      </c>
      <c r="D2441" s="5" t="s">
        <v>11</v>
      </c>
      <c r="E2441" s="5" t="s">
        <v>12</v>
      </c>
      <c r="F2441" s="3" t="s">
        <v>13</v>
      </c>
      <c r="G2441" s="3" t="s">
        <v>13</v>
      </c>
      <c r="H2441" s="3" t="s">
        <v>13</v>
      </c>
      <c r="I2441" s="3">
        <v>24669400</v>
      </c>
    </row>
    <row r="2442" spans="1:9" x14ac:dyDescent="0.35">
      <c r="A2442" t="str">
        <f>"49171"</f>
        <v>49171</v>
      </c>
      <c r="B2442" t="s">
        <v>33</v>
      </c>
      <c r="C2442" t="s">
        <v>989</v>
      </c>
      <c r="D2442" s="5" t="s">
        <v>11</v>
      </c>
      <c r="E2442" s="5" t="s">
        <v>12</v>
      </c>
      <c r="F2442" s="3" t="s">
        <v>13</v>
      </c>
      <c r="G2442" s="3" t="s">
        <v>13</v>
      </c>
      <c r="H2442" s="3" t="s">
        <v>13</v>
      </c>
      <c r="I2442" s="3">
        <v>98988300</v>
      </c>
    </row>
    <row r="2443" spans="1:9" x14ac:dyDescent="0.35">
      <c r="A2443" t="str">
        <f t="shared" ref="A2443:A2448" si="58">"49173"</f>
        <v>49173</v>
      </c>
      <c r="B2443" t="s">
        <v>33</v>
      </c>
      <c r="C2443" t="s">
        <v>760</v>
      </c>
      <c r="D2443" s="5" t="str">
        <f>"004"</f>
        <v>004</v>
      </c>
      <c r="E2443" s="5">
        <v>2004</v>
      </c>
      <c r="F2443" s="3">
        <v>15168000</v>
      </c>
      <c r="G2443" s="3">
        <v>92492900</v>
      </c>
      <c r="H2443" s="3">
        <v>77324900</v>
      </c>
    </row>
    <row r="2444" spans="1:9" x14ac:dyDescent="0.35">
      <c r="A2444" t="str">
        <f t="shared" si="58"/>
        <v>49173</v>
      </c>
      <c r="B2444" t="s">
        <v>33</v>
      </c>
      <c r="C2444" t="s">
        <v>760</v>
      </c>
      <c r="D2444" s="5" t="str">
        <f>"005"</f>
        <v>005</v>
      </c>
      <c r="E2444" s="5">
        <v>2005</v>
      </c>
      <c r="F2444" s="3">
        <v>2713700</v>
      </c>
      <c r="G2444" s="3">
        <v>166373200</v>
      </c>
      <c r="H2444" s="3">
        <v>163659500</v>
      </c>
    </row>
    <row r="2445" spans="1:9" x14ac:dyDescent="0.35">
      <c r="A2445" t="str">
        <f t="shared" si="58"/>
        <v>49173</v>
      </c>
      <c r="B2445" t="s">
        <v>33</v>
      </c>
      <c r="C2445" t="s">
        <v>760</v>
      </c>
      <c r="D2445" s="5" t="str">
        <f>"006"</f>
        <v>006</v>
      </c>
      <c r="E2445" s="5">
        <v>2010</v>
      </c>
      <c r="F2445" s="3">
        <v>340400</v>
      </c>
      <c r="G2445" s="3">
        <v>31027300</v>
      </c>
      <c r="H2445" s="3">
        <v>30686900</v>
      </c>
    </row>
    <row r="2446" spans="1:9" x14ac:dyDescent="0.35">
      <c r="A2446" t="str">
        <f t="shared" si="58"/>
        <v>49173</v>
      </c>
      <c r="B2446" t="s">
        <v>33</v>
      </c>
      <c r="C2446" t="s">
        <v>760</v>
      </c>
      <c r="D2446" s="5" t="str">
        <f>"007"</f>
        <v>007</v>
      </c>
      <c r="E2446" s="5">
        <v>2013</v>
      </c>
      <c r="F2446" s="3">
        <v>2774400</v>
      </c>
      <c r="G2446" s="3">
        <v>13050700</v>
      </c>
      <c r="H2446" s="3">
        <v>10276300</v>
      </c>
    </row>
    <row r="2447" spans="1:9" x14ac:dyDescent="0.35">
      <c r="A2447" t="str">
        <f t="shared" si="58"/>
        <v>49173</v>
      </c>
      <c r="B2447" t="s">
        <v>33</v>
      </c>
      <c r="C2447" t="s">
        <v>760</v>
      </c>
      <c r="D2447" s="5" t="str">
        <f>"008"</f>
        <v>008</v>
      </c>
      <c r="E2447" s="5">
        <v>2025</v>
      </c>
      <c r="F2447" s="3">
        <v>8085400</v>
      </c>
      <c r="G2447" s="3">
        <v>13431600</v>
      </c>
      <c r="H2447" s="3">
        <v>5346200</v>
      </c>
    </row>
    <row r="2448" spans="1:9" x14ac:dyDescent="0.35">
      <c r="A2448" t="str">
        <f t="shared" si="58"/>
        <v>49173</v>
      </c>
      <c r="B2448" t="s">
        <v>33</v>
      </c>
      <c r="C2448" t="s">
        <v>760</v>
      </c>
      <c r="D2448" s="5" t="s">
        <v>11</v>
      </c>
      <c r="E2448" s="5" t="s">
        <v>12</v>
      </c>
      <c r="F2448" s="3" t="s">
        <v>13</v>
      </c>
      <c r="G2448" s="3" t="s">
        <v>13</v>
      </c>
      <c r="H2448" s="3" t="s">
        <v>13</v>
      </c>
      <c r="I2448" s="3">
        <v>1790545500</v>
      </c>
    </row>
    <row r="2449" spans="1:9" x14ac:dyDescent="0.35">
      <c r="A2449" t="str">
        <f>"49176"</f>
        <v>49176</v>
      </c>
      <c r="B2449" t="s">
        <v>33</v>
      </c>
      <c r="C2449" t="s">
        <v>990</v>
      </c>
      <c r="D2449" s="5" t="s">
        <v>11</v>
      </c>
      <c r="E2449" s="5" t="s">
        <v>12</v>
      </c>
      <c r="F2449" s="3" t="s">
        <v>13</v>
      </c>
      <c r="G2449" s="3" t="s">
        <v>13</v>
      </c>
      <c r="H2449" s="3" t="s">
        <v>13</v>
      </c>
      <c r="I2449" s="3">
        <v>38652800</v>
      </c>
    </row>
    <row r="2450" spans="1:9" x14ac:dyDescent="0.35">
      <c r="A2450" t="str">
        <f>"49191"</f>
        <v>49191</v>
      </c>
      <c r="B2450" t="s">
        <v>33</v>
      </c>
      <c r="C2450" t="s">
        <v>991</v>
      </c>
      <c r="D2450" s="5" t="str">
        <f>"001"</f>
        <v>001</v>
      </c>
      <c r="E2450" s="5">
        <v>1994</v>
      </c>
      <c r="F2450" s="3">
        <v>1704800</v>
      </c>
      <c r="G2450" s="3">
        <v>14593000</v>
      </c>
      <c r="H2450" s="3">
        <v>12888200</v>
      </c>
    </row>
    <row r="2451" spans="1:9" x14ac:dyDescent="0.35">
      <c r="A2451" t="str">
        <f>"49191"</f>
        <v>49191</v>
      </c>
      <c r="B2451" t="s">
        <v>33</v>
      </c>
      <c r="C2451" t="s">
        <v>991</v>
      </c>
      <c r="D2451" s="5" t="s">
        <v>11</v>
      </c>
      <c r="E2451" s="5" t="s">
        <v>12</v>
      </c>
      <c r="F2451" s="3" t="s">
        <v>13</v>
      </c>
      <c r="G2451" s="3" t="s">
        <v>13</v>
      </c>
      <c r="H2451" s="3" t="s">
        <v>13</v>
      </c>
      <c r="I2451" s="3">
        <v>207239600</v>
      </c>
    </row>
    <row r="2452" spans="1:9" x14ac:dyDescent="0.35">
      <c r="A2452" t="s">
        <v>30</v>
      </c>
      <c r="B2452" t="s">
        <v>35</v>
      </c>
      <c r="C2452" t="s">
        <v>32</v>
      </c>
      <c r="D2452" s="5" t="s">
        <v>11</v>
      </c>
      <c r="E2452" s="5" t="s">
        <v>12</v>
      </c>
      <c r="F2452" s="3" t="s">
        <v>13</v>
      </c>
      <c r="G2452" s="3" t="s">
        <v>13</v>
      </c>
      <c r="H2452" s="3" t="s">
        <v>13</v>
      </c>
      <c r="I2452" s="3">
        <v>2416619600</v>
      </c>
    </row>
    <row r="2453" spans="1:9" x14ac:dyDescent="0.35">
      <c r="A2453" t="str">
        <f t="shared" ref="A2453:A2463" si="59">"49281"</f>
        <v>49281</v>
      </c>
      <c r="B2453" t="s">
        <v>36</v>
      </c>
      <c r="C2453" t="s">
        <v>992</v>
      </c>
      <c r="D2453" s="5" t="str">
        <f>"005"</f>
        <v>005</v>
      </c>
      <c r="E2453" s="5">
        <v>2005</v>
      </c>
      <c r="F2453" s="3">
        <v>34687500</v>
      </c>
      <c r="G2453" s="3">
        <v>163891600</v>
      </c>
      <c r="H2453" s="3">
        <v>129204100</v>
      </c>
    </row>
    <row r="2454" spans="1:9" x14ac:dyDescent="0.35">
      <c r="A2454" t="str">
        <f t="shared" si="59"/>
        <v>49281</v>
      </c>
      <c r="B2454" t="s">
        <v>36</v>
      </c>
      <c r="C2454" t="s">
        <v>992</v>
      </c>
      <c r="D2454" s="5" t="str">
        <f>"006"</f>
        <v>006</v>
      </c>
      <c r="E2454" s="5">
        <v>2006</v>
      </c>
      <c r="F2454" s="3">
        <v>42590300</v>
      </c>
      <c r="G2454" s="3">
        <v>70203800</v>
      </c>
      <c r="H2454" s="3">
        <v>27613500</v>
      </c>
    </row>
    <row r="2455" spans="1:9" x14ac:dyDescent="0.35">
      <c r="A2455" t="str">
        <f t="shared" si="59"/>
        <v>49281</v>
      </c>
      <c r="B2455" t="s">
        <v>36</v>
      </c>
      <c r="C2455" t="s">
        <v>992</v>
      </c>
      <c r="D2455" s="5" t="str">
        <f>"007"</f>
        <v>007</v>
      </c>
      <c r="E2455" s="5">
        <v>2008</v>
      </c>
      <c r="F2455" s="3">
        <v>9343900</v>
      </c>
      <c r="G2455" s="3">
        <v>41282300</v>
      </c>
      <c r="H2455" s="3">
        <v>31938400</v>
      </c>
    </row>
    <row r="2456" spans="1:9" x14ac:dyDescent="0.35">
      <c r="A2456" t="str">
        <f t="shared" si="59"/>
        <v>49281</v>
      </c>
      <c r="B2456" t="s">
        <v>36</v>
      </c>
      <c r="C2456" t="s">
        <v>992</v>
      </c>
      <c r="D2456" s="5" t="str">
        <f>"008"</f>
        <v>008</v>
      </c>
      <c r="E2456" s="5">
        <v>2010</v>
      </c>
      <c r="F2456" s="3">
        <v>18347100</v>
      </c>
      <c r="G2456" s="3">
        <v>48850100</v>
      </c>
      <c r="H2456" s="3">
        <v>30503000</v>
      </c>
    </row>
    <row r="2457" spans="1:9" x14ac:dyDescent="0.35">
      <c r="A2457" t="str">
        <f t="shared" si="59"/>
        <v>49281</v>
      </c>
      <c r="B2457" t="s">
        <v>36</v>
      </c>
      <c r="C2457" t="s">
        <v>992</v>
      </c>
      <c r="D2457" s="5" t="str">
        <f>"009"</f>
        <v>009</v>
      </c>
      <c r="E2457" s="5">
        <v>2013</v>
      </c>
      <c r="F2457" s="3">
        <v>53133500</v>
      </c>
      <c r="G2457" s="3">
        <v>262635800</v>
      </c>
      <c r="H2457" s="3">
        <v>209502300</v>
      </c>
    </row>
    <row r="2458" spans="1:9" x14ac:dyDescent="0.35">
      <c r="A2458" t="str">
        <f t="shared" si="59"/>
        <v>49281</v>
      </c>
      <c r="B2458" t="s">
        <v>36</v>
      </c>
      <c r="C2458" t="s">
        <v>992</v>
      </c>
      <c r="D2458" s="5" t="str">
        <f>"010"</f>
        <v>010</v>
      </c>
      <c r="E2458" s="5">
        <v>2019</v>
      </c>
      <c r="F2458" s="3">
        <v>44409400</v>
      </c>
      <c r="G2458" s="3">
        <v>98133500</v>
      </c>
      <c r="H2458" s="3">
        <v>53724100</v>
      </c>
    </row>
    <row r="2459" spans="1:9" x14ac:dyDescent="0.35">
      <c r="A2459" t="str">
        <f t="shared" si="59"/>
        <v>49281</v>
      </c>
      <c r="B2459" t="s">
        <v>36</v>
      </c>
      <c r="C2459" t="s">
        <v>992</v>
      </c>
      <c r="D2459" s="5" t="str">
        <f>"011"</f>
        <v>011</v>
      </c>
      <c r="E2459" s="5">
        <v>2020</v>
      </c>
      <c r="F2459" s="3">
        <v>22935900</v>
      </c>
      <c r="G2459" s="3">
        <v>52020300</v>
      </c>
      <c r="H2459" s="3">
        <v>29084400</v>
      </c>
    </row>
    <row r="2460" spans="1:9" x14ac:dyDescent="0.35">
      <c r="A2460" t="str">
        <f t="shared" si="59"/>
        <v>49281</v>
      </c>
      <c r="B2460" t="s">
        <v>36</v>
      </c>
      <c r="C2460" t="s">
        <v>992</v>
      </c>
      <c r="D2460" s="5" t="str">
        <f>"012"</f>
        <v>012</v>
      </c>
      <c r="E2460" s="5">
        <v>2020</v>
      </c>
      <c r="F2460" s="3">
        <v>18991600</v>
      </c>
      <c r="G2460" s="3">
        <v>24291900</v>
      </c>
      <c r="H2460" s="3">
        <v>5300300</v>
      </c>
    </row>
    <row r="2461" spans="1:9" x14ac:dyDescent="0.35">
      <c r="A2461" t="str">
        <f t="shared" si="59"/>
        <v>49281</v>
      </c>
      <c r="B2461" t="s">
        <v>36</v>
      </c>
      <c r="C2461" t="s">
        <v>992</v>
      </c>
      <c r="D2461" s="5" t="str">
        <f>"013"</f>
        <v>013</v>
      </c>
      <c r="E2461" s="5">
        <v>2020</v>
      </c>
      <c r="F2461" s="3">
        <v>6417700</v>
      </c>
      <c r="G2461" s="3">
        <v>19880800</v>
      </c>
      <c r="H2461" s="3">
        <v>13463100</v>
      </c>
    </row>
    <row r="2462" spans="1:9" x14ac:dyDescent="0.35">
      <c r="A2462" t="str">
        <f t="shared" si="59"/>
        <v>49281</v>
      </c>
      <c r="B2462" t="s">
        <v>36</v>
      </c>
      <c r="C2462" t="s">
        <v>992</v>
      </c>
      <c r="D2462" s="5" t="str">
        <f>"014"</f>
        <v>014</v>
      </c>
      <c r="E2462" s="5">
        <v>2024</v>
      </c>
      <c r="F2462" s="3">
        <v>24124600</v>
      </c>
      <c r="G2462" s="3">
        <v>34941900</v>
      </c>
      <c r="H2462" s="3">
        <v>10817300</v>
      </c>
    </row>
    <row r="2463" spans="1:9" x14ac:dyDescent="0.35">
      <c r="A2463" t="str">
        <f t="shared" si="59"/>
        <v>49281</v>
      </c>
      <c r="B2463" t="s">
        <v>36</v>
      </c>
      <c r="C2463" t="s">
        <v>992</v>
      </c>
      <c r="D2463" s="5" t="s">
        <v>11</v>
      </c>
      <c r="E2463" s="5" t="s">
        <v>12</v>
      </c>
      <c r="F2463" s="3" t="s">
        <v>13</v>
      </c>
      <c r="G2463" s="3" t="s">
        <v>13</v>
      </c>
      <c r="H2463" s="3" t="s">
        <v>13</v>
      </c>
      <c r="I2463" s="3">
        <v>2774725400</v>
      </c>
    </row>
    <row r="2464" spans="1:9" x14ac:dyDescent="0.35">
      <c r="A2464" t="s">
        <v>30</v>
      </c>
      <c r="B2464" t="s">
        <v>38</v>
      </c>
      <c r="C2464" t="s">
        <v>32</v>
      </c>
      <c r="D2464" s="5" t="s">
        <v>11</v>
      </c>
      <c r="E2464" s="5" t="s">
        <v>12</v>
      </c>
      <c r="F2464" s="3" t="s">
        <v>13</v>
      </c>
      <c r="G2464" s="3" t="s">
        <v>13</v>
      </c>
      <c r="H2464" s="3" t="s">
        <v>13</v>
      </c>
      <c r="I2464" s="3">
        <v>2774725400</v>
      </c>
    </row>
    <row r="2465" spans="1:9" x14ac:dyDescent="0.35">
      <c r="A2465" t="s">
        <v>30</v>
      </c>
      <c r="B2465" t="s">
        <v>39</v>
      </c>
      <c r="C2465" t="s">
        <v>279</v>
      </c>
      <c r="D2465" s="5" t="s">
        <v>11</v>
      </c>
      <c r="E2465" s="5" t="s">
        <v>12</v>
      </c>
      <c r="F2465" s="3" t="s">
        <v>13</v>
      </c>
      <c r="G2465" s="3" t="s">
        <v>13</v>
      </c>
      <c r="H2465" s="3" t="s">
        <v>13</v>
      </c>
      <c r="I2465" s="3">
        <v>9893247800</v>
      </c>
    </row>
    <row r="2466" spans="1:9" x14ac:dyDescent="0.35">
      <c r="A2466" t="str">
        <f>"50002"</f>
        <v>50002</v>
      </c>
      <c r="B2466" t="s">
        <v>9</v>
      </c>
      <c r="C2466" t="s">
        <v>993</v>
      </c>
      <c r="D2466" s="5" t="s">
        <v>11</v>
      </c>
      <c r="E2466" s="5" t="s">
        <v>12</v>
      </c>
      <c r="F2466" s="3" t="s">
        <v>13</v>
      </c>
      <c r="G2466" s="3" t="s">
        <v>13</v>
      </c>
      <c r="H2466" s="3" t="s">
        <v>13</v>
      </c>
      <c r="I2466" s="3">
        <v>48600900</v>
      </c>
    </row>
    <row r="2467" spans="1:9" x14ac:dyDescent="0.35">
      <c r="A2467" t="str">
        <f>"50004"</f>
        <v>50004</v>
      </c>
      <c r="B2467" t="s">
        <v>9</v>
      </c>
      <c r="C2467" t="s">
        <v>994</v>
      </c>
      <c r="D2467" s="5" t="s">
        <v>11</v>
      </c>
      <c r="E2467" s="5" t="s">
        <v>12</v>
      </c>
      <c r="F2467" s="3" t="s">
        <v>13</v>
      </c>
      <c r="G2467" s="3" t="s">
        <v>13</v>
      </c>
      <c r="H2467" s="3" t="s">
        <v>13</v>
      </c>
      <c r="I2467" s="3">
        <v>126921400</v>
      </c>
    </row>
    <row r="2468" spans="1:9" x14ac:dyDescent="0.35">
      <c r="A2468" t="str">
        <f>"50006"</f>
        <v>50006</v>
      </c>
      <c r="B2468" t="s">
        <v>9</v>
      </c>
      <c r="C2468" t="s">
        <v>995</v>
      </c>
      <c r="D2468" s="5" t="s">
        <v>11</v>
      </c>
      <c r="E2468" s="5" t="s">
        <v>12</v>
      </c>
      <c r="F2468" s="3" t="s">
        <v>13</v>
      </c>
      <c r="G2468" s="3" t="s">
        <v>13</v>
      </c>
      <c r="H2468" s="3" t="s">
        <v>13</v>
      </c>
      <c r="I2468" s="3">
        <v>304809500</v>
      </c>
    </row>
    <row r="2469" spans="1:9" x14ac:dyDescent="0.35">
      <c r="A2469" t="str">
        <f>"50008"</f>
        <v>50008</v>
      </c>
      <c r="B2469" t="s">
        <v>9</v>
      </c>
      <c r="C2469" t="s">
        <v>996</v>
      </c>
      <c r="D2469" s="5" t="s">
        <v>11</v>
      </c>
      <c r="E2469" s="5" t="s">
        <v>12</v>
      </c>
      <c r="F2469" s="3" t="s">
        <v>13</v>
      </c>
      <c r="G2469" s="3" t="s">
        <v>13</v>
      </c>
      <c r="H2469" s="3" t="s">
        <v>13</v>
      </c>
      <c r="I2469" s="3">
        <v>61543000</v>
      </c>
    </row>
    <row r="2470" spans="1:9" x14ac:dyDescent="0.35">
      <c r="A2470" t="str">
        <f>"50010"</f>
        <v>50010</v>
      </c>
      <c r="B2470" t="s">
        <v>9</v>
      </c>
      <c r="C2470" t="s">
        <v>997</v>
      </c>
      <c r="D2470" s="5" t="s">
        <v>11</v>
      </c>
      <c r="E2470" s="5" t="s">
        <v>12</v>
      </c>
      <c r="F2470" s="3" t="s">
        <v>13</v>
      </c>
      <c r="G2470" s="3" t="s">
        <v>13</v>
      </c>
      <c r="H2470" s="3" t="s">
        <v>13</v>
      </c>
      <c r="I2470" s="3">
        <v>303152800</v>
      </c>
    </row>
    <row r="2471" spans="1:9" x14ac:dyDescent="0.35">
      <c r="A2471" t="str">
        <f>"50012"</f>
        <v>50012</v>
      </c>
      <c r="B2471" t="s">
        <v>9</v>
      </c>
      <c r="C2471" t="s">
        <v>998</v>
      </c>
      <c r="D2471" s="5" t="s">
        <v>11</v>
      </c>
      <c r="E2471" s="5" t="s">
        <v>12</v>
      </c>
      <c r="F2471" s="3" t="s">
        <v>13</v>
      </c>
      <c r="G2471" s="3" t="s">
        <v>13</v>
      </c>
      <c r="H2471" s="3" t="s">
        <v>13</v>
      </c>
      <c r="I2471" s="3">
        <v>132027800</v>
      </c>
    </row>
    <row r="2472" spans="1:9" x14ac:dyDescent="0.35">
      <c r="A2472" t="str">
        <f>"50014"</f>
        <v>50014</v>
      </c>
      <c r="B2472" t="s">
        <v>9</v>
      </c>
      <c r="C2472" t="s">
        <v>959</v>
      </c>
      <c r="D2472" s="5" t="s">
        <v>11</v>
      </c>
      <c r="E2472" s="5" t="s">
        <v>12</v>
      </c>
      <c r="F2472" s="3" t="s">
        <v>13</v>
      </c>
      <c r="G2472" s="3" t="s">
        <v>13</v>
      </c>
      <c r="H2472" s="3" t="s">
        <v>13</v>
      </c>
      <c r="I2472" s="3">
        <v>32295100</v>
      </c>
    </row>
    <row r="2473" spans="1:9" x14ac:dyDescent="0.35">
      <c r="A2473" t="str">
        <f>"50016"</f>
        <v>50016</v>
      </c>
      <c r="B2473" t="s">
        <v>9</v>
      </c>
      <c r="C2473" t="s">
        <v>999</v>
      </c>
      <c r="D2473" s="5" t="s">
        <v>11</v>
      </c>
      <c r="E2473" s="5" t="s">
        <v>12</v>
      </c>
      <c r="F2473" s="3" t="s">
        <v>13</v>
      </c>
      <c r="G2473" s="3" t="s">
        <v>13</v>
      </c>
      <c r="H2473" s="3" t="s">
        <v>13</v>
      </c>
      <c r="I2473" s="3">
        <v>49444300</v>
      </c>
    </row>
    <row r="2474" spans="1:9" x14ac:dyDescent="0.35">
      <c r="A2474" t="str">
        <f>"50018"</f>
        <v>50018</v>
      </c>
      <c r="B2474" t="s">
        <v>9</v>
      </c>
      <c r="C2474" t="s">
        <v>1000</v>
      </c>
      <c r="D2474" s="5" t="s">
        <v>11</v>
      </c>
      <c r="E2474" s="5" t="s">
        <v>12</v>
      </c>
      <c r="F2474" s="3" t="s">
        <v>13</v>
      </c>
      <c r="G2474" s="3" t="s">
        <v>13</v>
      </c>
      <c r="H2474" s="3" t="s">
        <v>13</v>
      </c>
      <c r="I2474" s="3">
        <v>41975900</v>
      </c>
    </row>
    <row r="2475" spans="1:9" x14ac:dyDescent="0.35">
      <c r="A2475" t="str">
        <f>"50020"</f>
        <v>50020</v>
      </c>
      <c r="B2475" t="s">
        <v>9</v>
      </c>
      <c r="C2475" t="s">
        <v>1001</v>
      </c>
      <c r="D2475" s="5" t="s">
        <v>11</v>
      </c>
      <c r="E2475" s="5" t="s">
        <v>12</v>
      </c>
      <c r="F2475" s="3" t="s">
        <v>13</v>
      </c>
      <c r="G2475" s="3" t="s">
        <v>13</v>
      </c>
      <c r="H2475" s="3" t="s">
        <v>13</v>
      </c>
      <c r="I2475" s="3">
        <v>73668700</v>
      </c>
    </row>
    <row r="2476" spans="1:9" x14ac:dyDescent="0.35">
      <c r="A2476" t="str">
        <f>"50022"</f>
        <v>50022</v>
      </c>
      <c r="B2476" t="s">
        <v>9</v>
      </c>
      <c r="C2476" t="s">
        <v>1002</v>
      </c>
      <c r="D2476" s="5" t="s">
        <v>11</v>
      </c>
      <c r="E2476" s="5" t="s">
        <v>12</v>
      </c>
      <c r="F2476" s="3" t="s">
        <v>13</v>
      </c>
      <c r="G2476" s="3" t="s">
        <v>13</v>
      </c>
      <c r="H2476" s="3" t="s">
        <v>13</v>
      </c>
      <c r="I2476" s="3">
        <v>52272900</v>
      </c>
    </row>
    <row r="2477" spans="1:9" x14ac:dyDescent="0.35">
      <c r="A2477" t="str">
        <f>"50024"</f>
        <v>50024</v>
      </c>
      <c r="B2477" t="s">
        <v>9</v>
      </c>
      <c r="C2477" t="s">
        <v>1003</v>
      </c>
      <c r="D2477" s="5" t="s">
        <v>11</v>
      </c>
      <c r="E2477" s="5" t="s">
        <v>12</v>
      </c>
      <c r="F2477" s="3" t="s">
        <v>13</v>
      </c>
      <c r="G2477" s="3" t="s">
        <v>13</v>
      </c>
      <c r="H2477" s="3" t="s">
        <v>13</v>
      </c>
      <c r="I2477" s="3">
        <v>67593200</v>
      </c>
    </row>
    <row r="2478" spans="1:9" x14ac:dyDescent="0.35">
      <c r="A2478" t="str">
        <f>"50026"</f>
        <v>50026</v>
      </c>
      <c r="B2478" t="s">
        <v>9</v>
      </c>
      <c r="C2478" t="s">
        <v>788</v>
      </c>
      <c r="D2478" s="5" t="s">
        <v>11</v>
      </c>
      <c r="E2478" s="5" t="s">
        <v>12</v>
      </c>
      <c r="F2478" s="3" t="s">
        <v>13</v>
      </c>
      <c r="G2478" s="3" t="s">
        <v>13</v>
      </c>
      <c r="H2478" s="3" t="s">
        <v>13</v>
      </c>
      <c r="I2478" s="3">
        <v>289779600</v>
      </c>
    </row>
    <row r="2479" spans="1:9" x14ac:dyDescent="0.35">
      <c r="A2479" t="str">
        <f>"50028"</f>
        <v>50028</v>
      </c>
      <c r="B2479" t="s">
        <v>9</v>
      </c>
      <c r="C2479" t="s">
        <v>1004</v>
      </c>
      <c r="D2479" s="5" t="s">
        <v>11</v>
      </c>
      <c r="E2479" s="5" t="s">
        <v>12</v>
      </c>
      <c r="F2479" s="3" t="s">
        <v>13</v>
      </c>
      <c r="G2479" s="3" t="s">
        <v>13</v>
      </c>
      <c r="H2479" s="3" t="s">
        <v>13</v>
      </c>
      <c r="I2479" s="3">
        <v>114359100</v>
      </c>
    </row>
    <row r="2480" spans="1:9" x14ac:dyDescent="0.35">
      <c r="A2480" t="str">
        <f>"50030"</f>
        <v>50030</v>
      </c>
      <c r="B2480" t="s">
        <v>9</v>
      </c>
      <c r="C2480" t="s">
        <v>1005</v>
      </c>
      <c r="D2480" s="5" t="s">
        <v>11</v>
      </c>
      <c r="E2480" s="5" t="s">
        <v>12</v>
      </c>
      <c r="F2480" s="3" t="s">
        <v>13</v>
      </c>
      <c r="G2480" s="3" t="s">
        <v>13</v>
      </c>
      <c r="H2480" s="3" t="s">
        <v>13</v>
      </c>
      <c r="I2480" s="3">
        <v>97494000</v>
      </c>
    </row>
    <row r="2481" spans="1:9" x14ac:dyDescent="0.35">
      <c r="A2481" t="str">
        <f>"50032"</f>
        <v>50032</v>
      </c>
      <c r="B2481" t="s">
        <v>9</v>
      </c>
      <c r="C2481" t="s">
        <v>1006</v>
      </c>
      <c r="D2481" s="5" t="s">
        <v>11</v>
      </c>
      <c r="E2481" s="5" t="s">
        <v>12</v>
      </c>
      <c r="F2481" s="3" t="s">
        <v>13</v>
      </c>
      <c r="G2481" s="3" t="s">
        <v>13</v>
      </c>
      <c r="H2481" s="3" t="s">
        <v>13</v>
      </c>
      <c r="I2481" s="3">
        <v>91275500</v>
      </c>
    </row>
    <row r="2482" spans="1:9" x14ac:dyDescent="0.35">
      <c r="A2482" t="str">
        <f>"50034"</f>
        <v>50034</v>
      </c>
      <c r="B2482" t="s">
        <v>9</v>
      </c>
      <c r="C2482" t="s">
        <v>1007</v>
      </c>
      <c r="D2482" s="5" t="s">
        <v>11</v>
      </c>
      <c r="E2482" s="5" t="s">
        <v>12</v>
      </c>
      <c r="F2482" s="3" t="s">
        <v>13</v>
      </c>
      <c r="G2482" s="3" t="s">
        <v>13</v>
      </c>
      <c r="H2482" s="3" t="s">
        <v>13</v>
      </c>
      <c r="I2482" s="3">
        <v>347605400</v>
      </c>
    </row>
    <row r="2483" spans="1:9" x14ac:dyDescent="0.35">
      <c r="A2483" t="s">
        <v>30</v>
      </c>
      <c r="B2483" t="s">
        <v>31</v>
      </c>
      <c r="C2483" t="s">
        <v>32</v>
      </c>
      <c r="D2483" s="5" t="s">
        <v>11</v>
      </c>
      <c r="E2483" s="5" t="s">
        <v>12</v>
      </c>
      <c r="F2483" s="3" t="s">
        <v>13</v>
      </c>
      <c r="G2483" s="3" t="s">
        <v>13</v>
      </c>
      <c r="H2483" s="3" t="s">
        <v>13</v>
      </c>
      <c r="I2483" s="3">
        <v>2234819100</v>
      </c>
    </row>
    <row r="2484" spans="1:9" x14ac:dyDescent="0.35">
      <c r="A2484" t="str">
        <f>"50111"</f>
        <v>50111</v>
      </c>
      <c r="B2484" t="s">
        <v>33</v>
      </c>
      <c r="C2484" t="s">
        <v>993</v>
      </c>
      <c r="D2484" s="5" t="s">
        <v>11</v>
      </c>
      <c r="E2484" s="5" t="s">
        <v>12</v>
      </c>
      <c r="F2484" s="3" t="s">
        <v>13</v>
      </c>
      <c r="G2484" s="3" t="s">
        <v>13</v>
      </c>
      <c r="H2484" s="3" t="s">
        <v>13</v>
      </c>
      <c r="I2484" s="3">
        <v>11696600</v>
      </c>
    </row>
    <row r="2485" spans="1:9" x14ac:dyDescent="0.35">
      <c r="A2485" t="str">
        <f>"50141"</f>
        <v>50141</v>
      </c>
      <c r="B2485" t="s">
        <v>33</v>
      </c>
      <c r="C2485" t="s">
        <v>1002</v>
      </c>
      <c r="D2485" s="5" t="s">
        <v>11</v>
      </c>
      <c r="E2485" s="5" t="s">
        <v>12</v>
      </c>
      <c r="F2485" s="3" t="s">
        <v>13</v>
      </c>
      <c r="G2485" s="3" t="s">
        <v>13</v>
      </c>
      <c r="H2485" s="3" t="s">
        <v>13</v>
      </c>
      <c r="I2485" s="3">
        <v>12918400</v>
      </c>
    </row>
    <row r="2486" spans="1:9" x14ac:dyDescent="0.35">
      <c r="A2486" t="str">
        <f>"50171"</f>
        <v>50171</v>
      </c>
      <c r="B2486" t="s">
        <v>33</v>
      </c>
      <c r="C2486" t="s">
        <v>1005</v>
      </c>
      <c r="D2486" s="5" t="str">
        <f>"004"</f>
        <v>004</v>
      </c>
      <c r="E2486" s="5">
        <v>2025</v>
      </c>
      <c r="F2486" s="3">
        <v>1681400</v>
      </c>
      <c r="G2486" s="3">
        <v>1711600</v>
      </c>
      <c r="H2486" s="3">
        <v>30200</v>
      </c>
    </row>
    <row r="2487" spans="1:9" x14ac:dyDescent="0.35">
      <c r="A2487" t="str">
        <f>"50171"</f>
        <v>50171</v>
      </c>
      <c r="B2487" t="s">
        <v>33</v>
      </c>
      <c r="C2487" t="s">
        <v>1005</v>
      </c>
      <c r="D2487" s="5" t="s">
        <v>11</v>
      </c>
      <c r="E2487" s="5" t="s">
        <v>12</v>
      </c>
      <c r="F2487" s="3" t="s">
        <v>13</v>
      </c>
      <c r="G2487" s="3" t="s">
        <v>13</v>
      </c>
      <c r="H2487" s="3" t="s">
        <v>13</v>
      </c>
      <c r="I2487" s="3">
        <v>51411400</v>
      </c>
    </row>
    <row r="2488" spans="1:9" x14ac:dyDescent="0.35">
      <c r="A2488" t="s">
        <v>30</v>
      </c>
      <c r="B2488" t="s">
        <v>35</v>
      </c>
      <c r="C2488" t="s">
        <v>32</v>
      </c>
      <c r="D2488" s="5" t="s">
        <v>11</v>
      </c>
      <c r="E2488" s="5" t="s">
        <v>12</v>
      </c>
      <c r="F2488" s="3" t="s">
        <v>13</v>
      </c>
      <c r="G2488" s="3" t="s">
        <v>13</v>
      </c>
      <c r="H2488" s="3" t="s">
        <v>13</v>
      </c>
      <c r="I2488" s="3">
        <v>76026400</v>
      </c>
    </row>
    <row r="2489" spans="1:9" x14ac:dyDescent="0.35">
      <c r="A2489" t="str">
        <f>"50271"</f>
        <v>50271</v>
      </c>
      <c r="B2489" t="s">
        <v>36</v>
      </c>
      <c r="C2489" t="s">
        <v>1008</v>
      </c>
      <c r="D2489" s="5" t="str">
        <f>"005"</f>
        <v>005</v>
      </c>
      <c r="E2489" s="5">
        <v>2019</v>
      </c>
      <c r="F2489" s="3">
        <v>14774000</v>
      </c>
      <c r="G2489" s="3">
        <v>26234300</v>
      </c>
      <c r="H2489" s="3">
        <v>11460300</v>
      </c>
    </row>
    <row r="2490" spans="1:9" x14ac:dyDescent="0.35">
      <c r="A2490" t="str">
        <f>"50271"</f>
        <v>50271</v>
      </c>
      <c r="B2490" t="s">
        <v>36</v>
      </c>
      <c r="C2490" t="s">
        <v>1008</v>
      </c>
      <c r="D2490" s="5" t="str">
        <f>"006"</f>
        <v>006</v>
      </c>
      <c r="E2490" s="5">
        <v>2023</v>
      </c>
      <c r="F2490" s="3">
        <v>5324300</v>
      </c>
      <c r="G2490" s="3">
        <v>3254500</v>
      </c>
      <c r="H2490" s="3">
        <v>0</v>
      </c>
    </row>
    <row r="2491" spans="1:9" x14ac:dyDescent="0.35">
      <c r="A2491" t="str">
        <f>"50271"</f>
        <v>50271</v>
      </c>
      <c r="B2491" t="s">
        <v>36</v>
      </c>
      <c r="C2491" t="s">
        <v>1008</v>
      </c>
      <c r="D2491" s="5" t="s">
        <v>11</v>
      </c>
      <c r="E2491" s="5" t="s">
        <v>12</v>
      </c>
      <c r="F2491" s="3" t="s">
        <v>13</v>
      </c>
      <c r="G2491" s="3" t="s">
        <v>13</v>
      </c>
      <c r="H2491" s="3" t="s">
        <v>13</v>
      </c>
      <c r="I2491" s="3">
        <v>188258500</v>
      </c>
    </row>
    <row r="2492" spans="1:9" x14ac:dyDescent="0.35">
      <c r="A2492" t="str">
        <f>"50272"</f>
        <v>50272</v>
      </c>
      <c r="B2492" t="s">
        <v>36</v>
      </c>
      <c r="C2492" t="s">
        <v>1009</v>
      </c>
      <c r="D2492" s="5" t="str">
        <f>"003"</f>
        <v>003</v>
      </c>
      <c r="E2492" s="5">
        <v>1995</v>
      </c>
      <c r="F2492" s="3">
        <v>2081100</v>
      </c>
      <c r="G2492" s="3">
        <v>6375600</v>
      </c>
      <c r="H2492" s="3">
        <v>4294500</v>
      </c>
    </row>
    <row r="2493" spans="1:9" x14ac:dyDescent="0.35">
      <c r="A2493" t="str">
        <f>"50272"</f>
        <v>50272</v>
      </c>
      <c r="B2493" t="s">
        <v>36</v>
      </c>
      <c r="C2493" t="s">
        <v>1009</v>
      </c>
      <c r="D2493" s="5" t="str">
        <f>"004"</f>
        <v>004</v>
      </c>
      <c r="E2493" s="5">
        <v>1995</v>
      </c>
      <c r="F2493" s="3">
        <v>748500</v>
      </c>
      <c r="G2493" s="3">
        <v>23543800</v>
      </c>
      <c r="H2493" s="3">
        <v>22795300</v>
      </c>
    </row>
    <row r="2494" spans="1:9" x14ac:dyDescent="0.35">
      <c r="A2494" t="str">
        <f>"50272"</f>
        <v>50272</v>
      </c>
      <c r="B2494" t="s">
        <v>36</v>
      </c>
      <c r="C2494" t="s">
        <v>1009</v>
      </c>
      <c r="D2494" s="5" t="s">
        <v>11</v>
      </c>
      <c r="E2494" s="5" t="s">
        <v>12</v>
      </c>
      <c r="F2494" s="3" t="s">
        <v>13</v>
      </c>
      <c r="G2494" s="3" t="s">
        <v>13</v>
      </c>
      <c r="H2494" s="3" t="s">
        <v>13</v>
      </c>
      <c r="I2494" s="3">
        <v>133502200</v>
      </c>
    </row>
    <row r="2495" spans="1:9" x14ac:dyDescent="0.35">
      <c r="A2495" t="s">
        <v>30</v>
      </c>
      <c r="B2495" t="s">
        <v>38</v>
      </c>
      <c r="C2495" t="s">
        <v>32</v>
      </c>
      <c r="D2495" s="5" t="s">
        <v>11</v>
      </c>
      <c r="E2495" s="5" t="s">
        <v>12</v>
      </c>
      <c r="F2495" s="3" t="s">
        <v>13</v>
      </c>
      <c r="G2495" s="3" t="s">
        <v>13</v>
      </c>
      <c r="H2495" s="3" t="s">
        <v>13</v>
      </c>
      <c r="I2495" s="3">
        <v>321760700</v>
      </c>
    </row>
    <row r="2496" spans="1:9" x14ac:dyDescent="0.35">
      <c r="A2496" t="s">
        <v>30</v>
      </c>
      <c r="B2496" t="s">
        <v>39</v>
      </c>
      <c r="C2496" t="s">
        <v>700</v>
      </c>
      <c r="D2496" s="5" t="s">
        <v>11</v>
      </c>
      <c r="E2496" s="5" t="s">
        <v>12</v>
      </c>
      <c r="F2496" s="3" t="s">
        <v>13</v>
      </c>
      <c r="G2496" s="3" t="s">
        <v>13</v>
      </c>
      <c r="H2496" s="3" t="s">
        <v>13</v>
      </c>
      <c r="I2496" s="3">
        <v>2632606200</v>
      </c>
    </row>
    <row r="2497" spans="1:9" x14ac:dyDescent="0.35">
      <c r="A2497" t="str">
        <f>"51002"</f>
        <v>51002</v>
      </c>
      <c r="B2497" t="s">
        <v>9</v>
      </c>
      <c r="C2497" t="s">
        <v>1010</v>
      </c>
      <c r="D2497" s="5" t="s">
        <v>11</v>
      </c>
      <c r="E2497" s="5" t="s">
        <v>12</v>
      </c>
      <c r="F2497" s="3" t="s">
        <v>13</v>
      </c>
      <c r="G2497" s="3" t="s">
        <v>13</v>
      </c>
      <c r="H2497" s="3" t="s">
        <v>13</v>
      </c>
      <c r="I2497" s="3">
        <v>1432518500</v>
      </c>
    </row>
    <row r="2498" spans="1:9" x14ac:dyDescent="0.35">
      <c r="A2498" t="str">
        <f>"51006"</f>
        <v>51006</v>
      </c>
      <c r="B2498" t="s">
        <v>9</v>
      </c>
      <c r="C2498" t="s">
        <v>136</v>
      </c>
      <c r="D2498" s="5" t="s">
        <v>11</v>
      </c>
      <c r="E2498" s="5" t="s">
        <v>12</v>
      </c>
      <c r="F2498" s="3" t="s">
        <v>13</v>
      </c>
      <c r="G2498" s="3" t="s">
        <v>13</v>
      </c>
      <c r="H2498" s="3" t="s">
        <v>13</v>
      </c>
      <c r="I2498" s="3">
        <v>786246600</v>
      </c>
    </row>
    <row r="2499" spans="1:9" x14ac:dyDescent="0.35">
      <c r="A2499" t="str">
        <f>"51010"</f>
        <v>51010</v>
      </c>
      <c r="B2499" t="s">
        <v>9</v>
      </c>
      <c r="C2499" t="s">
        <v>1011</v>
      </c>
      <c r="D2499" s="5" t="s">
        <v>11</v>
      </c>
      <c r="E2499" s="5" t="s">
        <v>12</v>
      </c>
      <c r="F2499" s="3" t="s">
        <v>13</v>
      </c>
      <c r="G2499" s="3" t="s">
        <v>13</v>
      </c>
      <c r="H2499" s="3" t="s">
        <v>13</v>
      </c>
      <c r="I2499" s="3">
        <v>1751619700</v>
      </c>
    </row>
    <row r="2500" spans="1:9" x14ac:dyDescent="0.35">
      <c r="A2500" t="str">
        <f>"51016"</f>
        <v>51016</v>
      </c>
      <c r="B2500" t="s">
        <v>9</v>
      </c>
      <c r="C2500" t="s">
        <v>1012</v>
      </c>
      <c r="D2500" s="5" t="s">
        <v>11</v>
      </c>
      <c r="E2500" s="5" t="s">
        <v>12</v>
      </c>
      <c r="F2500" s="3" t="s">
        <v>13</v>
      </c>
      <c r="G2500" s="3" t="s">
        <v>13</v>
      </c>
      <c r="H2500" s="3" t="s">
        <v>13</v>
      </c>
      <c r="I2500" s="3">
        <v>1233776400</v>
      </c>
    </row>
    <row r="2501" spans="1:9" x14ac:dyDescent="0.35">
      <c r="A2501" t="s">
        <v>30</v>
      </c>
      <c r="B2501" t="s">
        <v>31</v>
      </c>
      <c r="C2501" t="s">
        <v>32</v>
      </c>
      <c r="D2501" s="5" t="s">
        <v>11</v>
      </c>
      <c r="E2501" s="5" t="s">
        <v>12</v>
      </c>
      <c r="F2501" s="3" t="s">
        <v>13</v>
      </c>
      <c r="G2501" s="3" t="s">
        <v>13</v>
      </c>
      <c r="H2501" s="3" t="s">
        <v>13</v>
      </c>
      <c r="I2501" s="3">
        <v>5204161200</v>
      </c>
    </row>
    <row r="2502" spans="1:9" x14ac:dyDescent="0.35">
      <c r="A2502" t="str">
        <f t="shared" ref="A2502:A2507" si="60">"51104"</f>
        <v>51104</v>
      </c>
      <c r="B2502" t="s">
        <v>33</v>
      </c>
      <c r="C2502" t="s">
        <v>253</v>
      </c>
      <c r="D2502" s="5" t="str">
        <f>"001"</f>
        <v>001</v>
      </c>
      <c r="E2502" s="5">
        <v>2007</v>
      </c>
      <c r="F2502" s="3">
        <v>1831800</v>
      </c>
      <c r="G2502" s="3">
        <v>8280700</v>
      </c>
      <c r="H2502" s="3">
        <v>6448900</v>
      </c>
    </row>
    <row r="2503" spans="1:9" x14ac:dyDescent="0.35">
      <c r="A2503" t="str">
        <f t="shared" si="60"/>
        <v>51104</v>
      </c>
      <c r="B2503" t="s">
        <v>33</v>
      </c>
      <c r="C2503" t="s">
        <v>253</v>
      </c>
      <c r="D2503" s="5" t="str">
        <f>"003"</f>
        <v>003</v>
      </c>
      <c r="E2503" s="5">
        <v>2011</v>
      </c>
      <c r="F2503" s="3">
        <v>26435700</v>
      </c>
      <c r="G2503" s="3">
        <v>62075500</v>
      </c>
      <c r="H2503" s="3">
        <v>35639800</v>
      </c>
    </row>
    <row r="2504" spans="1:9" x14ac:dyDescent="0.35">
      <c r="A2504" t="str">
        <f t="shared" si="60"/>
        <v>51104</v>
      </c>
      <c r="B2504" t="s">
        <v>33</v>
      </c>
      <c r="C2504" t="s">
        <v>253</v>
      </c>
      <c r="D2504" s="5" t="str">
        <f>"004"</f>
        <v>004</v>
      </c>
      <c r="E2504" s="5">
        <v>2014</v>
      </c>
      <c r="F2504" s="3">
        <v>14769700</v>
      </c>
      <c r="G2504" s="3">
        <v>204786900</v>
      </c>
      <c r="H2504" s="3">
        <v>190017200</v>
      </c>
    </row>
    <row r="2505" spans="1:9" x14ac:dyDescent="0.35">
      <c r="A2505" t="str">
        <f t="shared" si="60"/>
        <v>51104</v>
      </c>
      <c r="B2505" t="s">
        <v>33</v>
      </c>
      <c r="C2505" t="s">
        <v>253</v>
      </c>
      <c r="D2505" s="5" t="str">
        <f>"005"</f>
        <v>005</v>
      </c>
      <c r="E2505" s="5">
        <v>2019</v>
      </c>
      <c r="F2505" s="3">
        <v>617200</v>
      </c>
      <c r="G2505" s="3">
        <v>9015800</v>
      </c>
      <c r="H2505" s="3">
        <v>8398600</v>
      </c>
    </row>
    <row r="2506" spans="1:9" x14ac:dyDescent="0.35">
      <c r="A2506" t="str">
        <f t="shared" si="60"/>
        <v>51104</v>
      </c>
      <c r="B2506" t="s">
        <v>33</v>
      </c>
      <c r="C2506" t="s">
        <v>253</v>
      </c>
      <c r="D2506" s="5" t="str">
        <f>"006"</f>
        <v>006</v>
      </c>
      <c r="E2506" s="5">
        <v>2024</v>
      </c>
      <c r="F2506" s="3">
        <v>39201500</v>
      </c>
      <c r="G2506" s="3">
        <v>40633500</v>
      </c>
      <c r="H2506" s="3">
        <v>1432000</v>
      </c>
    </row>
    <row r="2507" spans="1:9" x14ac:dyDescent="0.35">
      <c r="A2507" t="str">
        <f t="shared" si="60"/>
        <v>51104</v>
      </c>
      <c r="B2507" t="s">
        <v>33</v>
      </c>
      <c r="C2507" t="s">
        <v>253</v>
      </c>
      <c r="D2507" s="5" t="s">
        <v>11</v>
      </c>
      <c r="E2507" s="5" t="s">
        <v>12</v>
      </c>
      <c r="F2507" s="3" t="s">
        <v>13</v>
      </c>
      <c r="G2507" s="3" t="s">
        <v>13</v>
      </c>
      <c r="H2507" s="3" t="s">
        <v>13</v>
      </c>
      <c r="I2507" s="3">
        <v>3979586700</v>
      </c>
    </row>
    <row r="2508" spans="1:9" x14ac:dyDescent="0.35">
      <c r="A2508" t="str">
        <f>"51121"</f>
        <v>51121</v>
      </c>
      <c r="B2508" t="s">
        <v>33</v>
      </c>
      <c r="C2508" t="s">
        <v>1013</v>
      </c>
      <c r="D2508" s="5" t="s">
        <v>11</v>
      </c>
      <c r="E2508" s="5" t="s">
        <v>12</v>
      </c>
      <c r="F2508" s="3" t="s">
        <v>13</v>
      </c>
      <c r="G2508" s="3" t="s">
        <v>13</v>
      </c>
      <c r="H2508" s="3" t="s">
        <v>13</v>
      </c>
      <c r="I2508" s="3">
        <v>70796300</v>
      </c>
    </row>
    <row r="2509" spans="1:9" x14ac:dyDescent="0.35">
      <c r="A2509" t="str">
        <f t="shared" ref="A2509:A2516" si="61">"51151"</f>
        <v>51151</v>
      </c>
      <c r="B2509" t="s">
        <v>33</v>
      </c>
      <c r="C2509" t="s">
        <v>538</v>
      </c>
      <c r="D2509" s="5" t="str">
        <f>"001"</f>
        <v>001</v>
      </c>
      <c r="E2509" s="5">
        <v>2006</v>
      </c>
      <c r="F2509" s="3">
        <v>4301900</v>
      </c>
      <c r="G2509" s="3">
        <v>167147600</v>
      </c>
      <c r="H2509" s="3">
        <v>162845700</v>
      </c>
    </row>
    <row r="2510" spans="1:9" x14ac:dyDescent="0.35">
      <c r="A2510" t="str">
        <f t="shared" si="61"/>
        <v>51151</v>
      </c>
      <c r="B2510" t="s">
        <v>33</v>
      </c>
      <c r="C2510" t="s">
        <v>538</v>
      </c>
      <c r="D2510" s="5" t="str">
        <f>"002"</f>
        <v>002</v>
      </c>
      <c r="E2510" s="5">
        <v>2007</v>
      </c>
      <c r="F2510" s="3">
        <v>92084700</v>
      </c>
      <c r="G2510" s="3">
        <v>291066700</v>
      </c>
      <c r="H2510" s="3">
        <v>198982000</v>
      </c>
    </row>
    <row r="2511" spans="1:9" x14ac:dyDescent="0.35">
      <c r="A2511" t="str">
        <f t="shared" si="61"/>
        <v>51151</v>
      </c>
      <c r="B2511" t="s">
        <v>33</v>
      </c>
      <c r="C2511" t="s">
        <v>538</v>
      </c>
      <c r="D2511" s="5" t="str">
        <f>"003"</f>
        <v>003</v>
      </c>
      <c r="E2511" s="5">
        <v>2014</v>
      </c>
      <c r="F2511" s="3">
        <v>4136200</v>
      </c>
      <c r="G2511" s="3">
        <v>62234200</v>
      </c>
      <c r="H2511" s="3">
        <v>58098000</v>
      </c>
    </row>
    <row r="2512" spans="1:9" x14ac:dyDescent="0.35">
      <c r="A2512" t="str">
        <f t="shared" si="61"/>
        <v>51151</v>
      </c>
      <c r="B2512" t="s">
        <v>33</v>
      </c>
      <c r="C2512" t="s">
        <v>538</v>
      </c>
      <c r="D2512" s="5" t="str">
        <f>"004"</f>
        <v>004</v>
      </c>
      <c r="E2512" s="5">
        <v>2015</v>
      </c>
      <c r="F2512" s="3">
        <v>3587700</v>
      </c>
      <c r="G2512" s="3">
        <v>88015500</v>
      </c>
      <c r="H2512" s="3">
        <v>84427800</v>
      </c>
    </row>
    <row r="2513" spans="1:9" x14ac:dyDescent="0.35">
      <c r="A2513" t="str">
        <f t="shared" si="61"/>
        <v>51151</v>
      </c>
      <c r="B2513" t="s">
        <v>33</v>
      </c>
      <c r="C2513" t="s">
        <v>538</v>
      </c>
      <c r="D2513" s="5" t="str">
        <f>"005"</f>
        <v>005</v>
      </c>
      <c r="E2513" s="5">
        <v>2018</v>
      </c>
      <c r="F2513" s="3">
        <v>30231500</v>
      </c>
      <c r="G2513" s="3">
        <v>3221923000</v>
      </c>
      <c r="H2513" s="3">
        <v>3191691500</v>
      </c>
    </row>
    <row r="2514" spans="1:9" x14ac:dyDescent="0.35">
      <c r="A2514" t="str">
        <f t="shared" si="61"/>
        <v>51151</v>
      </c>
      <c r="B2514" t="s">
        <v>33</v>
      </c>
      <c r="C2514" t="s">
        <v>538</v>
      </c>
      <c r="D2514" s="5" t="str">
        <f>"006"</f>
        <v>006</v>
      </c>
      <c r="E2514" s="5">
        <v>2021</v>
      </c>
      <c r="F2514" s="3">
        <v>113500</v>
      </c>
      <c r="G2514" s="3">
        <v>101183200</v>
      </c>
      <c r="H2514" s="3">
        <v>101069700</v>
      </c>
    </row>
    <row r="2515" spans="1:9" x14ac:dyDescent="0.35">
      <c r="A2515" t="str">
        <f t="shared" si="61"/>
        <v>51151</v>
      </c>
      <c r="B2515" t="s">
        <v>33</v>
      </c>
      <c r="C2515" t="s">
        <v>538</v>
      </c>
      <c r="D2515" s="5" t="str">
        <f>"007"</f>
        <v>007</v>
      </c>
      <c r="E2515" s="5">
        <v>2023</v>
      </c>
      <c r="F2515" s="3">
        <v>63962700</v>
      </c>
      <c r="G2515" s="3">
        <v>122103000</v>
      </c>
      <c r="H2515" s="3">
        <v>58140300</v>
      </c>
    </row>
    <row r="2516" spans="1:9" x14ac:dyDescent="0.35">
      <c r="A2516" t="str">
        <f t="shared" si="61"/>
        <v>51151</v>
      </c>
      <c r="B2516" t="s">
        <v>33</v>
      </c>
      <c r="C2516" t="s">
        <v>538</v>
      </c>
      <c r="D2516" s="5" t="s">
        <v>11</v>
      </c>
      <c r="E2516" s="5" t="s">
        <v>12</v>
      </c>
      <c r="F2516" s="3" t="s">
        <v>13</v>
      </c>
      <c r="G2516" s="3" t="s">
        <v>13</v>
      </c>
      <c r="H2516" s="3" t="s">
        <v>13</v>
      </c>
      <c r="I2516" s="3">
        <v>4668416200</v>
      </c>
    </row>
    <row r="2517" spans="1:9" x14ac:dyDescent="0.35">
      <c r="A2517" t="str">
        <f>"51161"</f>
        <v>51161</v>
      </c>
      <c r="B2517" t="s">
        <v>33</v>
      </c>
      <c r="C2517" t="s">
        <v>1014</v>
      </c>
      <c r="D2517" s="5" t="s">
        <v>11</v>
      </c>
      <c r="E2517" s="5" t="s">
        <v>12</v>
      </c>
      <c r="F2517" s="3" t="s">
        <v>13</v>
      </c>
      <c r="G2517" s="3" t="s">
        <v>13</v>
      </c>
      <c r="H2517" s="3" t="s">
        <v>13</v>
      </c>
      <c r="I2517" s="3">
        <v>56597300</v>
      </c>
    </row>
    <row r="2518" spans="1:9" x14ac:dyDescent="0.35">
      <c r="A2518" t="str">
        <f>"51168"</f>
        <v>51168</v>
      </c>
      <c r="B2518" t="s">
        <v>33</v>
      </c>
      <c r="C2518" t="s">
        <v>1015</v>
      </c>
      <c r="D2518" s="5" t="s">
        <v>11</v>
      </c>
      <c r="E2518" s="5" t="s">
        <v>12</v>
      </c>
      <c r="F2518" s="3" t="s">
        <v>13</v>
      </c>
      <c r="G2518" s="3" t="s">
        <v>13</v>
      </c>
      <c r="H2518" s="3" t="s">
        <v>13</v>
      </c>
      <c r="I2518" s="3">
        <v>936403400</v>
      </c>
    </row>
    <row r="2519" spans="1:9" x14ac:dyDescent="0.35">
      <c r="A2519" t="str">
        <f>"51176"</f>
        <v>51176</v>
      </c>
      <c r="B2519" t="s">
        <v>33</v>
      </c>
      <c r="C2519" t="s">
        <v>1016</v>
      </c>
      <c r="D2519" s="5" t="s">
        <v>11</v>
      </c>
      <c r="E2519" s="5" t="s">
        <v>12</v>
      </c>
      <c r="F2519" s="3" t="s">
        <v>13</v>
      </c>
      <c r="G2519" s="3" t="s">
        <v>13</v>
      </c>
      <c r="H2519" s="3" t="s">
        <v>13</v>
      </c>
      <c r="I2519" s="3">
        <v>698417100</v>
      </c>
    </row>
    <row r="2520" spans="1:9" x14ac:dyDescent="0.35">
      <c r="A2520" t="str">
        <f>"51181"</f>
        <v>51181</v>
      </c>
      <c r="B2520" t="s">
        <v>33</v>
      </c>
      <c r="C2520" t="s">
        <v>1017</v>
      </c>
      <c r="D2520" s="5" t="str">
        <f>"004"</f>
        <v>004</v>
      </c>
      <c r="E2520" s="5">
        <v>2016</v>
      </c>
      <c r="F2520" s="3">
        <v>55323600</v>
      </c>
      <c r="G2520" s="3">
        <v>290810300</v>
      </c>
      <c r="H2520" s="3">
        <v>235486700</v>
      </c>
    </row>
    <row r="2521" spans="1:9" x14ac:dyDescent="0.35">
      <c r="A2521" t="str">
        <f>"51181"</f>
        <v>51181</v>
      </c>
      <c r="B2521" t="s">
        <v>33</v>
      </c>
      <c r="C2521" t="s">
        <v>1017</v>
      </c>
      <c r="D2521" s="5" t="s">
        <v>11</v>
      </c>
      <c r="E2521" s="5" t="s">
        <v>12</v>
      </c>
      <c r="F2521" s="3" t="s">
        <v>13</v>
      </c>
      <c r="G2521" s="3" t="s">
        <v>13</v>
      </c>
      <c r="H2521" s="3" t="s">
        <v>13</v>
      </c>
      <c r="I2521" s="3">
        <v>955920000</v>
      </c>
    </row>
    <row r="2522" spans="1:9" x14ac:dyDescent="0.35">
      <c r="A2522" t="str">
        <f>"51186"</f>
        <v>51186</v>
      </c>
      <c r="B2522" t="s">
        <v>33</v>
      </c>
      <c r="C2522" t="s">
        <v>1018</v>
      </c>
      <c r="D2522" s="5" t="str">
        <f>"004"</f>
        <v>004</v>
      </c>
      <c r="E2522" s="5">
        <v>2006</v>
      </c>
      <c r="F2522" s="3">
        <v>31932700</v>
      </c>
      <c r="G2522" s="3">
        <v>57481700</v>
      </c>
      <c r="H2522" s="3">
        <v>25549000</v>
      </c>
    </row>
    <row r="2523" spans="1:9" x14ac:dyDescent="0.35">
      <c r="A2523" t="str">
        <f>"51186"</f>
        <v>51186</v>
      </c>
      <c r="B2523" t="s">
        <v>33</v>
      </c>
      <c r="C2523" t="s">
        <v>1018</v>
      </c>
      <c r="D2523" s="5" t="str">
        <f>"005"</f>
        <v>005</v>
      </c>
      <c r="E2523" s="5">
        <v>2016</v>
      </c>
      <c r="F2523" s="3">
        <v>464700</v>
      </c>
      <c r="G2523" s="3">
        <v>17952900</v>
      </c>
      <c r="H2523" s="3">
        <v>17488200</v>
      </c>
    </row>
    <row r="2524" spans="1:9" x14ac:dyDescent="0.35">
      <c r="A2524" t="str">
        <f>"51186"</f>
        <v>51186</v>
      </c>
      <c r="B2524" t="s">
        <v>33</v>
      </c>
      <c r="C2524" t="s">
        <v>1018</v>
      </c>
      <c r="D2524" s="5" t="str">
        <f>"006"</f>
        <v>006</v>
      </c>
      <c r="E2524" s="5">
        <v>2019</v>
      </c>
      <c r="F2524" s="3">
        <v>13935400</v>
      </c>
      <c r="G2524" s="3">
        <v>76926500</v>
      </c>
      <c r="H2524" s="3">
        <v>62991100</v>
      </c>
    </row>
    <row r="2525" spans="1:9" x14ac:dyDescent="0.35">
      <c r="A2525" t="str">
        <f>"51186"</f>
        <v>51186</v>
      </c>
      <c r="B2525" t="s">
        <v>33</v>
      </c>
      <c r="C2525" t="s">
        <v>1018</v>
      </c>
      <c r="D2525" s="5" t="str">
        <f>"007"</f>
        <v>007</v>
      </c>
      <c r="E2525" s="5">
        <v>2021</v>
      </c>
      <c r="F2525" s="3">
        <v>36328100</v>
      </c>
      <c r="G2525" s="3">
        <v>123628800</v>
      </c>
      <c r="H2525" s="3">
        <v>87300700</v>
      </c>
    </row>
    <row r="2526" spans="1:9" x14ac:dyDescent="0.35">
      <c r="A2526" t="str">
        <f>"51186"</f>
        <v>51186</v>
      </c>
      <c r="B2526" t="s">
        <v>33</v>
      </c>
      <c r="C2526" t="s">
        <v>1018</v>
      </c>
      <c r="D2526" s="5" t="s">
        <v>11</v>
      </c>
      <c r="E2526" s="5" t="s">
        <v>12</v>
      </c>
      <c r="F2526" s="3" t="s">
        <v>13</v>
      </c>
      <c r="G2526" s="3" t="s">
        <v>13</v>
      </c>
      <c r="H2526" s="3" t="s">
        <v>13</v>
      </c>
      <c r="I2526" s="3">
        <v>526745700</v>
      </c>
    </row>
    <row r="2527" spans="1:9" x14ac:dyDescent="0.35">
      <c r="A2527" t="str">
        <f>"51191"</f>
        <v>51191</v>
      </c>
      <c r="B2527" t="s">
        <v>33</v>
      </c>
      <c r="C2527" t="s">
        <v>1012</v>
      </c>
      <c r="D2527" s="5" t="str">
        <f>"003"</f>
        <v>003</v>
      </c>
      <c r="E2527" s="5">
        <v>2019</v>
      </c>
      <c r="F2527" s="3">
        <v>11118700</v>
      </c>
      <c r="G2527" s="3">
        <v>120529500</v>
      </c>
      <c r="H2527" s="3">
        <v>109410800</v>
      </c>
    </row>
    <row r="2528" spans="1:9" x14ac:dyDescent="0.35">
      <c r="A2528" t="str">
        <f>"51191"</f>
        <v>51191</v>
      </c>
      <c r="B2528" t="s">
        <v>33</v>
      </c>
      <c r="C2528" t="s">
        <v>1012</v>
      </c>
      <c r="D2528" s="5" t="str">
        <f>"004"</f>
        <v>004</v>
      </c>
      <c r="E2528" s="5">
        <v>2020</v>
      </c>
      <c r="F2528" s="3">
        <v>8364200</v>
      </c>
      <c r="G2528" s="3">
        <v>18359400</v>
      </c>
      <c r="H2528" s="3">
        <v>9995200</v>
      </c>
    </row>
    <row r="2529" spans="1:9" x14ac:dyDescent="0.35">
      <c r="A2529" t="str">
        <f>"51191"</f>
        <v>51191</v>
      </c>
      <c r="B2529" t="s">
        <v>33</v>
      </c>
      <c r="C2529" t="s">
        <v>1012</v>
      </c>
      <c r="D2529" s="5" t="s">
        <v>11</v>
      </c>
      <c r="E2529" s="5" t="s">
        <v>12</v>
      </c>
      <c r="F2529" s="3" t="s">
        <v>13</v>
      </c>
      <c r="G2529" s="3" t="s">
        <v>13</v>
      </c>
      <c r="H2529" s="3" t="s">
        <v>13</v>
      </c>
      <c r="I2529" s="3">
        <v>837688300</v>
      </c>
    </row>
    <row r="2530" spans="1:9" x14ac:dyDescent="0.35">
      <c r="A2530" t="str">
        <f>"51192"</f>
        <v>51192</v>
      </c>
      <c r="B2530" t="s">
        <v>33</v>
      </c>
      <c r="C2530" t="s">
        <v>1019</v>
      </c>
      <c r="D2530" s="5" t="s">
        <v>11</v>
      </c>
      <c r="E2530" s="5" t="s">
        <v>12</v>
      </c>
      <c r="F2530" s="3" t="s">
        <v>13</v>
      </c>
      <c r="G2530" s="3" t="s">
        <v>13</v>
      </c>
      <c r="H2530" s="3" t="s">
        <v>13</v>
      </c>
      <c r="I2530" s="3">
        <v>419935900</v>
      </c>
    </row>
    <row r="2531" spans="1:9" x14ac:dyDescent="0.35">
      <c r="A2531" t="str">
        <f>"51194"</f>
        <v>51194</v>
      </c>
      <c r="B2531" t="s">
        <v>33</v>
      </c>
      <c r="C2531" t="s">
        <v>1020</v>
      </c>
      <c r="D2531" s="5" t="str">
        <f>"001"</f>
        <v>001</v>
      </c>
      <c r="E2531" s="5">
        <v>2019</v>
      </c>
      <c r="F2531" s="3">
        <v>6053400</v>
      </c>
      <c r="G2531" s="3">
        <v>70940800</v>
      </c>
      <c r="H2531" s="3">
        <v>64887400</v>
      </c>
    </row>
    <row r="2532" spans="1:9" x14ac:dyDescent="0.35">
      <c r="A2532" t="str">
        <f>"51194"</f>
        <v>51194</v>
      </c>
      <c r="B2532" t="s">
        <v>33</v>
      </c>
      <c r="C2532" t="s">
        <v>1020</v>
      </c>
      <c r="D2532" s="5" t="s">
        <v>11</v>
      </c>
      <c r="E2532" s="5" t="s">
        <v>12</v>
      </c>
      <c r="F2532" s="3" t="s">
        <v>13</v>
      </c>
      <c r="G2532" s="3" t="s">
        <v>13</v>
      </c>
      <c r="H2532" s="3" t="s">
        <v>13</v>
      </c>
      <c r="I2532" s="3">
        <v>1040801700</v>
      </c>
    </row>
    <row r="2533" spans="1:9" x14ac:dyDescent="0.35">
      <c r="A2533" t="s">
        <v>30</v>
      </c>
      <c r="B2533" t="s">
        <v>35</v>
      </c>
      <c r="C2533" t="s">
        <v>32</v>
      </c>
      <c r="D2533" s="5" t="s">
        <v>11</v>
      </c>
      <c r="E2533" s="5" t="s">
        <v>12</v>
      </c>
      <c r="F2533" s="3" t="s">
        <v>13</v>
      </c>
      <c r="G2533" s="3" t="s">
        <v>13</v>
      </c>
      <c r="H2533" s="3" t="s">
        <v>13</v>
      </c>
      <c r="I2533" s="3">
        <v>14191308600</v>
      </c>
    </row>
    <row r="2534" spans="1:9" x14ac:dyDescent="0.35">
      <c r="A2534" t="str">
        <f>"51206"</f>
        <v>51206</v>
      </c>
      <c r="B2534" t="s">
        <v>36</v>
      </c>
      <c r="C2534" t="s">
        <v>1010</v>
      </c>
      <c r="D2534" s="5" t="str">
        <f>"006"</f>
        <v>006</v>
      </c>
      <c r="E2534" s="5">
        <v>2023</v>
      </c>
      <c r="F2534" s="3">
        <v>41713800</v>
      </c>
      <c r="G2534" s="3">
        <v>65141200</v>
      </c>
      <c r="H2534" s="3">
        <v>23427400</v>
      </c>
    </row>
    <row r="2535" spans="1:9" x14ac:dyDescent="0.35">
      <c r="A2535" t="str">
        <f>"51206"</f>
        <v>51206</v>
      </c>
      <c r="B2535" t="s">
        <v>36</v>
      </c>
      <c r="C2535" t="s">
        <v>1010</v>
      </c>
      <c r="D2535" s="5" t="s">
        <v>11</v>
      </c>
      <c r="E2535" s="5" t="s">
        <v>12</v>
      </c>
      <c r="F2535" s="3" t="s">
        <v>13</v>
      </c>
      <c r="G2535" s="3" t="s">
        <v>13</v>
      </c>
      <c r="H2535" s="3" t="s">
        <v>13</v>
      </c>
      <c r="I2535" s="3">
        <v>1638884600</v>
      </c>
    </row>
    <row r="2536" spans="1:9" x14ac:dyDescent="0.35">
      <c r="A2536" t="str">
        <f t="shared" ref="A2536:A2557" si="62">"51276"</f>
        <v>51276</v>
      </c>
      <c r="B2536" t="s">
        <v>36</v>
      </c>
      <c r="C2536" t="s">
        <v>1021</v>
      </c>
      <c r="D2536" s="5" t="str">
        <f>"009"</f>
        <v>009</v>
      </c>
      <c r="E2536" s="5">
        <v>2000</v>
      </c>
      <c r="F2536" s="3">
        <v>607100</v>
      </c>
      <c r="G2536" s="3">
        <v>29222400</v>
      </c>
      <c r="H2536" s="3">
        <v>28615300</v>
      </c>
    </row>
    <row r="2537" spans="1:9" x14ac:dyDescent="0.35">
      <c r="A2537" t="str">
        <f t="shared" si="62"/>
        <v>51276</v>
      </c>
      <c r="B2537" t="s">
        <v>36</v>
      </c>
      <c r="C2537" t="s">
        <v>1021</v>
      </c>
      <c r="D2537" s="5" t="str">
        <f>"010"</f>
        <v>010</v>
      </c>
      <c r="E2537" s="5">
        <v>2003</v>
      </c>
      <c r="F2537" s="3">
        <v>1180400</v>
      </c>
      <c r="G2537" s="3">
        <v>1571500</v>
      </c>
      <c r="H2537" s="3">
        <v>391100</v>
      </c>
    </row>
    <row r="2538" spans="1:9" x14ac:dyDescent="0.35">
      <c r="A2538" t="str">
        <f t="shared" si="62"/>
        <v>51276</v>
      </c>
      <c r="B2538" t="s">
        <v>36</v>
      </c>
      <c r="C2538" t="s">
        <v>1021</v>
      </c>
      <c r="D2538" s="5" t="str">
        <f>"011"</f>
        <v>011</v>
      </c>
      <c r="E2538" s="5">
        <v>2005</v>
      </c>
      <c r="F2538" s="3">
        <v>3179700</v>
      </c>
      <c r="G2538" s="3">
        <v>5768500</v>
      </c>
      <c r="H2538" s="3">
        <v>2588800</v>
      </c>
    </row>
    <row r="2539" spans="1:9" x14ac:dyDescent="0.35">
      <c r="A2539" t="str">
        <f t="shared" si="62"/>
        <v>51276</v>
      </c>
      <c r="B2539" t="s">
        <v>36</v>
      </c>
      <c r="C2539" t="s">
        <v>1021</v>
      </c>
      <c r="D2539" s="5" t="str">
        <f>"012"</f>
        <v>012</v>
      </c>
      <c r="E2539" s="5">
        <v>2006</v>
      </c>
      <c r="F2539" s="3">
        <v>378000</v>
      </c>
      <c r="G2539" s="3">
        <v>7666000</v>
      </c>
      <c r="H2539" s="3">
        <v>7288000</v>
      </c>
    </row>
    <row r="2540" spans="1:9" x14ac:dyDescent="0.35">
      <c r="A2540" t="str">
        <f t="shared" si="62"/>
        <v>51276</v>
      </c>
      <c r="B2540" t="s">
        <v>36</v>
      </c>
      <c r="C2540" t="s">
        <v>1021</v>
      </c>
      <c r="D2540" s="5" t="str">
        <f>"013"</f>
        <v>013</v>
      </c>
      <c r="E2540" s="5">
        <v>2006</v>
      </c>
      <c r="F2540" s="3">
        <v>312300</v>
      </c>
      <c r="G2540" s="3">
        <v>10384500</v>
      </c>
      <c r="H2540" s="3">
        <v>10072200</v>
      </c>
    </row>
    <row r="2541" spans="1:9" x14ac:dyDescent="0.35">
      <c r="A2541" t="str">
        <f t="shared" si="62"/>
        <v>51276</v>
      </c>
      <c r="B2541" t="s">
        <v>36</v>
      </c>
      <c r="C2541" t="s">
        <v>1021</v>
      </c>
      <c r="D2541" s="5" t="str">
        <f>"014"</f>
        <v>014</v>
      </c>
      <c r="E2541" s="5">
        <v>2006</v>
      </c>
      <c r="F2541" s="3">
        <v>4103200</v>
      </c>
      <c r="G2541" s="3">
        <v>2481300</v>
      </c>
      <c r="H2541" s="3">
        <v>0</v>
      </c>
    </row>
    <row r="2542" spans="1:9" x14ac:dyDescent="0.35">
      <c r="A2542" t="str">
        <f t="shared" si="62"/>
        <v>51276</v>
      </c>
      <c r="B2542" t="s">
        <v>36</v>
      </c>
      <c r="C2542" t="s">
        <v>1021</v>
      </c>
      <c r="D2542" s="5" t="str">
        <f>"016"</f>
        <v>016</v>
      </c>
      <c r="E2542" s="5">
        <v>2009</v>
      </c>
      <c r="F2542" s="3">
        <v>33478000</v>
      </c>
      <c r="G2542" s="3">
        <v>32328000</v>
      </c>
      <c r="H2542" s="3">
        <v>0</v>
      </c>
    </row>
    <row r="2543" spans="1:9" x14ac:dyDescent="0.35">
      <c r="A2543" t="str">
        <f t="shared" si="62"/>
        <v>51276</v>
      </c>
      <c r="B2543" t="s">
        <v>36</v>
      </c>
      <c r="C2543" t="s">
        <v>1021</v>
      </c>
      <c r="D2543" s="5" t="str">
        <f>"017"</f>
        <v>017</v>
      </c>
      <c r="E2543" s="5">
        <v>2012</v>
      </c>
      <c r="F2543" s="3">
        <v>364900</v>
      </c>
      <c r="G2543" s="3">
        <v>424900</v>
      </c>
      <c r="H2543" s="3">
        <v>60000</v>
      </c>
    </row>
    <row r="2544" spans="1:9" x14ac:dyDescent="0.35">
      <c r="A2544" t="str">
        <f t="shared" si="62"/>
        <v>51276</v>
      </c>
      <c r="B2544" t="s">
        <v>36</v>
      </c>
      <c r="C2544" t="s">
        <v>1021</v>
      </c>
      <c r="D2544" s="5" t="str">
        <f>"018"</f>
        <v>018</v>
      </c>
      <c r="E2544" s="5">
        <v>2014</v>
      </c>
      <c r="F2544" s="3">
        <v>2894300</v>
      </c>
      <c r="G2544" s="3">
        <v>3385800</v>
      </c>
      <c r="H2544" s="3">
        <v>491500</v>
      </c>
    </row>
    <row r="2545" spans="1:9" x14ac:dyDescent="0.35">
      <c r="A2545" t="str">
        <f t="shared" si="62"/>
        <v>51276</v>
      </c>
      <c r="B2545" t="s">
        <v>36</v>
      </c>
      <c r="C2545" t="s">
        <v>1021</v>
      </c>
      <c r="D2545" s="5" t="str">
        <f>"019"</f>
        <v>019</v>
      </c>
      <c r="E2545" s="5">
        <v>2016</v>
      </c>
      <c r="F2545" s="3">
        <v>35912500</v>
      </c>
      <c r="G2545" s="3">
        <v>80406800</v>
      </c>
      <c r="H2545" s="3">
        <v>44494300</v>
      </c>
    </row>
    <row r="2546" spans="1:9" x14ac:dyDescent="0.35">
      <c r="A2546" t="str">
        <f t="shared" si="62"/>
        <v>51276</v>
      </c>
      <c r="B2546" t="s">
        <v>36</v>
      </c>
      <c r="C2546" t="s">
        <v>1021</v>
      </c>
      <c r="D2546" s="5" t="str">
        <f>"021"</f>
        <v>021</v>
      </c>
      <c r="E2546" s="5">
        <v>2019</v>
      </c>
      <c r="F2546" s="3">
        <v>0</v>
      </c>
      <c r="G2546" s="3">
        <v>35707700</v>
      </c>
      <c r="H2546" s="3">
        <v>35707700</v>
      </c>
    </row>
    <row r="2547" spans="1:9" x14ac:dyDescent="0.35">
      <c r="A2547" t="str">
        <f t="shared" si="62"/>
        <v>51276</v>
      </c>
      <c r="B2547" t="s">
        <v>36</v>
      </c>
      <c r="C2547" t="s">
        <v>1021</v>
      </c>
      <c r="D2547" s="5" t="str">
        <f>"022"</f>
        <v>022</v>
      </c>
      <c r="E2547" s="5">
        <v>2019</v>
      </c>
      <c r="F2547" s="3">
        <v>327910800</v>
      </c>
      <c r="G2547" s="3">
        <v>535605200</v>
      </c>
      <c r="H2547" s="3">
        <v>207694400</v>
      </c>
    </row>
    <row r="2548" spans="1:9" x14ac:dyDescent="0.35">
      <c r="A2548" t="str">
        <f t="shared" si="62"/>
        <v>51276</v>
      </c>
      <c r="B2548" t="s">
        <v>36</v>
      </c>
      <c r="C2548" t="s">
        <v>1021</v>
      </c>
      <c r="D2548" s="5" t="str">
        <f>"023"</f>
        <v>023</v>
      </c>
      <c r="E2548" s="5">
        <v>2019</v>
      </c>
      <c r="F2548" s="3">
        <v>105603300</v>
      </c>
      <c r="G2548" s="3">
        <v>169068500</v>
      </c>
      <c r="H2548" s="3">
        <v>63465200</v>
      </c>
    </row>
    <row r="2549" spans="1:9" x14ac:dyDescent="0.35">
      <c r="A2549" t="str">
        <f t="shared" si="62"/>
        <v>51276</v>
      </c>
      <c r="B2549" t="s">
        <v>36</v>
      </c>
      <c r="C2549" t="s">
        <v>1021</v>
      </c>
      <c r="D2549" s="5" t="str">
        <f>"024"</f>
        <v>024</v>
      </c>
      <c r="E2549" s="5">
        <v>2020</v>
      </c>
      <c r="F2549" s="3">
        <v>0</v>
      </c>
      <c r="G2549" s="3">
        <v>0</v>
      </c>
      <c r="H2549" s="3">
        <v>0</v>
      </c>
    </row>
    <row r="2550" spans="1:9" x14ac:dyDescent="0.35">
      <c r="A2550" t="str">
        <f t="shared" si="62"/>
        <v>51276</v>
      </c>
      <c r="B2550" t="s">
        <v>36</v>
      </c>
      <c r="C2550" t="s">
        <v>1021</v>
      </c>
      <c r="D2550" s="5" t="str">
        <f>"025"</f>
        <v>025</v>
      </c>
      <c r="E2550" s="5">
        <v>2020</v>
      </c>
      <c r="F2550" s="3">
        <v>6116700</v>
      </c>
      <c r="G2550" s="3">
        <v>50394400</v>
      </c>
      <c r="H2550" s="3">
        <v>44277700</v>
      </c>
    </row>
    <row r="2551" spans="1:9" x14ac:dyDescent="0.35">
      <c r="A2551" t="str">
        <f t="shared" si="62"/>
        <v>51276</v>
      </c>
      <c r="B2551" t="s">
        <v>36</v>
      </c>
      <c r="C2551" t="s">
        <v>1021</v>
      </c>
      <c r="D2551" s="5" t="str">
        <f>"026"</f>
        <v>026</v>
      </c>
      <c r="E2551" s="5">
        <v>2021</v>
      </c>
      <c r="F2551" s="3">
        <v>17497700</v>
      </c>
      <c r="G2551" s="3">
        <v>31078800</v>
      </c>
      <c r="H2551" s="3">
        <v>13581100</v>
      </c>
    </row>
    <row r="2552" spans="1:9" x14ac:dyDescent="0.35">
      <c r="A2552" t="str">
        <f t="shared" si="62"/>
        <v>51276</v>
      </c>
      <c r="B2552" t="s">
        <v>36</v>
      </c>
      <c r="C2552" t="s">
        <v>1021</v>
      </c>
      <c r="D2552" s="5" t="str">
        <f>"027"</f>
        <v>027</v>
      </c>
      <c r="E2552" s="5">
        <v>2021</v>
      </c>
      <c r="F2552" s="3">
        <v>244856100</v>
      </c>
      <c r="G2552" s="3">
        <v>356885000</v>
      </c>
      <c r="H2552" s="3">
        <v>112028900</v>
      </c>
    </row>
    <row r="2553" spans="1:9" x14ac:dyDescent="0.35">
      <c r="A2553" t="str">
        <f t="shared" si="62"/>
        <v>51276</v>
      </c>
      <c r="B2553" t="s">
        <v>36</v>
      </c>
      <c r="C2553" t="s">
        <v>1021</v>
      </c>
      <c r="D2553" s="5" t="str">
        <f>"028"</f>
        <v>028</v>
      </c>
      <c r="E2553" s="5">
        <v>2021</v>
      </c>
      <c r="F2553" s="3">
        <v>112560500</v>
      </c>
      <c r="G2553" s="3">
        <v>174215300</v>
      </c>
      <c r="H2553" s="3">
        <v>61654800</v>
      </c>
    </row>
    <row r="2554" spans="1:9" x14ac:dyDescent="0.35">
      <c r="A2554" t="str">
        <f t="shared" si="62"/>
        <v>51276</v>
      </c>
      <c r="B2554" t="s">
        <v>36</v>
      </c>
      <c r="C2554" t="s">
        <v>1021</v>
      </c>
      <c r="D2554" s="5" t="str">
        <f>"029"</f>
        <v>029</v>
      </c>
      <c r="E2554" s="5">
        <v>2022</v>
      </c>
      <c r="F2554" s="3">
        <v>6186400</v>
      </c>
      <c r="G2554" s="3">
        <v>15342200</v>
      </c>
      <c r="H2554" s="3">
        <v>9155800</v>
      </c>
    </row>
    <row r="2555" spans="1:9" x14ac:dyDescent="0.35">
      <c r="A2555" t="str">
        <f t="shared" si="62"/>
        <v>51276</v>
      </c>
      <c r="B2555" t="s">
        <v>36</v>
      </c>
      <c r="C2555" t="s">
        <v>1021</v>
      </c>
      <c r="D2555" s="5" t="str">
        <f>"030"</f>
        <v>030</v>
      </c>
      <c r="E2555" s="5">
        <v>2022</v>
      </c>
      <c r="F2555" s="3">
        <v>51386900</v>
      </c>
      <c r="G2555" s="3">
        <v>79094500</v>
      </c>
      <c r="H2555" s="3">
        <v>27707600</v>
      </c>
    </row>
    <row r="2556" spans="1:9" x14ac:dyDescent="0.35">
      <c r="A2556" t="str">
        <f t="shared" si="62"/>
        <v>51276</v>
      </c>
      <c r="B2556" t="s">
        <v>36</v>
      </c>
      <c r="C2556" t="s">
        <v>1021</v>
      </c>
      <c r="D2556" s="5" t="str">
        <f>"031"</f>
        <v>031</v>
      </c>
      <c r="E2556" s="5">
        <v>2022</v>
      </c>
      <c r="F2556" s="3">
        <v>363701000</v>
      </c>
      <c r="G2556" s="3">
        <v>496721400</v>
      </c>
      <c r="H2556" s="3">
        <v>133020400</v>
      </c>
    </row>
    <row r="2557" spans="1:9" x14ac:dyDescent="0.35">
      <c r="A2557" t="str">
        <f t="shared" si="62"/>
        <v>51276</v>
      </c>
      <c r="B2557" t="s">
        <v>36</v>
      </c>
      <c r="C2557" t="s">
        <v>1021</v>
      </c>
      <c r="D2557" s="5" t="s">
        <v>11</v>
      </c>
      <c r="E2557" s="5" t="s">
        <v>12</v>
      </c>
      <c r="F2557" s="3" t="s">
        <v>13</v>
      </c>
      <c r="G2557" s="3" t="s">
        <v>13</v>
      </c>
      <c r="H2557" s="3" t="s">
        <v>13</v>
      </c>
      <c r="I2557" s="3">
        <v>5302546100</v>
      </c>
    </row>
    <row r="2558" spans="1:9" x14ac:dyDescent="0.35">
      <c r="A2558" t="s">
        <v>30</v>
      </c>
      <c r="B2558" t="s">
        <v>38</v>
      </c>
      <c r="C2558" t="s">
        <v>32</v>
      </c>
      <c r="D2558" s="5" t="s">
        <v>11</v>
      </c>
      <c r="E2558" s="5" t="s">
        <v>12</v>
      </c>
      <c r="F2558" s="3" t="s">
        <v>13</v>
      </c>
      <c r="G2558" s="3" t="s">
        <v>13</v>
      </c>
      <c r="H2558" s="3" t="s">
        <v>13</v>
      </c>
      <c r="I2558" s="3">
        <v>6941430700</v>
      </c>
    </row>
    <row r="2559" spans="1:9" x14ac:dyDescent="0.35">
      <c r="A2559" t="s">
        <v>30</v>
      </c>
      <c r="B2559" t="s">
        <v>39</v>
      </c>
      <c r="C2559" t="s">
        <v>1021</v>
      </c>
      <c r="D2559" s="5" t="s">
        <v>11</v>
      </c>
      <c r="E2559" s="5" t="s">
        <v>12</v>
      </c>
      <c r="F2559" s="3" t="s">
        <v>13</v>
      </c>
      <c r="G2559" s="3" t="s">
        <v>13</v>
      </c>
      <c r="H2559" s="3" t="s">
        <v>13</v>
      </c>
      <c r="I2559" s="3">
        <v>26336900500</v>
      </c>
    </row>
    <row r="2560" spans="1:9" x14ac:dyDescent="0.35">
      <c r="A2560" t="str">
        <f>"52002"</f>
        <v>52002</v>
      </c>
      <c r="B2560" t="s">
        <v>9</v>
      </c>
      <c r="C2560" t="s">
        <v>1022</v>
      </c>
      <c r="D2560" s="5" t="s">
        <v>11</v>
      </c>
      <c r="E2560" s="5" t="s">
        <v>12</v>
      </c>
      <c r="F2560" s="3" t="s">
        <v>13</v>
      </c>
      <c r="G2560" s="3" t="s">
        <v>13</v>
      </c>
      <c r="H2560" s="3" t="s">
        <v>13</v>
      </c>
      <c r="I2560" s="3">
        <v>67947600</v>
      </c>
    </row>
    <row r="2561" spans="1:9" x14ac:dyDescent="0.35">
      <c r="A2561" t="str">
        <f>"52004"</f>
        <v>52004</v>
      </c>
      <c r="B2561" t="s">
        <v>9</v>
      </c>
      <c r="C2561" t="s">
        <v>1023</v>
      </c>
      <c r="D2561" s="5" t="s">
        <v>11</v>
      </c>
      <c r="E2561" s="5" t="s">
        <v>12</v>
      </c>
      <c r="F2561" s="3" t="s">
        <v>13</v>
      </c>
      <c r="G2561" s="3" t="s">
        <v>13</v>
      </c>
      <c r="H2561" s="3" t="s">
        <v>13</v>
      </c>
      <c r="I2561" s="3">
        <v>80141100</v>
      </c>
    </row>
    <row r="2562" spans="1:9" x14ac:dyDescent="0.35">
      <c r="A2562" t="str">
        <f>"52006"</f>
        <v>52006</v>
      </c>
      <c r="B2562" t="s">
        <v>9</v>
      </c>
      <c r="C2562" t="s">
        <v>977</v>
      </c>
      <c r="D2562" s="5" t="s">
        <v>11</v>
      </c>
      <c r="E2562" s="5" t="s">
        <v>12</v>
      </c>
      <c r="F2562" s="3" t="s">
        <v>13</v>
      </c>
      <c r="G2562" s="3" t="s">
        <v>13</v>
      </c>
      <c r="H2562" s="3" t="s">
        <v>13</v>
      </c>
      <c r="I2562" s="3">
        <v>209850400</v>
      </c>
    </row>
    <row r="2563" spans="1:9" x14ac:dyDescent="0.35">
      <c r="A2563" t="str">
        <f>"52008"</f>
        <v>52008</v>
      </c>
      <c r="B2563" t="s">
        <v>9</v>
      </c>
      <c r="C2563" t="s">
        <v>1024</v>
      </c>
      <c r="D2563" s="5" t="s">
        <v>11</v>
      </c>
      <c r="E2563" s="5" t="s">
        <v>12</v>
      </c>
      <c r="F2563" s="3" t="s">
        <v>13</v>
      </c>
      <c r="G2563" s="3" t="s">
        <v>13</v>
      </c>
      <c r="H2563" s="3" t="s">
        <v>13</v>
      </c>
      <c r="I2563" s="3">
        <v>106185600</v>
      </c>
    </row>
    <row r="2564" spans="1:9" x14ac:dyDescent="0.35">
      <c r="A2564" t="str">
        <f>"52010"</f>
        <v>52010</v>
      </c>
      <c r="B2564" t="s">
        <v>9</v>
      </c>
      <c r="C2564" t="s">
        <v>1025</v>
      </c>
      <c r="D2564" s="5" t="s">
        <v>11</v>
      </c>
      <c r="E2564" s="5" t="s">
        <v>12</v>
      </c>
      <c r="F2564" s="3" t="s">
        <v>13</v>
      </c>
      <c r="G2564" s="3" t="s">
        <v>13</v>
      </c>
      <c r="H2564" s="3" t="s">
        <v>13</v>
      </c>
      <c r="I2564" s="3">
        <v>86525600</v>
      </c>
    </row>
    <row r="2565" spans="1:9" x14ac:dyDescent="0.35">
      <c r="A2565" t="str">
        <f>"52012"</f>
        <v>52012</v>
      </c>
      <c r="B2565" t="s">
        <v>9</v>
      </c>
      <c r="C2565" t="s">
        <v>462</v>
      </c>
      <c r="D2565" s="5" t="s">
        <v>11</v>
      </c>
      <c r="E2565" s="5" t="s">
        <v>12</v>
      </c>
      <c r="F2565" s="3" t="s">
        <v>13</v>
      </c>
      <c r="G2565" s="3" t="s">
        <v>13</v>
      </c>
      <c r="H2565" s="3" t="s">
        <v>13</v>
      </c>
      <c r="I2565" s="3">
        <v>70525700</v>
      </c>
    </row>
    <row r="2566" spans="1:9" x14ac:dyDescent="0.35">
      <c r="A2566" t="str">
        <f>"52014"</f>
        <v>52014</v>
      </c>
      <c r="B2566" t="s">
        <v>9</v>
      </c>
      <c r="C2566" t="s">
        <v>1026</v>
      </c>
      <c r="D2566" s="5" t="s">
        <v>11</v>
      </c>
      <c r="E2566" s="5" t="s">
        <v>12</v>
      </c>
      <c r="F2566" s="3" t="s">
        <v>13</v>
      </c>
      <c r="G2566" s="3" t="s">
        <v>13</v>
      </c>
      <c r="H2566" s="3" t="s">
        <v>13</v>
      </c>
      <c r="I2566" s="3">
        <v>76085100</v>
      </c>
    </row>
    <row r="2567" spans="1:9" x14ac:dyDescent="0.35">
      <c r="A2567" t="str">
        <f>"52016"</f>
        <v>52016</v>
      </c>
      <c r="B2567" t="s">
        <v>9</v>
      </c>
      <c r="C2567" t="s">
        <v>1027</v>
      </c>
      <c r="D2567" s="5" t="s">
        <v>11</v>
      </c>
      <c r="E2567" s="5" t="s">
        <v>12</v>
      </c>
      <c r="F2567" s="3" t="s">
        <v>13</v>
      </c>
      <c r="G2567" s="3" t="s">
        <v>13</v>
      </c>
      <c r="H2567" s="3" t="s">
        <v>13</v>
      </c>
      <c r="I2567" s="3">
        <v>104963900</v>
      </c>
    </row>
    <row r="2568" spans="1:9" x14ac:dyDescent="0.35">
      <c r="A2568" t="str">
        <f>"52018"</f>
        <v>52018</v>
      </c>
      <c r="B2568" t="s">
        <v>9</v>
      </c>
      <c r="C2568" t="s">
        <v>336</v>
      </c>
      <c r="D2568" s="5" t="s">
        <v>11</v>
      </c>
      <c r="E2568" s="5" t="s">
        <v>12</v>
      </c>
      <c r="F2568" s="3" t="s">
        <v>13</v>
      </c>
      <c r="G2568" s="3" t="s">
        <v>13</v>
      </c>
      <c r="H2568" s="3" t="s">
        <v>13</v>
      </c>
      <c r="I2568" s="3">
        <v>98329300</v>
      </c>
    </row>
    <row r="2569" spans="1:9" x14ac:dyDescent="0.35">
      <c r="A2569" t="str">
        <f>"52020"</f>
        <v>52020</v>
      </c>
      <c r="B2569" t="s">
        <v>9</v>
      </c>
      <c r="C2569" t="s">
        <v>1028</v>
      </c>
      <c r="D2569" s="5" t="s">
        <v>11</v>
      </c>
      <c r="E2569" s="5" t="s">
        <v>12</v>
      </c>
      <c r="F2569" s="3" t="s">
        <v>13</v>
      </c>
      <c r="G2569" s="3" t="s">
        <v>13</v>
      </c>
      <c r="H2569" s="3" t="s">
        <v>13</v>
      </c>
      <c r="I2569" s="3">
        <v>116153200</v>
      </c>
    </row>
    <row r="2570" spans="1:9" x14ac:dyDescent="0.35">
      <c r="A2570" t="str">
        <f>"52022"</f>
        <v>52022</v>
      </c>
      <c r="B2570" t="s">
        <v>9</v>
      </c>
      <c r="C2570" t="s">
        <v>1029</v>
      </c>
      <c r="D2570" s="5" t="s">
        <v>11</v>
      </c>
      <c r="E2570" s="5" t="s">
        <v>12</v>
      </c>
      <c r="F2570" s="3" t="s">
        <v>13</v>
      </c>
      <c r="G2570" s="3" t="s">
        <v>13</v>
      </c>
      <c r="H2570" s="3" t="s">
        <v>13</v>
      </c>
      <c r="I2570" s="3">
        <v>204914700</v>
      </c>
    </row>
    <row r="2571" spans="1:9" x14ac:dyDescent="0.35">
      <c r="A2571" t="str">
        <f>"52024"</f>
        <v>52024</v>
      </c>
      <c r="B2571" t="s">
        <v>9</v>
      </c>
      <c r="C2571" t="s">
        <v>1030</v>
      </c>
      <c r="D2571" s="5" t="s">
        <v>11</v>
      </c>
      <c r="E2571" s="5" t="s">
        <v>12</v>
      </c>
      <c r="F2571" s="3" t="s">
        <v>13</v>
      </c>
      <c r="G2571" s="3" t="s">
        <v>13</v>
      </c>
      <c r="H2571" s="3" t="s">
        <v>13</v>
      </c>
      <c r="I2571" s="3">
        <v>88348400</v>
      </c>
    </row>
    <row r="2572" spans="1:9" x14ac:dyDescent="0.35">
      <c r="A2572" t="str">
        <f>"52026"</f>
        <v>52026</v>
      </c>
      <c r="B2572" t="s">
        <v>9</v>
      </c>
      <c r="C2572" t="s">
        <v>1031</v>
      </c>
      <c r="D2572" s="5" t="s">
        <v>11</v>
      </c>
      <c r="E2572" s="5" t="s">
        <v>12</v>
      </c>
      <c r="F2572" s="3" t="s">
        <v>13</v>
      </c>
      <c r="G2572" s="3" t="s">
        <v>13</v>
      </c>
      <c r="H2572" s="3" t="s">
        <v>13</v>
      </c>
      <c r="I2572" s="3">
        <v>118250900</v>
      </c>
    </row>
    <row r="2573" spans="1:9" x14ac:dyDescent="0.35">
      <c r="A2573" t="str">
        <f>"52028"</f>
        <v>52028</v>
      </c>
      <c r="B2573" t="s">
        <v>9</v>
      </c>
      <c r="C2573" t="s">
        <v>1032</v>
      </c>
      <c r="D2573" s="5" t="s">
        <v>11</v>
      </c>
      <c r="E2573" s="5" t="s">
        <v>12</v>
      </c>
      <c r="F2573" s="3" t="s">
        <v>13</v>
      </c>
      <c r="G2573" s="3" t="s">
        <v>13</v>
      </c>
      <c r="H2573" s="3" t="s">
        <v>13</v>
      </c>
      <c r="I2573" s="3">
        <v>81335800</v>
      </c>
    </row>
    <row r="2574" spans="1:9" x14ac:dyDescent="0.35">
      <c r="A2574" t="str">
        <f>"52030"</f>
        <v>52030</v>
      </c>
      <c r="B2574" t="s">
        <v>9</v>
      </c>
      <c r="C2574" t="s">
        <v>368</v>
      </c>
      <c r="D2574" s="5" t="s">
        <v>11</v>
      </c>
      <c r="E2574" s="5" t="s">
        <v>12</v>
      </c>
      <c r="F2574" s="3" t="s">
        <v>13</v>
      </c>
      <c r="G2574" s="3" t="s">
        <v>13</v>
      </c>
      <c r="H2574" s="3" t="s">
        <v>13</v>
      </c>
      <c r="I2574" s="3">
        <v>78082100</v>
      </c>
    </row>
    <row r="2575" spans="1:9" x14ac:dyDescent="0.35">
      <c r="A2575" t="str">
        <f>"52032"</f>
        <v>52032</v>
      </c>
      <c r="B2575" t="s">
        <v>9</v>
      </c>
      <c r="C2575" t="s">
        <v>1033</v>
      </c>
      <c r="D2575" s="5" t="s">
        <v>11</v>
      </c>
      <c r="E2575" s="5" t="s">
        <v>12</v>
      </c>
      <c r="F2575" s="3" t="s">
        <v>13</v>
      </c>
      <c r="G2575" s="3" t="s">
        <v>13</v>
      </c>
      <c r="H2575" s="3" t="s">
        <v>13</v>
      </c>
      <c r="I2575" s="3">
        <v>86865700</v>
      </c>
    </row>
    <row r="2576" spans="1:9" x14ac:dyDescent="0.35">
      <c r="A2576" t="s">
        <v>30</v>
      </c>
      <c r="B2576" t="s">
        <v>31</v>
      </c>
      <c r="C2576" t="s">
        <v>32</v>
      </c>
      <c r="D2576" s="5" t="s">
        <v>11</v>
      </c>
      <c r="E2576" s="5" t="s">
        <v>12</v>
      </c>
      <c r="F2576" s="3" t="s">
        <v>13</v>
      </c>
      <c r="G2576" s="3" t="s">
        <v>13</v>
      </c>
      <c r="H2576" s="3" t="s">
        <v>13</v>
      </c>
      <c r="I2576" s="3">
        <v>1674505100</v>
      </c>
    </row>
    <row r="2577" spans="1:9" x14ac:dyDescent="0.35">
      <c r="A2577" t="str">
        <f>"52106"</f>
        <v>52106</v>
      </c>
      <c r="B2577" t="s">
        <v>33</v>
      </c>
      <c r="C2577" t="s">
        <v>1034</v>
      </c>
      <c r="D2577" s="5" t="s">
        <v>11</v>
      </c>
      <c r="E2577" s="5" t="s">
        <v>12</v>
      </c>
      <c r="F2577" s="3" t="s">
        <v>13</v>
      </c>
      <c r="G2577" s="3" t="s">
        <v>13</v>
      </c>
      <c r="H2577" s="3" t="s">
        <v>13</v>
      </c>
      <c r="I2577" s="3">
        <v>7241000</v>
      </c>
    </row>
    <row r="2578" spans="1:9" x14ac:dyDescent="0.35">
      <c r="A2578" t="str">
        <f>"52111"</f>
        <v>52111</v>
      </c>
      <c r="B2578" t="s">
        <v>33</v>
      </c>
      <c r="C2578" t="s">
        <v>1035</v>
      </c>
      <c r="D2578" s="5" t="s">
        <v>11</v>
      </c>
      <c r="E2578" s="5" t="s">
        <v>12</v>
      </c>
      <c r="F2578" s="3" t="s">
        <v>13</v>
      </c>
      <c r="G2578" s="3" t="s">
        <v>13</v>
      </c>
      <c r="H2578" s="3" t="s">
        <v>13</v>
      </c>
      <c r="I2578" s="3">
        <v>28722700</v>
      </c>
    </row>
    <row r="2579" spans="1:9" x14ac:dyDescent="0.35">
      <c r="A2579" t="str">
        <f>"52146"</f>
        <v>52146</v>
      </c>
      <c r="B2579" t="s">
        <v>33</v>
      </c>
      <c r="C2579" t="s">
        <v>1036</v>
      </c>
      <c r="D2579" s="5" t="str">
        <f>"003"</f>
        <v>003</v>
      </c>
      <c r="E2579" s="5">
        <v>2024</v>
      </c>
      <c r="F2579" s="3">
        <v>5996100</v>
      </c>
      <c r="G2579" s="3">
        <v>5996100</v>
      </c>
      <c r="H2579" s="3">
        <v>0</v>
      </c>
    </row>
    <row r="2580" spans="1:9" x14ac:dyDescent="0.35">
      <c r="A2580" t="str">
        <f>"52146"</f>
        <v>52146</v>
      </c>
      <c r="B2580" t="s">
        <v>33</v>
      </c>
      <c r="C2580" t="s">
        <v>1036</v>
      </c>
      <c r="D2580" s="5" t="s">
        <v>11</v>
      </c>
      <c r="E2580" s="5" t="s">
        <v>12</v>
      </c>
      <c r="F2580" s="3" t="s">
        <v>13</v>
      </c>
      <c r="G2580" s="3" t="s">
        <v>13</v>
      </c>
      <c r="H2580" s="3" t="s">
        <v>13</v>
      </c>
      <c r="I2580" s="3">
        <v>70096800</v>
      </c>
    </row>
    <row r="2581" spans="1:9" x14ac:dyDescent="0.35">
      <c r="A2581" t="str">
        <f>"52186"</f>
        <v>52186</v>
      </c>
      <c r="B2581" t="s">
        <v>33</v>
      </c>
      <c r="C2581" t="s">
        <v>1037</v>
      </c>
      <c r="D2581" s="5" t="str">
        <f>"006"</f>
        <v>006</v>
      </c>
      <c r="E2581" s="5">
        <v>2019</v>
      </c>
      <c r="F2581" s="3">
        <v>586000</v>
      </c>
      <c r="G2581" s="3">
        <v>2964100</v>
      </c>
      <c r="H2581" s="3">
        <v>2378100</v>
      </c>
    </row>
    <row r="2582" spans="1:9" x14ac:dyDescent="0.35">
      <c r="A2582" t="str">
        <f>"52186"</f>
        <v>52186</v>
      </c>
      <c r="B2582" t="s">
        <v>33</v>
      </c>
      <c r="C2582" t="s">
        <v>1037</v>
      </c>
      <c r="D2582" s="5" t="s">
        <v>11</v>
      </c>
      <c r="E2582" s="5" t="s">
        <v>12</v>
      </c>
      <c r="F2582" s="3" t="s">
        <v>13</v>
      </c>
      <c r="G2582" s="3" t="s">
        <v>13</v>
      </c>
      <c r="H2582" s="3" t="s">
        <v>13</v>
      </c>
      <c r="I2582" s="3">
        <v>30809200</v>
      </c>
    </row>
    <row r="2583" spans="1:9" x14ac:dyDescent="0.35">
      <c r="A2583" t="str">
        <f>"52196"</f>
        <v>52196</v>
      </c>
      <c r="B2583" t="s">
        <v>33</v>
      </c>
      <c r="C2583" t="s">
        <v>1038</v>
      </c>
      <c r="D2583" s="5" t="s">
        <v>11</v>
      </c>
      <c r="E2583" s="5" t="s">
        <v>12</v>
      </c>
      <c r="F2583" s="3" t="s">
        <v>13</v>
      </c>
      <c r="G2583" s="3" t="s">
        <v>13</v>
      </c>
      <c r="H2583" s="3" t="s">
        <v>13</v>
      </c>
      <c r="I2583" s="3">
        <v>5086600</v>
      </c>
    </row>
    <row r="2584" spans="1:9" x14ac:dyDescent="0.35">
      <c r="A2584" t="s">
        <v>30</v>
      </c>
      <c r="B2584" t="s">
        <v>35</v>
      </c>
      <c r="C2584" t="s">
        <v>32</v>
      </c>
      <c r="D2584" s="5" t="s">
        <v>11</v>
      </c>
      <c r="E2584" s="5" t="s">
        <v>12</v>
      </c>
      <c r="F2584" s="3" t="s">
        <v>13</v>
      </c>
      <c r="G2584" s="3" t="s">
        <v>13</v>
      </c>
      <c r="H2584" s="3" t="s">
        <v>13</v>
      </c>
      <c r="I2584" s="3">
        <v>141956300</v>
      </c>
    </row>
    <row r="2585" spans="1:9" x14ac:dyDescent="0.35">
      <c r="A2585" t="str">
        <f>"52276"</f>
        <v>52276</v>
      </c>
      <c r="B2585" t="s">
        <v>36</v>
      </c>
      <c r="C2585" t="s">
        <v>1039</v>
      </c>
      <c r="D2585" s="5" t="str">
        <f>"006"</f>
        <v>006</v>
      </c>
      <c r="E2585" s="5">
        <v>2017</v>
      </c>
      <c r="F2585" s="3">
        <v>28300</v>
      </c>
      <c r="G2585" s="3">
        <v>8995700</v>
      </c>
      <c r="H2585" s="3">
        <v>8967400</v>
      </c>
    </row>
    <row r="2586" spans="1:9" x14ac:dyDescent="0.35">
      <c r="A2586" t="str">
        <f>"52276"</f>
        <v>52276</v>
      </c>
      <c r="B2586" t="s">
        <v>36</v>
      </c>
      <c r="C2586" t="s">
        <v>1039</v>
      </c>
      <c r="D2586" s="5" t="s">
        <v>11</v>
      </c>
      <c r="E2586" s="5" t="s">
        <v>12</v>
      </c>
      <c r="F2586" s="3" t="s">
        <v>13</v>
      </c>
      <c r="G2586" s="3" t="s">
        <v>13</v>
      </c>
      <c r="H2586" s="3" t="s">
        <v>13</v>
      </c>
      <c r="I2586" s="3">
        <v>488622900</v>
      </c>
    </row>
    <row r="2587" spans="1:9" x14ac:dyDescent="0.35">
      <c r="A2587" t="s">
        <v>30</v>
      </c>
      <c r="B2587" t="s">
        <v>38</v>
      </c>
      <c r="C2587" t="s">
        <v>32</v>
      </c>
      <c r="D2587" s="5" t="s">
        <v>11</v>
      </c>
      <c r="E2587" s="5" t="s">
        <v>12</v>
      </c>
      <c r="F2587" s="3" t="s">
        <v>13</v>
      </c>
      <c r="G2587" s="3" t="s">
        <v>13</v>
      </c>
      <c r="H2587" s="3" t="s">
        <v>13</v>
      </c>
      <c r="I2587" s="3">
        <v>488622900</v>
      </c>
    </row>
    <row r="2588" spans="1:9" x14ac:dyDescent="0.35">
      <c r="A2588" t="s">
        <v>30</v>
      </c>
      <c r="B2588" t="s">
        <v>39</v>
      </c>
      <c r="C2588" t="s">
        <v>1029</v>
      </c>
      <c r="D2588" s="5" t="s">
        <v>11</v>
      </c>
      <c r="E2588" s="5" t="s">
        <v>12</v>
      </c>
      <c r="F2588" s="3" t="s">
        <v>13</v>
      </c>
      <c r="G2588" s="3" t="s">
        <v>13</v>
      </c>
      <c r="H2588" s="3" t="s">
        <v>13</v>
      </c>
      <c r="I2588" s="3">
        <v>2305084300</v>
      </c>
    </row>
    <row r="2589" spans="1:9" x14ac:dyDescent="0.35">
      <c r="A2589" t="str">
        <f>"53002"</f>
        <v>53002</v>
      </c>
      <c r="B2589" t="s">
        <v>9</v>
      </c>
      <c r="C2589" t="s">
        <v>1040</v>
      </c>
      <c r="D2589" s="5" t="s">
        <v>11</v>
      </c>
      <c r="E2589" s="5" t="s">
        <v>12</v>
      </c>
      <c r="F2589" s="3" t="s">
        <v>13</v>
      </c>
      <c r="G2589" s="3" t="s">
        <v>13</v>
      </c>
      <c r="H2589" s="3" t="s">
        <v>13</v>
      </c>
      <c r="I2589" s="3">
        <v>117994800</v>
      </c>
    </row>
    <row r="2590" spans="1:9" x14ac:dyDescent="0.35">
      <c r="A2590" t="str">
        <f>"53004"</f>
        <v>53004</v>
      </c>
      <c r="B2590" t="s">
        <v>9</v>
      </c>
      <c r="C2590" t="s">
        <v>1041</v>
      </c>
      <c r="D2590" s="5" t="s">
        <v>11</v>
      </c>
      <c r="E2590" s="5" t="s">
        <v>12</v>
      </c>
      <c r="F2590" s="3" t="s">
        <v>13</v>
      </c>
      <c r="G2590" s="3" t="s">
        <v>13</v>
      </c>
      <c r="H2590" s="3" t="s">
        <v>13</v>
      </c>
      <c r="I2590" s="3">
        <v>1124507000</v>
      </c>
    </row>
    <row r="2591" spans="1:9" x14ac:dyDescent="0.35">
      <c r="A2591" t="str">
        <f>"53006"</f>
        <v>53006</v>
      </c>
      <c r="B2591" t="s">
        <v>9</v>
      </c>
      <c r="C2591" t="s">
        <v>1042</v>
      </c>
      <c r="D2591" s="5" t="s">
        <v>11</v>
      </c>
      <c r="E2591" s="5" t="s">
        <v>12</v>
      </c>
      <c r="F2591" s="3" t="s">
        <v>13</v>
      </c>
      <c r="G2591" s="3" t="s">
        <v>13</v>
      </c>
      <c r="H2591" s="3" t="s">
        <v>13</v>
      </c>
      <c r="I2591" s="3">
        <v>204308900</v>
      </c>
    </row>
    <row r="2592" spans="1:9" x14ac:dyDescent="0.35">
      <c r="A2592" t="str">
        <f>"53008"</f>
        <v>53008</v>
      </c>
      <c r="B2592" t="s">
        <v>9</v>
      </c>
      <c r="C2592" t="s">
        <v>897</v>
      </c>
      <c r="D2592" s="5" t="s">
        <v>11</v>
      </c>
      <c r="E2592" s="5" t="s">
        <v>12</v>
      </c>
      <c r="F2592" s="3" t="s">
        <v>13</v>
      </c>
      <c r="G2592" s="3" t="s">
        <v>13</v>
      </c>
      <c r="H2592" s="3" t="s">
        <v>13</v>
      </c>
      <c r="I2592" s="3">
        <v>195547100</v>
      </c>
    </row>
    <row r="2593" spans="1:9" x14ac:dyDescent="0.35">
      <c r="A2593" t="str">
        <f>"53010"</f>
        <v>53010</v>
      </c>
      <c r="B2593" t="s">
        <v>9</v>
      </c>
      <c r="C2593" t="s">
        <v>61</v>
      </c>
      <c r="D2593" s="5" t="s">
        <v>11</v>
      </c>
      <c r="E2593" s="5" t="s">
        <v>12</v>
      </c>
      <c r="F2593" s="3" t="s">
        <v>13</v>
      </c>
      <c r="G2593" s="3" t="s">
        <v>13</v>
      </c>
      <c r="H2593" s="3" t="s">
        <v>13</v>
      </c>
      <c r="I2593" s="3">
        <v>158870400</v>
      </c>
    </row>
    <row r="2594" spans="1:9" x14ac:dyDescent="0.35">
      <c r="A2594" t="str">
        <f>"53012"</f>
        <v>53012</v>
      </c>
      <c r="B2594" t="s">
        <v>9</v>
      </c>
      <c r="C2594" t="s">
        <v>1043</v>
      </c>
      <c r="D2594" s="5" t="s">
        <v>11</v>
      </c>
      <c r="E2594" s="5" t="s">
        <v>12</v>
      </c>
      <c r="F2594" s="3" t="s">
        <v>13</v>
      </c>
      <c r="G2594" s="3" t="s">
        <v>13</v>
      </c>
      <c r="H2594" s="3" t="s">
        <v>13</v>
      </c>
      <c r="I2594" s="3">
        <v>904760000</v>
      </c>
    </row>
    <row r="2595" spans="1:9" x14ac:dyDescent="0.35">
      <c r="A2595" t="str">
        <f>"53014"</f>
        <v>53014</v>
      </c>
      <c r="B2595" t="s">
        <v>9</v>
      </c>
      <c r="C2595" t="s">
        <v>1000</v>
      </c>
      <c r="D2595" s="5" t="s">
        <v>11</v>
      </c>
      <c r="E2595" s="5" t="s">
        <v>12</v>
      </c>
      <c r="F2595" s="3" t="s">
        <v>13</v>
      </c>
      <c r="G2595" s="3" t="s">
        <v>13</v>
      </c>
      <c r="H2595" s="3" t="s">
        <v>13</v>
      </c>
      <c r="I2595" s="3">
        <v>530661000</v>
      </c>
    </row>
    <row r="2596" spans="1:9" x14ac:dyDescent="0.35">
      <c r="A2596" t="str">
        <f>"53016"</f>
        <v>53016</v>
      </c>
      <c r="B2596" t="s">
        <v>9</v>
      </c>
      <c r="C2596" t="s">
        <v>1044</v>
      </c>
      <c r="D2596" s="5" t="s">
        <v>11</v>
      </c>
      <c r="E2596" s="5" t="s">
        <v>12</v>
      </c>
      <c r="F2596" s="3" t="s">
        <v>13</v>
      </c>
      <c r="G2596" s="3" t="s">
        <v>13</v>
      </c>
      <c r="H2596" s="3" t="s">
        <v>13</v>
      </c>
      <c r="I2596" s="3">
        <v>866878700</v>
      </c>
    </row>
    <row r="2597" spans="1:9" x14ac:dyDescent="0.35">
      <c r="A2597" t="str">
        <f>"53018"</f>
        <v>53018</v>
      </c>
      <c r="B2597" t="s">
        <v>9</v>
      </c>
      <c r="C2597" t="s">
        <v>960</v>
      </c>
      <c r="D2597" s="5" t="s">
        <v>11</v>
      </c>
      <c r="E2597" s="5" t="s">
        <v>12</v>
      </c>
      <c r="F2597" s="3" t="s">
        <v>13</v>
      </c>
      <c r="G2597" s="3" t="s">
        <v>13</v>
      </c>
      <c r="H2597" s="3" t="s">
        <v>13</v>
      </c>
      <c r="I2597" s="3">
        <v>165223400</v>
      </c>
    </row>
    <row r="2598" spans="1:9" x14ac:dyDescent="0.35">
      <c r="A2598" t="str">
        <f>"53020"</f>
        <v>53020</v>
      </c>
      <c r="B2598" t="s">
        <v>9</v>
      </c>
      <c r="C2598" t="s">
        <v>1045</v>
      </c>
      <c r="D2598" s="5" t="s">
        <v>11</v>
      </c>
      <c r="E2598" s="5" t="s">
        <v>12</v>
      </c>
      <c r="F2598" s="3" t="s">
        <v>13</v>
      </c>
      <c r="G2598" s="3" t="s">
        <v>13</v>
      </c>
      <c r="H2598" s="3" t="s">
        <v>13</v>
      </c>
      <c r="I2598" s="3">
        <v>157055500</v>
      </c>
    </row>
    <row r="2599" spans="1:9" x14ac:dyDescent="0.35">
      <c r="A2599" t="str">
        <f>"53022"</f>
        <v>53022</v>
      </c>
      <c r="B2599" t="s">
        <v>9</v>
      </c>
      <c r="C2599" t="s">
        <v>504</v>
      </c>
      <c r="D2599" s="5" t="s">
        <v>11</v>
      </c>
      <c r="E2599" s="5" t="s">
        <v>12</v>
      </c>
      <c r="F2599" s="3" t="s">
        <v>13</v>
      </c>
      <c r="G2599" s="3" t="s">
        <v>13</v>
      </c>
      <c r="H2599" s="3" t="s">
        <v>13</v>
      </c>
      <c r="I2599" s="3">
        <v>186463200</v>
      </c>
    </row>
    <row r="2600" spans="1:9" x14ac:dyDescent="0.35">
      <c r="A2600" t="str">
        <f>"53024"</f>
        <v>53024</v>
      </c>
      <c r="B2600" t="s">
        <v>9</v>
      </c>
      <c r="C2600" t="s">
        <v>1046</v>
      </c>
      <c r="D2600" s="5" t="s">
        <v>11</v>
      </c>
      <c r="E2600" s="5" t="s">
        <v>12</v>
      </c>
      <c r="F2600" s="3" t="s">
        <v>13</v>
      </c>
      <c r="G2600" s="3" t="s">
        <v>13</v>
      </c>
      <c r="H2600" s="3" t="s">
        <v>13</v>
      </c>
      <c r="I2600" s="3">
        <v>129227700</v>
      </c>
    </row>
    <row r="2601" spans="1:9" x14ac:dyDescent="0.35">
      <c r="A2601" t="str">
        <f>"53026"</f>
        <v>53026</v>
      </c>
      <c r="B2601" t="s">
        <v>9</v>
      </c>
      <c r="C2601" t="s">
        <v>140</v>
      </c>
      <c r="D2601" s="5" t="s">
        <v>11</v>
      </c>
      <c r="E2601" s="5" t="s">
        <v>12</v>
      </c>
      <c r="F2601" s="3" t="s">
        <v>13</v>
      </c>
      <c r="G2601" s="3" t="s">
        <v>13</v>
      </c>
      <c r="H2601" s="3" t="s">
        <v>13</v>
      </c>
      <c r="I2601" s="3">
        <v>668450700</v>
      </c>
    </row>
    <row r="2602" spans="1:9" x14ac:dyDescent="0.35">
      <c r="A2602" t="str">
        <f>"53028"</f>
        <v>53028</v>
      </c>
      <c r="B2602" t="s">
        <v>9</v>
      </c>
      <c r="C2602" t="s">
        <v>1047</v>
      </c>
      <c r="D2602" s="5" t="s">
        <v>11</v>
      </c>
      <c r="E2602" s="5" t="s">
        <v>12</v>
      </c>
      <c r="F2602" s="3" t="s">
        <v>13</v>
      </c>
      <c r="G2602" s="3" t="s">
        <v>13</v>
      </c>
      <c r="H2602" s="3" t="s">
        <v>13</v>
      </c>
      <c r="I2602" s="3">
        <v>272581500</v>
      </c>
    </row>
    <row r="2603" spans="1:9" x14ac:dyDescent="0.35">
      <c r="A2603" t="str">
        <f>"53030"</f>
        <v>53030</v>
      </c>
      <c r="B2603" t="s">
        <v>9</v>
      </c>
      <c r="C2603" t="s">
        <v>630</v>
      </c>
      <c r="D2603" s="5" t="s">
        <v>11</v>
      </c>
      <c r="E2603" s="5" t="s">
        <v>12</v>
      </c>
      <c r="F2603" s="3" t="s">
        <v>13</v>
      </c>
      <c r="G2603" s="3" t="s">
        <v>13</v>
      </c>
      <c r="H2603" s="3" t="s">
        <v>13</v>
      </c>
      <c r="I2603" s="3">
        <v>221319500</v>
      </c>
    </row>
    <row r="2604" spans="1:9" x14ac:dyDescent="0.35">
      <c r="A2604" t="str">
        <f>"53032"</f>
        <v>53032</v>
      </c>
      <c r="B2604" t="s">
        <v>9</v>
      </c>
      <c r="C2604" t="s">
        <v>1048</v>
      </c>
      <c r="D2604" s="5" t="s">
        <v>11</v>
      </c>
      <c r="E2604" s="5" t="s">
        <v>12</v>
      </c>
      <c r="F2604" s="3" t="s">
        <v>13</v>
      </c>
      <c r="G2604" s="3" t="s">
        <v>13</v>
      </c>
      <c r="H2604" s="3" t="s">
        <v>13</v>
      </c>
      <c r="I2604" s="3">
        <v>213422100</v>
      </c>
    </row>
    <row r="2605" spans="1:9" x14ac:dyDescent="0.35">
      <c r="A2605" t="str">
        <f>"53034"</f>
        <v>53034</v>
      </c>
      <c r="B2605" t="s">
        <v>9</v>
      </c>
      <c r="C2605" t="s">
        <v>1049</v>
      </c>
      <c r="D2605" s="5" t="s">
        <v>11</v>
      </c>
      <c r="E2605" s="5" t="s">
        <v>12</v>
      </c>
      <c r="F2605" s="3" t="s">
        <v>13</v>
      </c>
      <c r="G2605" s="3" t="s">
        <v>13</v>
      </c>
      <c r="H2605" s="3" t="s">
        <v>13</v>
      </c>
      <c r="I2605" s="3">
        <v>363156100</v>
      </c>
    </row>
    <row r="2606" spans="1:9" x14ac:dyDescent="0.35">
      <c r="A2606" t="str">
        <f>"53036"</f>
        <v>53036</v>
      </c>
      <c r="B2606" t="s">
        <v>9</v>
      </c>
      <c r="C2606" t="s">
        <v>949</v>
      </c>
      <c r="D2606" s="5" t="s">
        <v>11</v>
      </c>
      <c r="E2606" s="5" t="s">
        <v>12</v>
      </c>
      <c r="F2606" s="3" t="s">
        <v>13</v>
      </c>
      <c r="G2606" s="3" t="s">
        <v>13</v>
      </c>
      <c r="H2606" s="3" t="s">
        <v>13</v>
      </c>
      <c r="I2606" s="3">
        <v>163284000</v>
      </c>
    </row>
    <row r="2607" spans="1:9" x14ac:dyDescent="0.35">
      <c r="A2607" t="str">
        <f>"53038"</f>
        <v>53038</v>
      </c>
      <c r="B2607" t="s">
        <v>9</v>
      </c>
      <c r="C2607" t="s">
        <v>1050</v>
      </c>
      <c r="D2607" s="5" t="s">
        <v>11</v>
      </c>
      <c r="E2607" s="5" t="s">
        <v>12</v>
      </c>
      <c r="F2607" s="3" t="s">
        <v>13</v>
      </c>
      <c r="G2607" s="3" t="s">
        <v>13</v>
      </c>
      <c r="H2607" s="3" t="s">
        <v>13</v>
      </c>
      <c r="I2607" s="3">
        <v>439990100</v>
      </c>
    </row>
    <row r="2608" spans="1:9" x14ac:dyDescent="0.35">
      <c r="A2608" t="str">
        <f>"53040"</f>
        <v>53040</v>
      </c>
      <c r="B2608" t="s">
        <v>9</v>
      </c>
      <c r="C2608" t="s">
        <v>164</v>
      </c>
      <c r="D2608" s="5" t="s">
        <v>11</v>
      </c>
      <c r="E2608" s="5" t="s">
        <v>12</v>
      </c>
      <c r="F2608" s="3" t="s">
        <v>13</v>
      </c>
      <c r="G2608" s="3" t="s">
        <v>13</v>
      </c>
      <c r="H2608" s="3" t="s">
        <v>13</v>
      </c>
      <c r="I2608" s="3">
        <v>357765700</v>
      </c>
    </row>
    <row r="2609" spans="1:9" x14ac:dyDescent="0.35">
      <c r="A2609" t="s">
        <v>30</v>
      </c>
      <c r="B2609" t="s">
        <v>31</v>
      </c>
      <c r="C2609" t="s">
        <v>32</v>
      </c>
      <c r="D2609" s="5" t="s">
        <v>11</v>
      </c>
      <c r="E2609" s="5" t="s">
        <v>12</v>
      </c>
      <c r="F2609" s="3" t="s">
        <v>13</v>
      </c>
      <c r="G2609" s="3" t="s">
        <v>13</v>
      </c>
      <c r="H2609" s="3" t="s">
        <v>13</v>
      </c>
      <c r="I2609" s="3">
        <v>7441467400</v>
      </c>
    </row>
    <row r="2610" spans="1:9" x14ac:dyDescent="0.35">
      <c r="A2610" t="str">
        <f>"53111"</f>
        <v>53111</v>
      </c>
      <c r="B2610" t="s">
        <v>33</v>
      </c>
      <c r="C2610" t="s">
        <v>61</v>
      </c>
      <c r="D2610" s="5" t="s">
        <v>11</v>
      </c>
      <c r="E2610" s="5" t="s">
        <v>12</v>
      </c>
      <c r="F2610" s="3" t="s">
        <v>13</v>
      </c>
      <c r="G2610" s="3" t="s">
        <v>13</v>
      </c>
      <c r="H2610" s="3" t="s">
        <v>13</v>
      </c>
      <c r="I2610" s="3">
        <v>250538500</v>
      </c>
    </row>
    <row r="2611" spans="1:9" x14ac:dyDescent="0.35">
      <c r="A2611" t="str">
        <f>"53126"</f>
        <v>53126</v>
      </c>
      <c r="B2611" t="s">
        <v>33</v>
      </c>
      <c r="C2611" t="s">
        <v>1051</v>
      </c>
      <c r="D2611" s="5" t="str">
        <f>"002"</f>
        <v>002</v>
      </c>
      <c r="E2611" s="5">
        <v>2025</v>
      </c>
      <c r="F2611" s="3">
        <v>8982900</v>
      </c>
      <c r="G2611" s="3">
        <v>11165000</v>
      </c>
      <c r="H2611" s="3">
        <v>2182100</v>
      </c>
    </row>
    <row r="2612" spans="1:9" x14ac:dyDescent="0.35">
      <c r="A2612" t="str">
        <f>"53126"</f>
        <v>53126</v>
      </c>
      <c r="B2612" t="s">
        <v>33</v>
      </c>
      <c r="C2612" t="s">
        <v>1051</v>
      </c>
      <c r="D2612" s="5" t="s">
        <v>11</v>
      </c>
      <c r="E2612" s="5" t="s">
        <v>12</v>
      </c>
      <c r="F2612" s="3" t="s">
        <v>13</v>
      </c>
      <c r="G2612" s="3" t="s">
        <v>13</v>
      </c>
      <c r="H2612" s="3" t="s">
        <v>13</v>
      </c>
      <c r="I2612" s="3">
        <v>97131200</v>
      </c>
    </row>
    <row r="2613" spans="1:9" x14ac:dyDescent="0.35">
      <c r="A2613" t="str">
        <f>"53165"</f>
        <v>53165</v>
      </c>
      <c r="B2613" t="s">
        <v>33</v>
      </c>
      <c r="C2613" t="s">
        <v>1052</v>
      </c>
      <c r="D2613" s="5" t="str">
        <f>"003"</f>
        <v>003</v>
      </c>
      <c r="E2613" s="5">
        <v>2000</v>
      </c>
      <c r="F2613" s="3">
        <v>512700</v>
      </c>
      <c r="G2613" s="3">
        <v>13555000</v>
      </c>
      <c r="H2613" s="3">
        <v>13042300</v>
      </c>
    </row>
    <row r="2614" spans="1:9" x14ac:dyDescent="0.35">
      <c r="A2614" t="str">
        <f>"53165"</f>
        <v>53165</v>
      </c>
      <c r="B2614" t="s">
        <v>33</v>
      </c>
      <c r="C2614" t="s">
        <v>1052</v>
      </c>
      <c r="D2614" s="5" t="s">
        <v>11</v>
      </c>
      <c r="E2614" s="5" t="s">
        <v>12</v>
      </c>
      <c r="F2614" s="3" t="s">
        <v>13</v>
      </c>
      <c r="G2614" s="3" t="s">
        <v>13</v>
      </c>
      <c r="H2614" s="3" t="s">
        <v>13</v>
      </c>
      <c r="I2614" s="3">
        <v>166467400</v>
      </c>
    </row>
    <row r="2615" spans="1:9" x14ac:dyDescent="0.35">
      <c r="A2615" t="s">
        <v>30</v>
      </c>
      <c r="B2615" t="s">
        <v>35</v>
      </c>
      <c r="C2615" t="s">
        <v>32</v>
      </c>
      <c r="D2615" s="5" t="s">
        <v>11</v>
      </c>
      <c r="E2615" s="5" t="s">
        <v>12</v>
      </c>
      <c r="F2615" s="3" t="s">
        <v>13</v>
      </c>
      <c r="G2615" s="3" t="s">
        <v>13</v>
      </c>
      <c r="H2615" s="3" t="s">
        <v>13</v>
      </c>
      <c r="I2615" s="3">
        <v>514137100</v>
      </c>
    </row>
    <row r="2616" spans="1:9" x14ac:dyDescent="0.35">
      <c r="A2616" t="str">
        <f>"53206"</f>
        <v>53206</v>
      </c>
      <c r="B2616" t="s">
        <v>36</v>
      </c>
      <c r="C2616" t="s">
        <v>1041</v>
      </c>
      <c r="D2616" s="5" t="str">
        <f>"014"</f>
        <v>014</v>
      </c>
      <c r="E2616" s="5">
        <v>2007</v>
      </c>
      <c r="F2616" s="3">
        <v>10510700</v>
      </c>
      <c r="G2616" s="3">
        <v>18353100</v>
      </c>
      <c r="H2616" s="3">
        <v>7842400</v>
      </c>
    </row>
    <row r="2617" spans="1:9" x14ac:dyDescent="0.35">
      <c r="A2617" t="str">
        <f>"53206"</f>
        <v>53206</v>
      </c>
      <c r="B2617" t="s">
        <v>36</v>
      </c>
      <c r="C2617" t="s">
        <v>1041</v>
      </c>
      <c r="D2617" s="5" t="str">
        <f>"015"</f>
        <v>015</v>
      </c>
      <c r="E2617" s="5">
        <v>2023</v>
      </c>
      <c r="F2617" s="3">
        <v>63407700</v>
      </c>
      <c r="G2617" s="3">
        <v>105427600</v>
      </c>
      <c r="H2617" s="3">
        <v>42019900</v>
      </c>
    </row>
    <row r="2618" spans="1:9" x14ac:dyDescent="0.35">
      <c r="A2618" t="str">
        <f>"53206"</f>
        <v>53206</v>
      </c>
      <c r="B2618" t="s">
        <v>36</v>
      </c>
      <c r="C2618" t="s">
        <v>1041</v>
      </c>
      <c r="D2618" s="5" t="str">
        <f>"016"</f>
        <v>016</v>
      </c>
      <c r="E2618" s="5">
        <v>2025</v>
      </c>
      <c r="F2618" s="3">
        <v>90972400</v>
      </c>
      <c r="G2618" s="3">
        <v>106773800</v>
      </c>
      <c r="H2618" s="3">
        <v>15801400</v>
      </c>
    </row>
    <row r="2619" spans="1:9" x14ac:dyDescent="0.35">
      <c r="A2619" t="str">
        <f>"53206"</f>
        <v>53206</v>
      </c>
      <c r="B2619" t="s">
        <v>36</v>
      </c>
      <c r="C2619" t="s">
        <v>1041</v>
      </c>
      <c r="D2619" s="5" t="s">
        <v>11</v>
      </c>
      <c r="E2619" s="5" t="s">
        <v>12</v>
      </c>
      <c r="F2619" s="3" t="s">
        <v>13</v>
      </c>
      <c r="G2619" s="3" t="s">
        <v>13</v>
      </c>
      <c r="H2619" s="3" t="s">
        <v>13</v>
      </c>
      <c r="I2619" s="3">
        <v>3615305300</v>
      </c>
    </row>
    <row r="2620" spans="1:9" x14ac:dyDescent="0.35">
      <c r="A2620" t="str">
        <f>"53210"</f>
        <v>53210</v>
      </c>
      <c r="B2620" t="s">
        <v>36</v>
      </c>
      <c r="C2620" t="s">
        <v>544</v>
      </c>
      <c r="D2620" s="5" t="str">
        <f>"006"</f>
        <v>006</v>
      </c>
      <c r="E2620" s="5">
        <v>2006</v>
      </c>
      <c r="F2620" s="3">
        <v>102100</v>
      </c>
      <c r="G2620" s="3">
        <v>7880600</v>
      </c>
      <c r="H2620" s="3">
        <v>7778500</v>
      </c>
    </row>
    <row r="2621" spans="1:9" x14ac:dyDescent="0.35">
      <c r="A2621" t="str">
        <f>"53210"</f>
        <v>53210</v>
      </c>
      <c r="B2621" t="s">
        <v>36</v>
      </c>
      <c r="C2621" t="s">
        <v>544</v>
      </c>
      <c r="D2621" s="5" t="str">
        <f>"009"</f>
        <v>009</v>
      </c>
      <c r="E2621" s="5">
        <v>2025</v>
      </c>
      <c r="F2621" s="3">
        <v>1251400</v>
      </c>
      <c r="G2621" s="3">
        <v>2418100</v>
      </c>
      <c r="H2621" s="3">
        <v>1166700</v>
      </c>
    </row>
    <row r="2622" spans="1:9" x14ac:dyDescent="0.35">
      <c r="A2622" t="str">
        <f>"53210"</f>
        <v>53210</v>
      </c>
      <c r="B2622" t="s">
        <v>36</v>
      </c>
      <c r="C2622" t="s">
        <v>544</v>
      </c>
      <c r="D2622" s="5" t="s">
        <v>11</v>
      </c>
      <c r="E2622" s="5" t="s">
        <v>12</v>
      </c>
      <c r="F2622" s="3" t="s">
        <v>13</v>
      </c>
      <c r="G2622" s="3" t="s">
        <v>13</v>
      </c>
      <c r="H2622" s="3" t="s">
        <v>13</v>
      </c>
      <c r="I2622" s="3">
        <v>8823000</v>
      </c>
    </row>
    <row r="2623" spans="1:9" x14ac:dyDescent="0.35">
      <c r="A2623" t="str">
        <f t="shared" ref="A2623:A2629" si="63">"53221"</f>
        <v>53221</v>
      </c>
      <c r="B2623" t="s">
        <v>36</v>
      </c>
      <c r="C2623" t="s">
        <v>343</v>
      </c>
      <c r="D2623" s="5" t="str">
        <f>"006"</f>
        <v>006</v>
      </c>
      <c r="E2623" s="5">
        <v>2000</v>
      </c>
      <c r="F2623" s="3">
        <v>10294100</v>
      </c>
      <c r="G2623" s="3">
        <v>46500100</v>
      </c>
      <c r="H2623" s="3">
        <v>36206000</v>
      </c>
    </row>
    <row r="2624" spans="1:9" x14ac:dyDescent="0.35">
      <c r="A2624" t="str">
        <f t="shared" si="63"/>
        <v>53221</v>
      </c>
      <c r="B2624" t="s">
        <v>36</v>
      </c>
      <c r="C2624" t="s">
        <v>343</v>
      </c>
      <c r="D2624" s="5" t="str">
        <f>"007"</f>
        <v>007</v>
      </c>
      <c r="E2624" s="5">
        <v>2000</v>
      </c>
      <c r="F2624" s="3">
        <v>650100</v>
      </c>
      <c r="G2624" s="3">
        <v>4627000</v>
      </c>
      <c r="H2624" s="3">
        <v>3976900</v>
      </c>
    </row>
    <row r="2625" spans="1:9" x14ac:dyDescent="0.35">
      <c r="A2625" t="str">
        <f t="shared" si="63"/>
        <v>53221</v>
      </c>
      <c r="B2625" t="s">
        <v>36</v>
      </c>
      <c r="C2625" t="s">
        <v>343</v>
      </c>
      <c r="D2625" s="5" t="str">
        <f>"009"</f>
        <v>009</v>
      </c>
      <c r="E2625" s="5">
        <v>2021</v>
      </c>
      <c r="F2625" s="3">
        <v>9930900</v>
      </c>
      <c r="G2625" s="3">
        <v>24053300</v>
      </c>
      <c r="H2625" s="3">
        <v>14122400</v>
      </c>
    </row>
    <row r="2626" spans="1:9" x14ac:dyDescent="0.35">
      <c r="A2626" t="str">
        <f t="shared" si="63"/>
        <v>53221</v>
      </c>
      <c r="B2626" t="s">
        <v>36</v>
      </c>
      <c r="C2626" t="s">
        <v>343</v>
      </c>
      <c r="D2626" s="5" t="str">
        <f>"010"</f>
        <v>010</v>
      </c>
      <c r="E2626" s="5">
        <v>2024</v>
      </c>
      <c r="F2626" s="3">
        <v>15483100</v>
      </c>
      <c r="G2626" s="3">
        <v>18273800</v>
      </c>
      <c r="H2626" s="3">
        <v>2790700</v>
      </c>
    </row>
    <row r="2627" spans="1:9" x14ac:dyDescent="0.35">
      <c r="A2627" t="str">
        <f t="shared" si="63"/>
        <v>53221</v>
      </c>
      <c r="B2627" t="s">
        <v>36</v>
      </c>
      <c r="C2627" t="s">
        <v>343</v>
      </c>
      <c r="D2627" s="5" t="str">
        <f>"011"</f>
        <v>011</v>
      </c>
      <c r="E2627" s="5">
        <v>2024</v>
      </c>
      <c r="F2627" s="3">
        <v>3724400</v>
      </c>
      <c r="G2627" s="3">
        <v>4351200</v>
      </c>
      <c r="H2627" s="3">
        <v>626800</v>
      </c>
    </row>
    <row r="2628" spans="1:9" x14ac:dyDescent="0.35">
      <c r="A2628" t="str">
        <f t="shared" si="63"/>
        <v>53221</v>
      </c>
      <c r="B2628" t="s">
        <v>36</v>
      </c>
      <c r="C2628" t="s">
        <v>343</v>
      </c>
      <c r="D2628" s="5" t="str">
        <f>"012"</f>
        <v>012</v>
      </c>
      <c r="E2628" s="5">
        <v>2024</v>
      </c>
      <c r="F2628" s="3">
        <v>1949200</v>
      </c>
      <c r="G2628" s="3">
        <v>3402800</v>
      </c>
      <c r="H2628" s="3">
        <v>1453600</v>
      </c>
    </row>
    <row r="2629" spans="1:9" x14ac:dyDescent="0.35">
      <c r="A2629" t="str">
        <f t="shared" si="63"/>
        <v>53221</v>
      </c>
      <c r="B2629" t="s">
        <v>36</v>
      </c>
      <c r="C2629" t="s">
        <v>343</v>
      </c>
      <c r="D2629" s="5" t="s">
        <v>11</v>
      </c>
      <c r="E2629" s="5" t="s">
        <v>12</v>
      </c>
      <c r="F2629" s="3" t="s">
        <v>13</v>
      </c>
      <c r="G2629" s="3" t="s">
        <v>13</v>
      </c>
      <c r="H2629" s="3" t="s">
        <v>13</v>
      </c>
      <c r="I2629" s="3">
        <v>661236900</v>
      </c>
    </row>
    <row r="2630" spans="1:9" x14ac:dyDescent="0.35">
      <c r="A2630" t="str">
        <f>"53222"</f>
        <v>53222</v>
      </c>
      <c r="B2630" t="s">
        <v>36</v>
      </c>
      <c r="C2630" t="s">
        <v>1053</v>
      </c>
      <c r="D2630" s="5" t="str">
        <f>"005"</f>
        <v>005</v>
      </c>
      <c r="E2630" s="5">
        <v>2004</v>
      </c>
      <c r="F2630" s="3">
        <v>10731100</v>
      </c>
      <c r="G2630" s="3">
        <v>34292900</v>
      </c>
      <c r="H2630" s="3">
        <v>23561800</v>
      </c>
    </row>
    <row r="2631" spans="1:9" x14ac:dyDescent="0.35">
      <c r="A2631" t="str">
        <f>"53222"</f>
        <v>53222</v>
      </c>
      <c r="B2631" t="s">
        <v>36</v>
      </c>
      <c r="C2631" t="s">
        <v>1053</v>
      </c>
      <c r="D2631" s="5" t="str">
        <f>"008"</f>
        <v>008</v>
      </c>
      <c r="E2631" s="5">
        <v>2008</v>
      </c>
      <c r="F2631" s="3">
        <v>2616300</v>
      </c>
      <c r="G2631" s="3">
        <v>6807900</v>
      </c>
      <c r="H2631" s="3">
        <v>4191600</v>
      </c>
    </row>
    <row r="2632" spans="1:9" x14ac:dyDescent="0.35">
      <c r="A2632" t="str">
        <f>"53222"</f>
        <v>53222</v>
      </c>
      <c r="B2632" t="s">
        <v>36</v>
      </c>
      <c r="C2632" t="s">
        <v>1053</v>
      </c>
      <c r="D2632" s="5" t="str">
        <f>"009"</f>
        <v>009</v>
      </c>
      <c r="E2632" s="5">
        <v>2018</v>
      </c>
      <c r="F2632" s="3">
        <v>500</v>
      </c>
      <c r="G2632" s="3">
        <v>2687300</v>
      </c>
      <c r="H2632" s="3">
        <v>2686800</v>
      </c>
    </row>
    <row r="2633" spans="1:9" x14ac:dyDescent="0.35">
      <c r="A2633" t="str">
        <f>"53222"</f>
        <v>53222</v>
      </c>
      <c r="B2633" t="s">
        <v>36</v>
      </c>
      <c r="C2633" t="s">
        <v>1053</v>
      </c>
      <c r="D2633" s="5" t="str">
        <f>"010"</f>
        <v>010</v>
      </c>
      <c r="E2633" s="5">
        <v>2024</v>
      </c>
      <c r="F2633" s="3">
        <v>888300</v>
      </c>
      <c r="G2633" s="3">
        <v>803100</v>
      </c>
      <c r="H2633" s="3">
        <v>0</v>
      </c>
    </row>
    <row r="2634" spans="1:9" x14ac:dyDescent="0.35">
      <c r="A2634" t="str">
        <f>"53222"</f>
        <v>53222</v>
      </c>
      <c r="B2634" t="s">
        <v>36</v>
      </c>
      <c r="C2634" t="s">
        <v>1053</v>
      </c>
      <c r="D2634" s="5" t="s">
        <v>11</v>
      </c>
      <c r="E2634" s="5" t="s">
        <v>12</v>
      </c>
      <c r="F2634" s="3" t="s">
        <v>13</v>
      </c>
      <c r="G2634" s="3" t="s">
        <v>13</v>
      </c>
      <c r="H2634" s="3" t="s">
        <v>13</v>
      </c>
      <c r="I2634" s="3">
        <v>824750500</v>
      </c>
    </row>
    <row r="2635" spans="1:9" x14ac:dyDescent="0.35">
      <c r="A2635" t="str">
        <f t="shared" ref="A2635:A2647" si="64">"53241"</f>
        <v>53241</v>
      </c>
      <c r="B2635" t="s">
        <v>36</v>
      </c>
      <c r="C2635" t="s">
        <v>1044</v>
      </c>
      <c r="D2635" s="5" t="str">
        <f>"023"</f>
        <v>023</v>
      </c>
      <c r="E2635" s="5">
        <v>2002</v>
      </c>
      <c r="F2635" s="3">
        <v>4300600</v>
      </c>
      <c r="G2635" s="3">
        <v>7650700</v>
      </c>
      <c r="H2635" s="3">
        <v>3350100</v>
      </c>
    </row>
    <row r="2636" spans="1:9" x14ac:dyDescent="0.35">
      <c r="A2636" t="str">
        <f t="shared" si="64"/>
        <v>53241</v>
      </c>
      <c r="B2636" t="s">
        <v>36</v>
      </c>
      <c r="C2636" t="s">
        <v>1044</v>
      </c>
      <c r="D2636" s="5" t="str">
        <f>"028"</f>
        <v>028</v>
      </c>
      <c r="E2636" s="5">
        <v>2006</v>
      </c>
      <c r="F2636" s="3">
        <v>2366600</v>
      </c>
      <c r="G2636" s="3">
        <v>3580600</v>
      </c>
      <c r="H2636" s="3">
        <v>1214000</v>
      </c>
    </row>
    <row r="2637" spans="1:9" x14ac:dyDescent="0.35">
      <c r="A2637" t="str">
        <f t="shared" si="64"/>
        <v>53241</v>
      </c>
      <c r="B2637" t="s">
        <v>36</v>
      </c>
      <c r="C2637" t="s">
        <v>1044</v>
      </c>
      <c r="D2637" s="5" t="str">
        <f>"032"</f>
        <v>032</v>
      </c>
      <c r="E2637" s="5">
        <v>2008</v>
      </c>
      <c r="F2637" s="3">
        <v>73995000</v>
      </c>
      <c r="G2637" s="3">
        <v>292475200</v>
      </c>
      <c r="H2637" s="3">
        <v>218480200</v>
      </c>
    </row>
    <row r="2638" spans="1:9" x14ac:dyDescent="0.35">
      <c r="A2638" t="str">
        <f t="shared" si="64"/>
        <v>53241</v>
      </c>
      <c r="B2638" t="s">
        <v>36</v>
      </c>
      <c r="C2638" t="s">
        <v>1044</v>
      </c>
      <c r="D2638" s="5" t="str">
        <f>"035"</f>
        <v>035</v>
      </c>
      <c r="E2638" s="5">
        <v>2011</v>
      </c>
      <c r="F2638" s="3">
        <v>25427100</v>
      </c>
      <c r="G2638" s="3">
        <v>314633000</v>
      </c>
      <c r="H2638" s="3">
        <v>289205900</v>
      </c>
    </row>
    <row r="2639" spans="1:9" x14ac:dyDescent="0.35">
      <c r="A2639" t="str">
        <f t="shared" si="64"/>
        <v>53241</v>
      </c>
      <c r="B2639" t="s">
        <v>36</v>
      </c>
      <c r="C2639" t="s">
        <v>1044</v>
      </c>
      <c r="D2639" s="5" t="str">
        <f>"036"</f>
        <v>036</v>
      </c>
      <c r="E2639" s="5">
        <v>2016</v>
      </c>
      <c r="F2639" s="3">
        <v>84383200</v>
      </c>
      <c r="G2639" s="3">
        <v>168069900</v>
      </c>
      <c r="H2639" s="3">
        <v>83686700</v>
      </c>
    </row>
    <row r="2640" spans="1:9" x14ac:dyDescent="0.35">
      <c r="A2640" t="str">
        <f t="shared" si="64"/>
        <v>53241</v>
      </c>
      <c r="B2640" t="s">
        <v>36</v>
      </c>
      <c r="C2640" t="s">
        <v>1044</v>
      </c>
      <c r="D2640" s="5" t="str">
        <f>"037"</f>
        <v>037</v>
      </c>
      <c r="E2640" s="5">
        <v>2017</v>
      </c>
      <c r="F2640" s="3">
        <v>6980700</v>
      </c>
      <c r="G2640" s="3">
        <v>36596600</v>
      </c>
      <c r="H2640" s="3">
        <v>29615900</v>
      </c>
    </row>
    <row r="2641" spans="1:9" x14ac:dyDescent="0.35">
      <c r="A2641" t="str">
        <f t="shared" si="64"/>
        <v>53241</v>
      </c>
      <c r="B2641" t="s">
        <v>36</v>
      </c>
      <c r="C2641" t="s">
        <v>1044</v>
      </c>
      <c r="D2641" s="5" t="str">
        <f>"038"</f>
        <v>038</v>
      </c>
      <c r="E2641" s="5">
        <v>2020</v>
      </c>
      <c r="F2641" s="3">
        <v>39013900</v>
      </c>
      <c r="G2641" s="3">
        <v>65302100</v>
      </c>
      <c r="H2641" s="3">
        <v>26288200</v>
      </c>
    </row>
    <row r="2642" spans="1:9" x14ac:dyDescent="0.35">
      <c r="A2642" t="str">
        <f t="shared" si="64"/>
        <v>53241</v>
      </c>
      <c r="B2642" t="s">
        <v>36</v>
      </c>
      <c r="C2642" t="s">
        <v>1044</v>
      </c>
      <c r="D2642" s="5" t="str">
        <f>"039"</f>
        <v>039</v>
      </c>
      <c r="E2642" s="5">
        <v>2022</v>
      </c>
      <c r="F2642" s="3">
        <v>4074300</v>
      </c>
      <c r="G2642" s="3">
        <v>15118700</v>
      </c>
      <c r="H2642" s="3">
        <v>11044400</v>
      </c>
    </row>
    <row r="2643" spans="1:9" x14ac:dyDescent="0.35">
      <c r="A2643" t="str">
        <f t="shared" si="64"/>
        <v>53241</v>
      </c>
      <c r="B2643" t="s">
        <v>36</v>
      </c>
      <c r="C2643" t="s">
        <v>1044</v>
      </c>
      <c r="D2643" s="5" t="str">
        <f>"040"</f>
        <v>040</v>
      </c>
      <c r="E2643" s="5">
        <v>2022</v>
      </c>
      <c r="F2643" s="3">
        <v>818400</v>
      </c>
      <c r="G2643" s="3">
        <v>1866900</v>
      </c>
      <c r="H2643" s="3">
        <v>1048500</v>
      </c>
    </row>
    <row r="2644" spans="1:9" x14ac:dyDescent="0.35">
      <c r="A2644" t="str">
        <f t="shared" si="64"/>
        <v>53241</v>
      </c>
      <c r="B2644" t="s">
        <v>36</v>
      </c>
      <c r="C2644" t="s">
        <v>1044</v>
      </c>
      <c r="D2644" s="5" t="str">
        <f>"041"</f>
        <v>041</v>
      </c>
      <c r="E2644" s="5">
        <v>2023</v>
      </c>
      <c r="F2644" s="3">
        <v>41497800</v>
      </c>
      <c r="G2644" s="3">
        <v>49168000</v>
      </c>
      <c r="H2644" s="3">
        <v>7670200</v>
      </c>
    </row>
    <row r="2645" spans="1:9" x14ac:dyDescent="0.35">
      <c r="A2645" t="str">
        <f t="shared" si="64"/>
        <v>53241</v>
      </c>
      <c r="B2645" t="s">
        <v>36</v>
      </c>
      <c r="C2645" t="s">
        <v>1044</v>
      </c>
      <c r="D2645" s="5" t="str">
        <f>"042"</f>
        <v>042</v>
      </c>
      <c r="E2645" s="5">
        <v>2023</v>
      </c>
      <c r="F2645" s="3">
        <v>11585600</v>
      </c>
      <c r="G2645" s="3">
        <v>10853100</v>
      </c>
      <c r="H2645" s="3">
        <v>0</v>
      </c>
    </row>
    <row r="2646" spans="1:9" x14ac:dyDescent="0.35">
      <c r="A2646" t="str">
        <f t="shared" si="64"/>
        <v>53241</v>
      </c>
      <c r="B2646" t="s">
        <v>36</v>
      </c>
      <c r="C2646" t="s">
        <v>1044</v>
      </c>
      <c r="D2646" s="5" t="str">
        <f>"043"</f>
        <v>043</v>
      </c>
      <c r="E2646" s="5">
        <v>2025</v>
      </c>
      <c r="F2646" s="3">
        <v>0</v>
      </c>
      <c r="G2646" s="3">
        <v>8497500</v>
      </c>
      <c r="H2646" s="3">
        <v>8497500</v>
      </c>
    </row>
    <row r="2647" spans="1:9" x14ac:dyDescent="0.35">
      <c r="A2647" t="str">
        <f t="shared" si="64"/>
        <v>53241</v>
      </c>
      <c r="B2647" t="s">
        <v>36</v>
      </c>
      <c r="C2647" t="s">
        <v>1044</v>
      </c>
      <c r="D2647" s="5" t="s">
        <v>11</v>
      </c>
      <c r="E2647" s="5" t="s">
        <v>12</v>
      </c>
      <c r="F2647" s="3" t="s">
        <v>13</v>
      </c>
      <c r="G2647" s="3" t="s">
        <v>13</v>
      </c>
      <c r="H2647" s="3" t="s">
        <v>13</v>
      </c>
      <c r="I2647" s="3">
        <v>8467079500</v>
      </c>
    </row>
    <row r="2648" spans="1:9" x14ac:dyDescent="0.35">
      <c r="A2648" t="str">
        <f>"53257"</f>
        <v>53257</v>
      </c>
      <c r="B2648" t="s">
        <v>36</v>
      </c>
      <c r="C2648" t="s">
        <v>140</v>
      </c>
      <c r="D2648" s="5" t="str">
        <f>"007"</f>
        <v>007</v>
      </c>
      <c r="E2648" s="5">
        <v>2004</v>
      </c>
      <c r="F2648" s="3">
        <v>7960700</v>
      </c>
      <c r="G2648" s="3">
        <v>24656500</v>
      </c>
      <c r="H2648" s="3">
        <v>16695800</v>
      </c>
    </row>
    <row r="2649" spans="1:9" x14ac:dyDescent="0.35">
      <c r="A2649" t="str">
        <f>"53257"</f>
        <v>53257</v>
      </c>
      <c r="B2649" t="s">
        <v>36</v>
      </c>
      <c r="C2649" t="s">
        <v>140</v>
      </c>
      <c r="D2649" s="5" t="str">
        <f>"009"</f>
        <v>009</v>
      </c>
      <c r="E2649" s="5">
        <v>2016</v>
      </c>
      <c r="F2649" s="3">
        <v>174700</v>
      </c>
      <c r="G2649" s="3">
        <v>16381000</v>
      </c>
      <c r="H2649" s="3">
        <v>16206300</v>
      </c>
    </row>
    <row r="2650" spans="1:9" x14ac:dyDescent="0.35">
      <c r="A2650" t="str">
        <f>"53257"</f>
        <v>53257</v>
      </c>
      <c r="B2650" t="s">
        <v>36</v>
      </c>
      <c r="C2650" t="s">
        <v>140</v>
      </c>
      <c r="D2650" s="5" t="str">
        <f>"010"</f>
        <v>010</v>
      </c>
      <c r="E2650" s="5">
        <v>2018</v>
      </c>
      <c r="F2650" s="3">
        <v>18878600</v>
      </c>
      <c r="G2650" s="3">
        <v>65694400</v>
      </c>
      <c r="H2650" s="3">
        <v>46815800</v>
      </c>
    </row>
    <row r="2651" spans="1:9" x14ac:dyDescent="0.35">
      <c r="A2651" t="str">
        <f>"53257"</f>
        <v>53257</v>
      </c>
      <c r="B2651" t="s">
        <v>36</v>
      </c>
      <c r="C2651" t="s">
        <v>140</v>
      </c>
      <c r="D2651" s="5" t="str">
        <f>"011"</f>
        <v>011</v>
      </c>
      <c r="E2651" s="5">
        <v>2021</v>
      </c>
      <c r="F2651" s="3">
        <v>4605300</v>
      </c>
      <c r="G2651" s="3">
        <v>101169500</v>
      </c>
      <c r="H2651" s="3">
        <v>96564200</v>
      </c>
    </row>
    <row r="2652" spans="1:9" x14ac:dyDescent="0.35">
      <c r="A2652" t="str">
        <f>"53257"</f>
        <v>53257</v>
      </c>
      <c r="B2652" t="s">
        <v>36</v>
      </c>
      <c r="C2652" t="s">
        <v>140</v>
      </c>
      <c r="D2652" s="5" t="s">
        <v>11</v>
      </c>
      <c r="E2652" s="5" t="s">
        <v>12</v>
      </c>
      <c r="F2652" s="3" t="s">
        <v>13</v>
      </c>
      <c r="G2652" s="3" t="s">
        <v>13</v>
      </c>
      <c r="H2652" s="3" t="s">
        <v>13</v>
      </c>
      <c r="I2652" s="3">
        <v>750589800</v>
      </c>
    </row>
    <row r="2653" spans="1:9" x14ac:dyDescent="0.35">
      <c r="A2653" t="s">
        <v>30</v>
      </c>
      <c r="B2653" t="s">
        <v>38</v>
      </c>
      <c r="C2653" t="s">
        <v>32</v>
      </c>
      <c r="D2653" s="5" t="s">
        <v>11</v>
      </c>
      <c r="E2653" s="5" t="s">
        <v>12</v>
      </c>
      <c r="F2653" s="3" t="s">
        <v>13</v>
      </c>
      <c r="G2653" s="3" t="s">
        <v>13</v>
      </c>
      <c r="H2653" s="3" t="s">
        <v>13</v>
      </c>
      <c r="I2653" s="3">
        <v>14327785000</v>
      </c>
    </row>
    <row r="2654" spans="1:9" x14ac:dyDescent="0.35">
      <c r="A2654" t="s">
        <v>30</v>
      </c>
      <c r="B2654" t="s">
        <v>39</v>
      </c>
      <c r="C2654" t="s">
        <v>1049</v>
      </c>
      <c r="D2654" s="5" t="s">
        <v>11</v>
      </c>
      <c r="E2654" s="5" t="s">
        <v>12</v>
      </c>
      <c r="F2654" s="3" t="s">
        <v>13</v>
      </c>
      <c r="G2654" s="3" t="s">
        <v>13</v>
      </c>
      <c r="H2654" s="3" t="s">
        <v>13</v>
      </c>
      <c r="I2654" s="3">
        <v>22283389500</v>
      </c>
    </row>
    <row r="2655" spans="1:9" x14ac:dyDescent="0.35">
      <c r="A2655" t="str">
        <f>"54002"</f>
        <v>54002</v>
      </c>
      <c r="B2655" t="s">
        <v>9</v>
      </c>
      <c r="C2655" t="s">
        <v>1054</v>
      </c>
      <c r="D2655" s="5" t="s">
        <v>11</v>
      </c>
      <c r="E2655" s="5" t="s">
        <v>12</v>
      </c>
      <c r="F2655" s="3" t="s">
        <v>13</v>
      </c>
      <c r="G2655" s="3" t="s">
        <v>13</v>
      </c>
      <c r="H2655" s="3" t="s">
        <v>13</v>
      </c>
      <c r="I2655" s="3">
        <v>113567800</v>
      </c>
    </row>
    <row r="2656" spans="1:9" x14ac:dyDescent="0.35">
      <c r="A2656" t="str">
        <f>"54004"</f>
        <v>54004</v>
      </c>
      <c r="B2656" t="s">
        <v>9</v>
      </c>
      <c r="C2656" t="s">
        <v>1055</v>
      </c>
      <c r="D2656" s="5" t="s">
        <v>11</v>
      </c>
      <c r="E2656" s="5" t="s">
        <v>12</v>
      </c>
      <c r="F2656" s="3" t="s">
        <v>13</v>
      </c>
      <c r="G2656" s="3" t="s">
        <v>13</v>
      </c>
      <c r="H2656" s="3" t="s">
        <v>13</v>
      </c>
      <c r="I2656" s="3">
        <v>299323900</v>
      </c>
    </row>
    <row r="2657" spans="1:9" x14ac:dyDescent="0.35">
      <c r="A2657" t="str">
        <f>"54006"</f>
        <v>54006</v>
      </c>
      <c r="B2657" t="s">
        <v>9</v>
      </c>
      <c r="C2657" t="s">
        <v>1056</v>
      </c>
      <c r="D2657" s="5" t="s">
        <v>11</v>
      </c>
      <c r="E2657" s="5" t="s">
        <v>12</v>
      </c>
      <c r="F2657" s="3" t="s">
        <v>13</v>
      </c>
      <c r="G2657" s="3" t="s">
        <v>13</v>
      </c>
      <c r="H2657" s="3" t="s">
        <v>13</v>
      </c>
      <c r="I2657" s="3">
        <v>23248800</v>
      </c>
    </row>
    <row r="2658" spans="1:9" x14ac:dyDescent="0.35">
      <c r="A2658" t="str">
        <f>"54008"</f>
        <v>54008</v>
      </c>
      <c r="B2658" t="s">
        <v>9</v>
      </c>
      <c r="C2658" t="s">
        <v>1057</v>
      </c>
      <c r="D2658" s="5" t="s">
        <v>11</v>
      </c>
      <c r="E2658" s="5" t="s">
        <v>12</v>
      </c>
      <c r="F2658" s="3" t="s">
        <v>13</v>
      </c>
      <c r="G2658" s="3" t="s">
        <v>13</v>
      </c>
      <c r="H2658" s="3" t="s">
        <v>13</v>
      </c>
      <c r="I2658" s="3">
        <v>8802400</v>
      </c>
    </row>
    <row r="2659" spans="1:9" x14ac:dyDescent="0.35">
      <c r="A2659" t="str">
        <f>"54010"</f>
        <v>54010</v>
      </c>
      <c r="B2659" t="s">
        <v>9</v>
      </c>
      <c r="C2659" t="s">
        <v>153</v>
      </c>
      <c r="D2659" s="5" t="s">
        <v>11</v>
      </c>
      <c r="E2659" s="5" t="s">
        <v>12</v>
      </c>
      <c r="F2659" s="3" t="s">
        <v>13</v>
      </c>
      <c r="G2659" s="3" t="s">
        <v>13</v>
      </c>
      <c r="H2659" s="3" t="s">
        <v>13</v>
      </c>
      <c r="I2659" s="3">
        <v>164302100</v>
      </c>
    </row>
    <row r="2660" spans="1:9" x14ac:dyDescent="0.35">
      <c r="A2660" t="str">
        <f>"54012"</f>
        <v>54012</v>
      </c>
      <c r="B2660" t="s">
        <v>9</v>
      </c>
      <c r="C2660" t="s">
        <v>998</v>
      </c>
      <c r="D2660" s="5" t="s">
        <v>11</v>
      </c>
      <c r="E2660" s="5" t="s">
        <v>12</v>
      </c>
      <c r="F2660" s="3" t="s">
        <v>13</v>
      </c>
      <c r="G2660" s="3" t="s">
        <v>13</v>
      </c>
      <c r="H2660" s="3" t="s">
        <v>13</v>
      </c>
      <c r="I2660" s="3">
        <v>131908800</v>
      </c>
    </row>
    <row r="2661" spans="1:9" x14ac:dyDescent="0.35">
      <c r="A2661" t="str">
        <f>"54014"</f>
        <v>54014</v>
      </c>
      <c r="B2661" t="s">
        <v>9</v>
      </c>
      <c r="C2661" t="s">
        <v>220</v>
      </c>
      <c r="D2661" s="5" t="s">
        <v>11</v>
      </c>
      <c r="E2661" s="5" t="s">
        <v>12</v>
      </c>
      <c r="F2661" s="3" t="s">
        <v>13</v>
      </c>
      <c r="G2661" s="3" t="s">
        <v>13</v>
      </c>
      <c r="H2661" s="3" t="s">
        <v>13</v>
      </c>
      <c r="I2661" s="3">
        <v>117416500</v>
      </c>
    </row>
    <row r="2662" spans="1:9" x14ac:dyDescent="0.35">
      <c r="A2662" t="str">
        <f>"54016"</f>
        <v>54016</v>
      </c>
      <c r="B2662" t="s">
        <v>9</v>
      </c>
      <c r="C2662" t="s">
        <v>1058</v>
      </c>
      <c r="D2662" s="5" t="s">
        <v>11</v>
      </c>
      <c r="E2662" s="5" t="s">
        <v>12</v>
      </c>
      <c r="F2662" s="3" t="s">
        <v>13</v>
      </c>
      <c r="G2662" s="3" t="s">
        <v>13</v>
      </c>
      <c r="H2662" s="3" t="s">
        <v>13</v>
      </c>
      <c r="I2662" s="3">
        <v>52361900</v>
      </c>
    </row>
    <row r="2663" spans="1:9" x14ac:dyDescent="0.35">
      <c r="A2663" t="str">
        <f>"54018"</f>
        <v>54018</v>
      </c>
      <c r="B2663" t="s">
        <v>9</v>
      </c>
      <c r="C2663" t="s">
        <v>1059</v>
      </c>
      <c r="D2663" s="5" t="s">
        <v>11</v>
      </c>
      <c r="E2663" s="5" t="s">
        <v>12</v>
      </c>
      <c r="F2663" s="3" t="s">
        <v>13</v>
      </c>
      <c r="G2663" s="3" t="s">
        <v>13</v>
      </c>
      <c r="H2663" s="3" t="s">
        <v>13</v>
      </c>
      <c r="I2663" s="3">
        <v>35836200</v>
      </c>
    </row>
    <row r="2664" spans="1:9" x14ac:dyDescent="0.35">
      <c r="A2664" t="str">
        <f>"54020"</f>
        <v>54020</v>
      </c>
      <c r="B2664" t="s">
        <v>9</v>
      </c>
      <c r="C2664" t="s">
        <v>357</v>
      </c>
      <c r="D2664" s="5" t="s">
        <v>11</v>
      </c>
      <c r="E2664" s="5" t="s">
        <v>12</v>
      </c>
      <c r="F2664" s="3" t="s">
        <v>13</v>
      </c>
      <c r="G2664" s="3" t="s">
        <v>13</v>
      </c>
      <c r="H2664" s="3" t="s">
        <v>13</v>
      </c>
      <c r="I2664" s="3">
        <v>39207200</v>
      </c>
    </row>
    <row r="2665" spans="1:9" x14ac:dyDescent="0.35">
      <c r="A2665" t="str">
        <f>"54022"</f>
        <v>54022</v>
      </c>
      <c r="B2665" t="s">
        <v>9</v>
      </c>
      <c r="C2665" t="s">
        <v>112</v>
      </c>
      <c r="D2665" s="5" t="s">
        <v>11</v>
      </c>
      <c r="E2665" s="5" t="s">
        <v>12</v>
      </c>
      <c r="F2665" s="3" t="s">
        <v>13</v>
      </c>
      <c r="G2665" s="3" t="s">
        <v>13</v>
      </c>
      <c r="H2665" s="3" t="s">
        <v>13</v>
      </c>
      <c r="I2665" s="3">
        <v>43532400</v>
      </c>
    </row>
    <row r="2666" spans="1:9" x14ac:dyDescent="0.35">
      <c r="A2666" t="str">
        <f>"54024"</f>
        <v>54024</v>
      </c>
      <c r="B2666" t="s">
        <v>9</v>
      </c>
      <c r="C2666" t="s">
        <v>336</v>
      </c>
      <c r="D2666" s="5" t="s">
        <v>11</v>
      </c>
      <c r="E2666" s="5" t="s">
        <v>12</v>
      </c>
      <c r="F2666" s="3" t="s">
        <v>13</v>
      </c>
      <c r="G2666" s="3" t="s">
        <v>13</v>
      </c>
      <c r="H2666" s="3" t="s">
        <v>13</v>
      </c>
      <c r="I2666" s="3">
        <v>63242300</v>
      </c>
    </row>
    <row r="2667" spans="1:9" x14ac:dyDescent="0.35">
      <c r="A2667" t="str">
        <f>"54026"</f>
        <v>54026</v>
      </c>
      <c r="B2667" t="s">
        <v>9</v>
      </c>
      <c r="C2667" t="s">
        <v>1060</v>
      </c>
      <c r="D2667" s="5" t="s">
        <v>11</v>
      </c>
      <c r="E2667" s="5" t="s">
        <v>12</v>
      </c>
      <c r="F2667" s="3" t="s">
        <v>13</v>
      </c>
      <c r="G2667" s="3" t="s">
        <v>13</v>
      </c>
      <c r="H2667" s="3" t="s">
        <v>13</v>
      </c>
      <c r="I2667" s="3">
        <v>57343900</v>
      </c>
    </row>
    <row r="2668" spans="1:9" x14ac:dyDescent="0.35">
      <c r="A2668" t="str">
        <f>"54028"</f>
        <v>54028</v>
      </c>
      <c r="B2668" t="s">
        <v>9</v>
      </c>
      <c r="C2668" t="s">
        <v>1029</v>
      </c>
      <c r="D2668" s="5" t="s">
        <v>11</v>
      </c>
      <c r="E2668" s="5" t="s">
        <v>12</v>
      </c>
      <c r="F2668" s="3" t="s">
        <v>13</v>
      </c>
      <c r="G2668" s="3" t="s">
        <v>13</v>
      </c>
      <c r="H2668" s="3" t="s">
        <v>13</v>
      </c>
      <c r="I2668" s="3">
        <v>45126100</v>
      </c>
    </row>
    <row r="2669" spans="1:9" x14ac:dyDescent="0.35">
      <c r="A2669" t="str">
        <f>"54030"</f>
        <v>54030</v>
      </c>
      <c r="B2669" t="s">
        <v>9</v>
      </c>
      <c r="C2669" t="s">
        <v>159</v>
      </c>
      <c r="D2669" s="5" t="s">
        <v>11</v>
      </c>
      <c r="E2669" s="5" t="s">
        <v>12</v>
      </c>
      <c r="F2669" s="3" t="s">
        <v>13</v>
      </c>
      <c r="G2669" s="3" t="s">
        <v>13</v>
      </c>
      <c r="H2669" s="3" t="s">
        <v>13</v>
      </c>
      <c r="I2669" s="3">
        <v>260535000</v>
      </c>
    </row>
    <row r="2670" spans="1:9" x14ac:dyDescent="0.35">
      <c r="A2670" t="str">
        <f>"54032"</f>
        <v>54032</v>
      </c>
      <c r="B2670" t="s">
        <v>9</v>
      </c>
      <c r="C2670" t="s">
        <v>1061</v>
      </c>
      <c r="D2670" s="5" t="s">
        <v>11</v>
      </c>
      <c r="E2670" s="5" t="s">
        <v>12</v>
      </c>
      <c r="F2670" s="3" t="s">
        <v>13</v>
      </c>
      <c r="G2670" s="3" t="s">
        <v>13</v>
      </c>
      <c r="H2670" s="3" t="s">
        <v>13</v>
      </c>
      <c r="I2670" s="3">
        <v>21335100</v>
      </c>
    </row>
    <row r="2671" spans="1:9" x14ac:dyDescent="0.35">
      <c r="A2671" t="str">
        <f>"54034"</f>
        <v>54034</v>
      </c>
      <c r="B2671" t="s">
        <v>9</v>
      </c>
      <c r="C2671" t="s">
        <v>1062</v>
      </c>
      <c r="D2671" s="5" t="s">
        <v>11</v>
      </c>
      <c r="E2671" s="5" t="s">
        <v>12</v>
      </c>
      <c r="F2671" s="3" t="s">
        <v>13</v>
      </c>
      <c r="G2671" s="3" t="s">
        <v>13</v>
      </c>
      <c r="H2671" s="3" t="s">
        <v>13</v>
      </c>
      <c r="I2671" s="3">
        <v>66289400</v>
      </c>
    </row>
    <row r="2672" spans="1:9" x14ac:dyDescent="0.35">
      <c r="A2672" t="str">
        <f>"54036"</f>
        <v>54036</v>
      </c>
      <c r="B2672" t="s">
        <v>9</v>
      </c>
      <c r="C2672" t="s">
        <v>1063</v>
      </c>
      <c r="D2672" s="5" t="s">
        <v>11</v>
      </c>
      <c r="E2672" s="5" t="s">
        <v>12</v>
      </c>
      <c r="F2672" s="3" t="s">
        <v>13</v>
      </c>
      <c r="G2672" s="3" t="s">
        <v>13</v>
      </c>
      <c r="H2672" s="3" t="s">
        <v>13</v>
      </c>
      <c r="I2672" s="3">
        <v>111994900</v>
      </c>
    </row>
    <row r="2673" spans="1:9" x14ac:dyDescent="0.35">
      <c r="A2673" t="str">
        <f>"54038"</f>
        <v>54038</v>
      </c>
      <c r="B2673" t="s">
        <v>9</v>
      </c>
      <c r="C2673" t="s">
        <v>1064</v>
      </c>
      <c r="D2673" s="5" t="s">
        <v>11</v>
      </c>
      <c r="E2673" s="5" t="s">
        <v>12</v>
      </c>
      <c r="F2673" s="3" t="s">
        <v>13</v>
      </c>
      <c r="G2673" s="3" t="s">
        <v>13</v>
      </c>
      <c r="H2673" s="3" t="s">
        <v>13</v>
      </c>
      <c r="I2673" s="3">
        <v>133366500</v>
      </c>
    </row>
    <row r="2674" spans="1:9" x14ac:dyDescent="0.35">
      <c r="A2674" t="str">
        <f>"54040"</f>
        <v>54040</v>
      </c>
      <c r="B2674" t="s">
        <v>9</v>
      </c>
      <c r="C2674" t="s">
        <v>1065</v>
      </c>
      <c r="D2674" s="5" t="s">
        <v>11</v>
      </c>
      <c r="E2674" s="5" t="s">
        <v>12</v>
      </c>
      <c r="F2674" s="3" t="s">
        <v>13</v>
      </c>
      <c r="G2674" s="3" t="s">
        <v>13</v>
      </c>
      <c r="H2674" s="3" t="s">
        <v>13</v>
      </c>
      <c r="I2674" s="3">
        <v>34757100</v>
      </c>
    </row>
    <row r="2675" spans="1:9" x14ac:dyDescent="0.35">
      <c r="A2675" t="str">
        <f>"54042"</f>
        <v>54042</v>
      </c>
      <c r="B2675" t="s">
        <v>9</v>
      </c>
      <c r="C2675" t="s">
        <v>392</v>
      </c>
      <c r="D2675" s="5" t="s">
        <v>11</v>
      </c>
      <c r="E2675" s="5" t="s">
        <v>12</v>
      </c>
      <c r="F2675" s="3" t="s">
        <v>13</v>
      </c>
      <c r="G2675" s="3" t="s">
        <v>13</v>
      </c>
      <c r="H2675" s="3" t="s">
        <v>13</v>
      </c>
      <c r="I2675" s="3">
        <v>138784600</v>
      </c>
    </row>
    <row r="2676" spans="1:9" x14ac:dyDescent="0.35">
      <c r="A2676" t="str">
        <f>"54044"</f>
        <v>54044</v>
      </c>
      <c r="B2676" t="s">
        <v>9</v>
      </c>
      <c r="C2676" t="s">
        <v>1066</v>
      </c>
      <c r="D2676" s="5" t="s">
        <v>11</v>
      </c>
      <c r="E2676" s="5" t="s">
        <v>12</v>
      </c>
      <c r="F2676" s="3" t="s">
        <v>13</v>
      </c>
      <c r="G2676" s="3" t="s">
        <v>13</v>
      </c>
      <c r="H2676" s="3" t="s">
        <v>13</v>
      </c>
      <c r="I2676" s="3">
        <v>14885400</v>
      </c>
    </row>
    <row r="2677" spans="1:9" x14ac:dyDescent="0.35">
      <c r="A2677" t="str">
        <f>"54046"</f>
        <v>54046</v>
      </c>
      <c r="B2677" t="s">
        <v>9</v>
      </c>
      <c r="C2677" t="s">
        <v>1067</v>
      </c>
      <c r="D2677" s="5" t="s">
        <v>11</v>
      </c>
      <c r="E2677" s="5" t="s">
        <v>12</v>
      </c>
      <c r="F2677" s="3" t="s">
        <v>13</v>
      </c>
      <c r="G2677" s="3" t="s">
        <v>13</v>
      </c>
      <c r="H2677" s="3" t="s">
        <v>13</v>
      </c>
      <c r="I2677" s="3">
        <v>167597500</v>
      </c>
    </row>
    <row r="2678" spans="1:9" x14ac:dyDescent="0.35">
      <c r="A2678" t="str">
        <f>"54048"</f>
        <v>54048</v>
      </c>
      <c r="B2678" t="s">
        <v>9</v>
      </c>
      <c r="C2678" t="s">
        <v>430</v>
      </c>
      <c r="D2678" s="5" t="s">
        <v>11</v>
      </c>
      <c r="E2678" s="5" t="s">
        <v>12</v>
      </c>
      <c r="F2678" s="3" t="s">
        <v>13</v>
      </c>
      <c r="G2678" s="3" t="s">
        <v>13</v>
      </c>
      <c r="H2678" s="3" t="s">
        <v>13</v>
      </c>
      <c r="I2678" s="3">
        <v>23298900</v>
      </c>
    </row>
    <row r="2679" spans="1:9" x14ac:dyDescent="0.35">
      <c r="A2679" t="s">
        <v>30</v>
      </c>
      <c r="B2679" t="s">
        <v>31</v>
      </c>
      <c r="C2679" t="s">
        <v>32</v>
      </c>
      <c r="D2679" s="5" t="s">
        <v>11</v>
      </c>
      <c r="E2679" s="5" t="s">
        <v>12</v>
      </c>
      <c r="F2679" s="3" t="s">
        <v>13</v>
      </c>
      <c r="G2679" s="3" t="s">
        <v>13</v>
      </c>
      <c r="H2679" s="3" t="s">
        <v>13</v>
      </c>
      <c r="I2679" s="3">
        <v>2168064700</v>
      </c>
    </row>
    <row r="2680" spans="1:9" x14ac:dyDescent="0.35">
      <c r="A2680" t="str">
        <f>"54106"</f>
        <v>54106</v>
      </c>
      <c r="B2680" t="s">
        <v>33</v>
      </c>
      <c r="C2680" t="s">
        <v>1068</v>
      </c>
      <c r="D2680" s="5" t="str">
        <f>"002"</f>
        <v>002</v>
      </c>
      <c r="E2680" s="5">
        <v>2002</v>
      </c>
      <c r="F2680" s="3">
        <v>1272400</v>
      </c>
      <c r="G2680" s="3">
        <v>3076500</v>
      </c>
      <c r="H2680" s="3">
        <v>1804100</v>
      </c>
    </row>
    <row r="2681" spans="1:9" x14ac:dyDescent="0.35">
      <c r="A2681" t="str">
        <f>"54106"</f>
        <v>54106</v>
      </c>
      <c r="B2681" t="s">
        <v>33</v>
      </c>
      <c r="C2681" t="s">
        <v>1068</v>
      </c>
      <c r="D2681" s="5" t="s">
        <v>11</v>
      </c>
      <c r="E2681" s="5" t="s">
        <v>12</v>
      </c>
      <c r="F2681" s="3" t="s">
        <v>13</v>
      </c>
      <c r="G2681" s="3" t="s">
        <v>13</v>
      </c>
      <c r="H2681" s="3" t="s">
        <v>13</v>
      </c>
      <c r="I2681" s="3">
        <v>57434900</v>
      </c>
    </row>
    <row r="2682" spans="1:9" x14ac:dyDescent="0.35">
      <c r="A2682" t="str">
        <f>"54111"</f>
        <v>54111</v>
      </c>
      <c r="B2682" t="s">
        <v>33</v>
      </c>
      <c r="C2682" t="s">
        <v>1069</v>
      </c>
      <c r="D2682" s="5" t="s">
        <v>11</v>
      </c>
      <c r="E2682" s="5" t="s">
        <v>12</v>
      </c>
      <c r="F2682" s="3" t="s">
        <v>13</v>
      </c>
      <c r="G2682" s="3" t="s">
        <v>13</v>
      </c>
      <c r="H2682" s="3" t="s">
        <v>13</v>
      </c>
      <c r="I2682" s="3">
        <v>6805500</v>
      </c>
    </row>
    <row r="2683" spans="1:9" x14ac:dyDescent="0.35">
      <c r="A2683" t="str">
        <f>"54131"</f>
        <v>54131</v>
      </c>
      <c r="B2683" t="s">
        <v>33</v>
      </c>
      <c r="C2683" t="s">
        <v>1070</v>
      </c>
      <c r="D2683" s="5" t="s">
        <v>11</v>
      </c>
      <c r="E2683" s="5" t="s">
        <v>12</v>
      </c>
      <c r="F2683" s="3" t="s">
        <v>13</v>
      </c>
      <c r="G2683" s="3" t="s">
        <v>13</v>
      </c>
      <c r="H2683" s="3" t="s">
        <v>13</v>
      </c>
      <c r="I2683" s="3">
        <v>9593400</v>
      </c>
    </row>
    <row r="2684" spans="1:9" x14ac:dyDescent="0.35">
      <c r="A2684" t="str">
        <f>"54136"</f>
        <v>54136</v>
      </c>
      <c r="B2684" t="s">
        <v>33</v>
      </c>
      <c r="C2684" t="s">
        <v>1059</v>
      </c>
      <c r="D2684" s="5" t="str">
        <f>"003"</f>
        <v>003</v>
      </c>
      <c r="E2684" s="5">
        <v>2010</v>
      </c>
      <c r="F2684" s="3">
        <v>96600</v>
      </c>
      <c r="G2684" s="3">
        <v>759200</v>
      </c>
      <c r="H2684" s="3">
        <v>662600</v>
      </c>
    </row>
    <row r="2685" spans="1:9" x14ac:dyDescent="0.35">
      <c r="A2685" t="str">
        <f>"54136"</f>
        <v>54136</v>
      </c>
      <c r="B2685" t="s">
        <v>33</v>
      </c>
      <c r="C2685" t="s">
        <v>1059</v>
      </c>
      <c r="D2685" s="5" t="str">
        <f>"004"</f>
        <v>004</v>
      </c>
      <c r="E2685" s="5">
        <v>2024</v>
      </c>
      <c r="F2685" s="3">
        <v>1794500</v>
      </c>
      <c r="G2685" s="3">
        <v>3702000</v>
      </c>
      <c r="H2685" s="3">
        <v>1907500</v>
      </c>
    </row>
    <row r="2686" spans="1:9" x14ac:dyDescent="0.35">
      <c r="A2686" t="str">
        <f>"54136"</f>
        <v>54136</v>
      </c>
      <c r="B2686" t="s">
        <v>33</v>
      </c>
      <c r="C2686" t="s">
        <v>1059</v>
      </c>
      <c r="D2686" s="5" t="s">
        <v>11</v>
      </c>
      <c r="E2686" s="5" t="s">
        <v>12</v>
      </c>
      <c r="F2686" s="3" t="s">
        <v>13</v>
      </c>
      <c r="G2686" s="3" t="s">
        <v>13</v>
      </c>
      <c r="H2686" s="3" t="s">
        <v>13</v>
      </c>
      <c r="I2686" s="3">
        <v>19915500</v>
      </c>
    </row>
    <row r="2687" spans="1:9" x14ac:dyDescent="0.35">
      <c r="A2687" t="str">
        <f>"54141"</f>
        <v>54141</v>
      </c>
      <c r="B2687" t="s">
        <v>33</v>
      </c>
      <c r="C2687" t="s">
        <v>1071</v>
      </c>
      <c r="D2687" s="5" t="s">
        <v>11</v>
      </c>
      <c r="E2687" s="5" t="s">
        <v>12</v>
      </c>
      <c r="F2687" s="3" t="s">
        <v>13</v>
      </c>
      <c r="G2687" s="3" t="s">
        <v>13</v>
      </c>
      <c r="H2687" s="3" t="s">
        <v>13</v>
      </c>
      <c r="I2687" s="3">
        <v>7022600</v>
      </c>
    </row>
    <row r="2688" spans="1:9" x14ac:dyDescent="0.35">
      <c r="A2688" t="str">
        <f>"54181"</f>
        <v>54181</v>
      </c>
      <c r="B2688" t="s">
        <v>33</v>
      </c>
      <c r="C2688" t="s">
        <v>837</v>
      </c>
      <c r="D2688" s="5" t="s">
        <v>11</v>
      </c>
      <c r="E2688" s="5" t="s">
        <v>12</v>
      </c>
      <c r="F2688" s="3" t="s">
        <v>13</v>
      </c>
      <c r="G2688" s="3" t="s">
        <v>13</v>
      </c>
      <c r="H2688" s="3" t="s">
        <v>13</v>
      </c>
      <c r="I2688" s="3">
        <v>14975700</v>
      </c>
    </row>
    <row r="2689" spans="1:9" x14ac:dyDescent="0.35">
      <c r="A2689" t="str">
        <f>"54186"</f>
        <v>54186</v>
      </c>
      <c r="B2689" t="s">
        <v>33</v>
      </c>
      <c r="C2689" t="s">
        <v>1072</v>
      </c>
      <c r="D2689" s="5" t="s">
        <v>11</v>
      </c>
      <c r="E2689" s="5" t="s">
        <v>12</v>
      </c>
      <c r="F2689" s="3" t="s">
        <v>13</v>
      </c>
      <c r="G2689" s="3" t="s">
        <v>13</v>
      </c>
      <c r="H2689" s="3" t="s">
        <v>13</v>
      </c>
      <c r="I2689" s="3">
        <v>10358100</v>
      </c>
    </row>
    <row r="2690" spans="1:9" x14ac:dyDescent="0.35">
      <c r="A2690" t="str">
        <f>"54191"</f>
        <v>54191</v>
      </c>
      <c r="B2690" t="s">
        <v>33</v>
      </c>
      <c r="C2690" t="s">
        <v>1073</v>
      </c>
      <c r="D2690" s="5" t="str">
        <f>"001"</f>
        <v>001</v>
      </c>
      <c r="E2690" s="5">
        <v>2013</v>
      </c>
      <c r="F2690" s="3">
        <v>638900</v>
      </c>
      <c r="G2690" s="3">
        <v>12876900</v>
      </c>
      <c r="H2690" s="3">
        <v>12238000</v>
      </c>
    </row>
    <row r="2691" spans="1:9" x14ac:dyDescent="0.35">
      <c r="A2691" t="str">
        <f>"54191"</f>
        <v>54191</v>
      </c>
      <c r="B2691" t="s">
        <v>33</v>
      </c>
      <c r="C2691" t="s">
        <v>1073</v>
      </c>
      <c r="D2691" s="5" t="s">
        <v>11</v>
      </c>
      <c r="E2691" s="5" t="s">
        <v>12</v>
      </c>
      <c r="F2691" s="3" t="s">
        <v>13</v>
      </c>
      <c r="G2691" s="3" t="s">
        <v>13</v>
      </c>
      <c r="H2691" s="3" t="s">
        <v>13</v>
      </c>
      <c r="I2691" s="3">
        <v>21730900</v>
      </c>
    </row>
    <row r="2692" spans="1:9" x14ac:dyDescent="0.35">
      <c r="A2692" t="s">
        <v>30</v>
      </c>
      <c r="B2692" t="s">
        <v>35</v>
      </c>
      <c r="C2692" t="s">
        <v>32</v>
      </c>
      <c r="D2692" s="5" t="s">
        <v>11</v>
      </c>
      <c r="E2692" s="5" t="s">
        <v>12</v>
      </c>
      <c r="F2692" s="3" t="s">
        <v>13</v>
      </c>
      <c r="G2692" s="3" t="s">
        <v>13</v>
      </c>
      <c r="H2692" s="3" t="s">
        <v>13</v>
      </c>
      <c r="I2692" s="3">
        <v>147836600</v>
      </c>
    </row>
    <row r="2693" spans="1:9" x14ac:dyDescent="0.35">
      <c r="A2693" t="str">
        <f t="shared" ref="A2693:A2702" si="65">"54246"</f>
        <v>54246</v>
      </c>
      <c r="B2693" t="s">
        <v>36</v>
      </c>
      <c r="C2693" t="s">
        <v>1074</v>
      </c>
      <c r="D2693" s="5" t="str">
        <f>"008"</f>
        <v>008</v>
      </c>
      <c r="E2693" s="5">
        <v>2003</v>
      </c>
      <c r="F2693" s="3">
        <v>854700</v>
      </c>
      <c r="G2693" s="3">
        <v>5873100</v>
      </c>
      <c r="H2693" s="3">
        <v>5018400</v>
      </c>
    </row>
    <row r="2694" spans="1:9" x14ac:dyDescent="0.35">
      <c r="A2694" t="str">
        <f t="shared" si="65"/>
        <v>54246</v>
      </c>
      <c r="B2694" t="s">
        <v>36</v>
      </c>
      <c r="C2694" t="s">
        <v>1074</v>
      </c>
      <c r="D2694" s="5" t="str">
        <f>"009"</f>
        <v>009</v>
      </c>
      <c r="E2694" s="5">
        <v>2006</v>
      </c>
      <c r="F2694" s="3">
        <v>460900</v>
      </c>
      <c r="G2694" s="3">
        <v>8088300</v>
      </c>
      <c r="H2694" s="3">
        <v>7627400</v>
      </c>
    </row>
    <row r="2695" spans="1:9" x14ac:dyDescent="0.35">
      <c r="A2695" t="str">
        <f t="shared" si="65"/>
        <v>54246</v>
      </c>
      <c r="B2695" t="s">
        <v>36</v>
      </c>
      <c r="C2695" t="s">
        <v>1074</v>
      </c>
      <c r="D2695" s="5" t="str">
        <f>"010"</f>
        <v>010</v>
      </c>
      <c r="E2695" s="5">
        <v>2007</v>
      </c>
      <c r="F2695" s="3">
        <v>403500</v>
      </c>
      <c r="G2695" s="3">
        <v>2081500</v>
      </c>
      <c r="H2695" s="3">
        <v>1678000</v>
      </c>
    </row>
    <row r="2696" spans="1:9" x14ac:dyDescent="0.35">
      <c r="A2696" t="str">
        <f t="shared" si="65"/>
        <v>54246</v>
      </c>
      <c r="B2696" t="s">
        <v>36</v>
      </c>
      <c r="C2696" t="s">
        <v>1074</v>
      </c>
      <c r="D2696" s="5" t="str">
        <f>"011"</f>
        <v>011</v>
      </c>
      <c r="E2696" s="5">
        <v>2011</v>
      </c>
      <c r="F2696" s="3">
        <v>30200</v>
      </c>
      <c r="G2696" s="3">
        <v>8603500</v>
      </c>
      <c r="H2696" s="3">
        <v>8573300</v>
      </c>
    </row>
    <row r="2697" spans="1:9" x14ac:dyDescent="0.35">
      <c r="A2697" t="str">
        <f t="shared" si="65"/>
        <v>54246</v>
      </c>
      <c r="B2697" t="s">
        <v>36</v>
      </c>
      <c r="C2697" t="s">
        <v>1074</v>
      </c>
      <c r="D2697" s="5" t="str">
        <f>"012"</f>
        <v>012</v>
      </c>
      <c r="E2697" s="5">
        <v>2020</v>
      </c>
      <c r="F2697" s="3">
        <v>0</v>
      </c>
      <c r="G2697" s="3">
        <v>2092500</v>
      </c>
      <c r="H2697" s="3">
        <v>2092500</v>
      </c>
    </row>
    <row r="2698" spans="1:9" x14ac:dyDescent="0.35">
      <c r="A2698" t="str">
        <f t="shared" si="65"/>
        <v>54246</v>
      </c>
      <c r="B2698" t="s">
        <v>36</v>
      </c>
      <c r="C2698" t="s">
        <v>1074</v>
      </c>
      <c r="D2698" s="5" t="str">
        <f>"013"</f>
        <v>013</v>
      </c>
      <c r="E2698" s="5">
        <v>2021</v>
      </c>
      <c r="F2698" s="3">
        <v>97500</v>
      </c>
      <c r="G2698" s="3">
        <v>9246000</v>
      </c>
      <c r="H2698" s="3">
        <v>9148500</v>
      </c>
    </row>
    <row r="2699" spans="1:9" x14ac:dyDescent="0.35">
      <c r="A2699" t="str">
        <f t="shared" si="65"/>
        <v>54246</v>
      </c>
      <c r="B2699" t="s">
        <v>36</v>
      </c>
      <c r="C2699" t="s">
        <v>1074</v>
      </c>
      <c r="D2699" s="5" t="str">
        <f>"014"</f>
        <v>014</v>
      </c>
      <c r="E2699" s="5">
        <v>2021</v>
      </c>
      <c r="F2699" s="3">
        <v>1272000</v>
      </c>
      <c r="G2699" s="3">
        <v>4107600</v>
      </c>
      <c r="H2699" s="3">
        <v>2835600</v>
      </c>
    </row>
    <row r="2700" spans="1:9" x14ac:dyDescent="0.35">
      <c r="A2700" t="str">
        <f t="shared" si="65"/>
        <v>54246</v>
      </c>
      <c r="B2700" t="s">
        <v>36</v>
      </c>
      <c r="C2700" t="s">
        <v>1074</v>
      </c>
      <c r="D2700" s="5" t="str">
        <f>"015"</f>
        <v>015</v>
      </c>
      <c r="E2700" s="5">
        <v>2021</v>
      </c>
      <c r="F2700" s="3">
        <v>50200</v>
      </c>
      <c r="G2700" s="3">
        <v>11300</v>
      </c>
      <c r="H2700" s="3">
        <v>0</v>
      </c>
    </row>
    <row r="2701" spans="1:9" x14ac:dyDescent="0.35">
      <c r="A2701" t="str">
        <f t="shared" si="65"/>
        <v>54246</v>
      </c>
      <c r="B2701" t="s">
        <v>36</v>
      </c>
      <c r="C2701" t="s">
        <v>1074</v>
      </c>
      <c r="D2701" s="5" t="str">
        <f>"016"</f>
        <v>016</v>
      </c>
      <c r="E2701" s="5">
        <v>2021</v>
      </c>
      <c r="F2701" s="3">
        <v>0</v>
      </c>
      <c r="G2701" s="3">
        <v>766600</v>
      </c>
      <c r="H2701" s="3">
        <v>766600</v>
      </c>
    </row>
    <row r="2702" spans="1:9" x14ac:dyDescent="0.35">
      <c r="A2702" t="str">
        <f t="shared" si="65"/>
        <v>54246</v>
      </c>
      <c r="B2702" t="s">
        <v>36</v>
      </c>
      <c r="C2702" t="s">
        <v>1074</v>
      </c>
      <c r="D2702" s="5" t="s">
        <v>11</v>
      </c>
      <c r="E2702" s="5" t="s">
        <v>12</v>
      </c>
      <c r="F2702" s="3" t="s">
        <v>13</v>
      </c>
      <c r="G2702" s="3" t="s">
        <v>13</v>
      </c>
      <c r="H2702" s="3" t="s">
        <v>13</v>
      </c>
      <c r="I2702" s="3">
        <v>229907900</v>
      </c>
    </row>
    <row r="2703" spans="1:9" x14ac:dyDescent="0.35">
      <c r="A2703" t="s">
        <v>30</v>
      </c>
      <c r="B2703" t="s">
        <v>38</v>
      </c>
      <c r="C2703" t="s">
        <v>32</v>
      </c>
      <c r="D2703" s="5" t="s">
        <v>11</v>
      </c>
      <c r="E2703" s="5" t="s">
        <v>12</v>
      </c>
      <c r="F2703" s="3" t="s">
        <v>13</v>
      </c>
      <c r="G2703" s="3" t="s">
        <v>13</v>
      </c>
      <c r="H2703" s="3" t="s">
        <v>13</v>
      </c>
      <c r="I2703" s="3">
        <v>229907900</v>
      </c>
    </row>
    <row r="2704" spans="1:9" x14ac:dyDescent="0.35">
      <c r="A2704" t="s">
        <v>30</v>
      </c>
      <c r="B2704" t="s">
        <v>39</v>
      </c>
      <c r="C2704" t="s">
        <v>159</v>
      </c>
      <c r="D2704" s="5" t="s">
        <v>11</v>
      </c>
      <c r="E2704" s="5" t="s">
        <v>12</v>
      </c>
      <c r="F2704" s="3" t="s">
        <v>13</v>
      </c>
      <c r="G2704" s="3" t="s">
        <v>13</v>
      </c>
      <c r="H2704" s="3" t="s">
        <v>13</v>
      </c>
      <c r="I2704" s="3">
        <v>2545809200</v>
      </c>
    </row>
    <row r="2705" spans="1:9" x14ac:dyDescent="0.35">
      <c r="A2705" t="str">
        <f>"55002"</f>
        <v>55002</v>
      </c>
      <c r="B2705" t="s">
        <v>9</v>
      </c>
      <c r="C2705" t="s">
        <v>1075</v>
      </c>
      <c r="D2705" s="5" t="s">
        <v>11</v>
      </c>
      <c r="E2705" s="5" t="s">
        <v>12</v>
      </c>
      <c r="F2705" s="3" t="s">
        <v>13</v>
      </c>
      <c r="G2705" s="3" t="s">
        <v>13</v>
      </c>
      <c r="H2705" s="3" t="s">
        <v>13</v>
      </c>
      <c r="I2705" s="3">
        <v>197165100</v>
      </c>
    </row>
    <row r="2706" spans="1:9" x14ac:dyDescent="0.35">
      <c r="A2706" t="str">
        <f>"55004"</f>
        <v>55004</v>
      </c>
      <c r="B2706" t="s">
        <v>9</v>
      </c>
      <c r="C2706" t="s">
        <v>1076</v>
      </c>
      <c r="D2706" s="5" t="s">
        <v>11</v>
      </c>
      <c r="E2706" s="5" t="s">
        <v>12</v>
      </c>
      <c r="F2706" s="3" t="s">
        <v>13</v>
      </c>
      <c r="G2706" s="3" t="s">
        <v>13</v>
      </c>
      <c r="H2706" s="3" t="s">
        <v>13</v>
      </c>
      <c r="I2706" s="3">
        <v>173230400</v>
      </c>
    </row>
    <row r="2707" spans="1:9" x14ac:dyDescent="0.35">
      <c r="A2707" t="str">
        <f>"55006"</f>
        <v>55006</v>
      </c>
      <c r="B2707" t="s">
        <v>9</v>
      </c>
      <c r="C2707" t="s">
        <v>1077</v>
      </c>
      <c r="D2707" s="5" t="s">
        <v>11</v>
      </c>
      <c r="E2707" s="5" t="s">
        <v>12</v>
      </c>
      <c r="F2707" s="3" t="s">
        <v>13</v>
      </c>
      <c r="G2707" s="3" t="s">
        <v>13</v>
      </c>
      <c r="H2707" s="3" t="s">
        <v>13</v>
      </c>
      <c r="I2707" s="3">
        <v>125186000</v>
      </c>
    </row>
    <row r="2708" spans="1:9" x14ac:dyDescent="0.35">
      <c r="A2708" t="str">
        <f>"55008"</f>
        <v>55008</v>
      </c>
      <c r="B2708" t="s">
        <v>9</v>
      </c>
      <c r="C2708" t="s">
        <v>415</v>
      </c>
      <c r="D2708" s="5" t="s">
        <v>11</v>
      </c>
      <c r="E2708" s="5" t="s">
        <v>12</v>
      </c>
      <c r="F2708" s="3" t="s">
        <v>13</v>
      </c>
      <c r="G2708" s="3" t="s">
        <v>13</v>
      </c>
      <c r="H2708" s="3" t="s">
        <v>13</v>
      </c>
      <c r="I2708" s="3">
        <v>230437500</v>
      </c>
    </row>
    <row r="2709" spans="1:9" x14ac:dyDescent="0.35">
      <c r="A2709" t="str">
        <f>"55010"</f>
        <v>55010</v>
      </c>
      <c r="B2709" t="s">
        <v>9</v>
      </c>
      <c r="C2709" t="s">
        <v>1078</v>
      </c>
      <c r="D2709" s="5" t="s">
        <v>11</v>
      </c>
      <c r="E2709" s="5" t="s">
        <v>12</v>
      </c>
      <c r="F2709" s="3" t="s">
        <v>13</v>
      </c>
      <c r="G2709" s="3" t="s">
        <v>13</v>
      </c>
      <c r="H2709" s="3" t="s">
        <v>13</v>
      </c>
      <c r="I2709" s="3">
        <v>159494500</v>
      </c>
    </row>
    <row r="2710" spans="1:9" x14ac:dyDescent="0.35">
      <c r="A2710" t="str">
        <f>"55012"</f>
        <v>55012</v>
      </c>
      <c r="B2710" t="s">
        <v>9</v>
      </c>
      <c r="C2710" t="s">
        <v>1079</v>
      </c>
      <c r="D2710" s="5" t="s">
        <v>11</v>
      </c>
      <c r="E2710" s="5" t="s">
        <v>12</v>
      </c>
      <c r="F2710" s="3" t="s">
        <v>13</v>
      </c>
      <c r="G2710" s="3" t="s">
        <v>13</v>
      </c>
      <c r="H2710" s="3" t="s">
        <v>13</v>
      </c>
      <c r="I2710" s="3">
        <v>139223000</v>
      </c>
    </row>
    <row r="2711" spans="1:9" x14ac:dyDescent="0.35">
      <c r="A2711" t="str">
        <f>"55014"</f>
        <v>55014</v>
      </c>
      <c r="B2711" t="s">
        <v>9</v>
      </c>
      <c r="C2711" t="s">
        <v>462</v>
      </c>
      <c r="D2711" s="5" t="s">
        <v>11</v>
      </c>
      <c r="E2711" s="5" t="s">
        <v>12</v>
      </c>
      <c r="F2711" s="3" t="s">
        <v>13</v>
      </c>
      <c r="G2711" s="3" t="s">
        <v>13</v>
      </c>
      <c r="H2711" s="3" t="s">
        <v>13</v>
      </c>
      <c r="I2711" s="3">
        <v>105008800</v>
      </c>
    </row>
    <row r="2712" spans="1:9" x14ac:dyDescent="0.35">
      <c r="A2712" t="str">
        <f>"55016"</f>
        <v>55016</v>
      </c>
      <c r="B2712" t="s">
        <v>9</v>
      </c>
      <c r="C2712" t="s">
        <v>1080</v>
      </c>
      <c r="D2712" s="5" t="s">
        <v>11</v>
      </c>
      <c r="E2712" s="5" t="s">
        <v>12</v>
      </c>
      <c r="F2712" s="3" t="s">
        <v>13</v>
      </c>
      <c r="G2712" s="3" t="s">
        <v>13</v>
      </c>
      <c r="H2712" s="3" t="s">
        <v>13</v>
      </c>
      <c r="I2712" s="3">
        <v>135809900</v>
      </c>
    </row>
    <row r="2713" spans="1:9" x14ac:dyDescent="0.35">
      <c r="A2713" t="str">
        <f>"55018"</f>
        <v>55018</v>
      </c>
      <c r="B2713" t="s">
        <v>9</v>
      </c>
      <c r="C2713" t="s">
        <v>1081</v>
      </c>
      <c r="D2713" s="5" t="s">
        <v>11</v>
      </c>
      <c r="E2713" s="5" t="s">
        <v>12</v>
      </c>
      <c r="F2713" s="3" t="s">
        <v>13</v>
      </c>
      <c r="G2713" s="3" t="s">
        <v>13</v>
      </c>
      <c r="H2713" s="3" t="s">
        <v>13</v>
      </c>
      <c r="I2713" s="3">
        <v>476345600</v>
      </c>
    </row>
    <row r="2714" spans="1:9" x14ac:dyDescent="0.35">
      <c r="A2714" t="str">
        <f>"55020"</f>
        <v>55020</v>
      </c>
      <c r="B2714" t="s">
        <v>9</v>
      </c>
      <c r="C2714" t="s">
        <v>1082</v>
      </c>
      <c r="D2714" s="5" t="s">
        <v>11</v>
      </c>
      <c r="E2714" s="5" t="s">
        <v>12</v>
      </c>
      <c r="F2714" s="3" t="s">
        <v>13</v>
      </c>
      <c r="G2714" s="3" t="s">
        <v>13</v>
      </c>
      <c r="H2714" s="3" t="s">
        <v>13</v>
      </c>
      <c r="I2714" s="3">
        <v>2090947300</v>
      </c>
    </row>
    <row r="2715" spans="1:9" x14ac:dyDescent="0.35">
      <c r="A2715" t="str">
        <f>"55022"</f>
        <v>55022</v>
      </c>
      <c r="B2715" t="s">
        <v>9</v>
      </c>
      <c r="C2715" t="s">
        <v>1083</v>
      </c>
      <c r="D2715" s="5" t="s">
        <v>11</v>
      </c>
      <c r="E2715" s="5" t="s">
        <v>12</v>
      </c>
      <c r="F2715" s="3" t="s">
        <v>13</v>
      </c>
      <c r="G2715" s="3" t="s">
        <v>13</v>
      </c>
      <c r="H2715" s="3" t="s">
        <v>13</v>
      </c>
      <c r="I2715" s="3">
        <v>464944200</v>
      </c>
    </row>
    <row r="2716" spans="1:9" x14ac:dyDescent="0.35">
      <c r="A2716" t="str">
        <f>"55024"</f>
        <v>55024</v>
      </c>
      <c r="B2716" t="s">
        <v>9</v>
      </c>
      <c r="C2716" t="s">
        <v>442</v>
      </c>
      <c r="D2716" s="5" t="s">
        <v>11</v>
      </c>
      <c r="E2716" s="5" t="s">
        <v>12</v>
      </c>
      <c r="F2716" s="3" t="s">
        <v>13</v>
      </c>
      <c r="G2716" s="3" t="s">
        <v>13</v>
      </c>
      <c r="H2716" s="3" t="s">
        <v>13</v>
      </c>
      <c r="I2716" s="3">
        <v>115301600</v>
      </c>
    </row>
    <row r="2717" spans="1:9" x14ac:dyDescent="0.35">
      <c r="A2717" t="str">
        <f>"55026"</f>
        <v>55026</v>
      </c>
      <c r="B2717" t="s">
        <v>9</v>
      </c>
      <c r="C2717" t="s">
        <v>1084</v>
      </c>
      <c r="D2717" s="5" t="s">
        <v>11</v>
      </c>
      <c r="E2717" s="5" t="s">
        <v>12</v>
      </c>
      <c r="F2717" s="3" t="s">
        <v>13</v>
      </c>
      <c r="G2717" s="3" t="s">
        <v>13</v>
      </c>
      <c r="H2717" s="3" t="s">
        <v>13</v>
      </c>
      <c r="I2717" s="3">
        <v>756150300</v>
      </c>
    </row>
    <row r="2718" spans="1:9" x14ac:dyDescent="0.35">
      <c r="A2718" t="str">
        <f>"55028"</f>
        <v>55028</v>
      </c>
      <c r="B2718" t="s">
        <v>9</v>
      </c>
      <c r="C2718" t="s">
        <v>1085</v>
      </c>
      <c r="D2718" s="5" t="s">
        <v>11</v>
      </c>
      <c r="E2718" s="5" t="s">
        <v>12</v>
      </c>
      <c r="F2718" s="3" t="s">
        <v>13</v>
      </c>
      <c r="G2718" s="3" t="s">
        <v>13</v>
      </c>
      <c r="H2718" s="3" t="s">
        <v>13</v>
      </c>
      <c r="I2718" s="3">
        <v>99420300</v>
      </c>
    </row>
    <row r="2719" spans="1:9" x14ac:dyDescent="0.35">
      <c r="A2719" t="str">
        <f>"55030"</f>
        <v>55030</v>
      </c>
      <c r="B2719" t="s">
        <v>9</v>
      </c>
      <c r="C2719" t="s">
        <v>1086</v>
      </c>
      <c r="D2719" s="5" t="s">
        <v>11</v>
      </c>
      <c r="E2719" s="5" t="s">
        <v>12</v>
      </c>
      <c r="F2719" s="3" t="s">
        <v>13</v>
      </c>
      <c r="G2719" s="3" t="s">
        <v>13</v>
      </c>
      <c r="H2719" s="3" t="s">
        <v>13</v>
      </c>
      <c r="I2719" s="3">
        <v>1318255000</v>
      </c>
    </row>
    <row r="2720" spans="1:9" x14ac:dyDescent="0.35">
      <c r="A2720" t="str">
        <f>"55032"</f>
        <v>55032</v>
      </c>
      <c r="B2720" t="s">
        <v>9</v>
      </c>
      <c r="C2720" t="s">
        <v>1087</v>
      </c>
      <c r="D2720" s="5" t="s">
        <v>11</v>
      </c>
      <c r="E2720" s="5" t="s">
        <v>12</v>
      </c>
      <c r="F2720" s="3" t="s">
        <v>13</v>
      </c>
      <c r="G2720" s="3" t="s">
        <v>13</v>
      </c>
      <c r="H2720" s="3" t="s">
        <v>13</v>
      </c>
      <c r="I2720" s="3">
        <v>1055416300</v>
      </c>
    </row>
    <row r="2721" spans="1:9" x14ac:dyDescent="0.35">
      <c r="A2721" t="str">
        <f>"55034"</f>
        <v>55034</v>
      </c>
      <c r="B2721" t="s">
        <v>9</v>
      </c>
      <c r="C2721" t="s">
        <v>325</v>
      </c>
      <c r="D2721" s="5" t="s">
        <v>11</v>
      </c>
      <c r="E2721" s="5" t="s">
        <v>12</v>
      </c>
      <c r="F2721" s="3" t="s">
        <v>13</v>
      </c>
      <c r="G2721" s="3" t="s">
        <v>13</v>
      </c>
      <c r="H2721" s="3" t="s">
        <v>13</v>
      </c>
      <c r="I2721" s="3">
        <v>157268100</v>
      </c>
    </row>
    <row r="2722" spans="1:9" x14ac:dyDescent="0.35">
      <c r="A2722" t="str">
        <f>"55036"</f>
        <v>55036</v>
      </c>
      <c r="B2722" t="s">
        <v>9</v>
      </c>
      <c r="C2722" t="s">
        <v>427</v>
      </c>
      <c r="D2722" s="5" t="s">
        <v>11</v>
      </c>
      <c r="E2722" s="5" t="s">
        <v>12</v>
      </c>
      <c r="F2722" s="3" t="s">
        <v>13</v>
      </c>
      <c r="G2722" s="3" t="s">
        <v>13</v>
      </c>
      <c r="H2722" s="3" t="s">
        <v>13</v>
      </c>
      <c r="I2722" s="3">
        <v>155302800</v>
      </c>
    </row>
    <row r="2723" spans="1:9" x14ac:dyDescent="0.35">
      <c r="A2723" t="str">
        <f>"55038"</f>
        <v>55038</v>
      </c>
      <c r="B2723" t="s">
        <v>9</v>
      </c>
      <c r="C2723" t="s">
        <v>1088</v>
      </c>
      <c r="D2723" s="5" t="s">
        <v>11</v>
      </c>
      <c r="E2723" s="5" t="s">
        <v>12</v>
      </c>
      <c r="F2723" s="3" t="s">
        <v>13</v>
      </c>
      <c r="G2723" s="3" t="s">
        <v>13</v>
      </c>
      <c r="H2723" s="3" t="s">
        <v>13</v>
      </c>
      <c r="I2723" s="3">
        <v>696597600</v>
      </c>
    </row>
    <row r="2724" spans="1:9" x14ac:dyDescent="0.35">
      <c r="A2724" t="str">
        <f>"55040"</f>
        <v>55040</v>
      </c>
      <c r="B2724" t="s">
        <v>9</v>
      </c>
      <c r="C2724" t="s">
        <v>1089</v>
      </c>
      <c r="D2724" s="5" t="s">
        <v>11</v>
      </c>
      <c r="E2724" s="5" t="s">
        <v>12</v>
      </c>
      <c r="F2724" s="3" t="s">
        <v>13</v>
      </c>
      <c r="G2724" s="3" t="s">
        <v>13</v>
      </c>
      <c r="H2724" s="3" t="s">
        <v>13</v>
      </c>
      <c r="I2724" s="3">
        <v>1582823100</v>
      </c>
    </row>
    <row r="2725" spans="1:9" x14ac:dyDescent="0.35">
      <c r="A2725" t="str">
        <f>"55042"</f>
        <v>55042</v>
      </c>
      <c r="B2725" t="s">
        <v>9</v>
      </c>
      <c r="C2725" t="s">
        <v>1090</v>
      </c>
      <c r="D2725" s="5" t="s">
        <v>11</v>
      </c>
      <c r="E2725" s="5" t="s">
        <v>12</v>
      </c>
      <c r="F2725" s="3" t="s">
        <v>13</v>
      </c>
      <c r="G2725" s="3" t="s">
        <v>13</v>
      </c>
      <c r="H2725" s="3" t="s">
        <v>13</v>
      </c>
      <c r="I2725" s="3">
        <v>411271400</v>
      </c>
    </row>
    <row r="2726" spans="1:9" x14ac:dyDescent="0.35">
      <c r="A2726" t="s">
        <v>30</v>
      </c>
      <c r="B2726" t="s">
        <v>31</v>
      </c>
      <c r="C2726" t="s">
        <v>32</v>
      </c>
      <c r="D2726" s="5" t="s">
        <v>11</v>
      </c>
      <c r="E2726" s="5" t="s">
        <v>12</v>
      </c>
      <c r="F2726" s="3" t="s">
        <v>13</v>
      </c>
      <c r="G2726" s="3" t="s">
        <v>13</v>
      </c>
      <c r="H2726" s="3" t="s">
        <v>13</v>
      </c>
      <c r="I2726" s="3">
        <v>10645598800</v>
      </c>
    </row>
    <row r="2727" spans="1:9" x14ac:dyDescent="0.35">
      <c r="A2727" t="str">
        <f>"55106"</f>
        <v>55106</v>
      </c>
      <c r="B2727" t="s">
        <v>33</v>
      </c>
      <c r="C2727" t="s">
        <v>1075</v>
      </c>
      <c r="D2727" s="5" t="str">
        <f>"005"</f>
        <v>005</v>
      </c>
      <c r="E2727" s="5">
        <v>1995</v>
      </c>
      <c r="F2727" s="3">
        <v>22500</v>
      </c>
      <c r="G2727" s="3">
        <v>3999600</v>
      </c>
      <c r="H2727" s="3">
        <v>3977100</v>
      </c>
    </row>
    <row r="2728" spans="1:9" x14ac:dyDescent="0.35">
      <c r="A2728" t="str">
        <f>"55106"</f>
        <v>55106</v>
      </c>
      <c r="B2728" t="s">
        <v>33</v>
      </c>
      <c r="C2728" t="s">
        <v>1075</v>
      </c>
      <c r="D2728" s="5" t="str">
        <f>"006"</f>
        <v>006</v>
      </c>
      <c r="E2728" s="5">
        <v>2005</v>
      </c>
      <c r="F2728" s="3">
        <v>12224500</v>
      </c>
      <c r="G2728" s="3">
        <v>19942600</v>
      </c>
      <c r="H2728" s="3">
        <v>7718100</v>
      </c>
    </row>
    <row r="2729" spans="1:9" x14ac:dyDescent="0.35">
      <c r="A2729" t="str">
        <f>"55106"</f>
        <v>55106</v>
      </c>
      <c r="B2729" t="s">
        <v>33</v>
      </c>
      <c r="C2729" t="s">
        <v>1075</v>
      </c>
      <c r="D2729" s="5" t="str">
        <f>"007"</f>
        <v>007</v>
      </c>
      <c r="E2729" s="5">
        <v>2007</v>
      </c>
      <c r="F2729" s="3">
        <v>5002200</v>
      </c>
      <c r="G2729" s="3">
        <v>24965700</v>
      </c>
      <c r="H2729" s="3">
        <v>19963500</v>
      </c>
    </row>
    <row r="2730" spans="1:9" x14ac:dyDescent="0.35">
      <c r="A2730" t="str">
        <f>"55106"</f>
        <v>55106</v>
      </c>
      <c r="B2730" t="s">
        <v>33</v>
      </c>
      <c r="C2730" t="s">
        <v>1075</v>
      </c>
      <c r="D2730" s="5" t="s">
        <v>11</v>
      </c>
      <c r="E2730" s="5" t="s">
        <v>12</v>
      </c>
      <c r="F2730" s="3" t="s">
        <v>13</v>
      </c>
      <c r="G2730" s="3" t="s">
        <v>13</v>
      </c>
      <c r="H2730" s="3" t="s">
        <v>13</v>
      </c>
      <c r="I2730" s="3">
        <v>577105600</v>
      </c>
    </row>
    <row r="2731" spans="1:9" x14ac:dyDescent="0.35">
      <c r="A2731" t="str">
        <f>"55116"</f>
        <v>55116</v>
      </c>
      <c r="B2731" t="s">
        <v>33</v>
      </c>
      <c r="C2731" t="s">
        <v>1091</v>
      </c>
      <c r="D2731" s="5" t="s">
        <v>11</v>
      </c>
      <c r="E2731" s="5" t="s">
        <v>12</v>
      </c>
      <c r="F2731" s="3" t="s">
        <v>13</v>
      </c>
      <c r="G2731" s="3" t="s">
        <v>13</v>
      </c>
      <c r="H2731" s="3" t="s">
        <v>13</v>
      </c>
      <c r="I2731" s="3">
        <v>25244100</v>
      </c>
    </row>
    <row r="2732" spans="1:9" x14ac:dyDescent="0.35">
      <c r="A2732" t="str">
        <f>"55136"</f>
        <v>55136</v>
      </c>
      <c r="B2732" t="s">
        <v>33</v>
      </c>
      <c r="C2732" t="s">
        <v>1081</v>
      </c>
      <c r="D2732" s="5" t="str">
        <f>"007"</f>
        <v>007</v>
      </c>
      <c r="E2732" s="5">
        <v>2024</v>
      </c>
      <c r="F2732" s="3">
        <v>1200200</v>
      </c>
      <c r="G2732" s="3">
        <v>1213000</v>
      </c>
      <c r="H2732" s="3">
        <v>12800</v>
      </c>
    </row>
    <row r="2733" spans="1:9" x14ac:dyDescent="0.35">
      <c r="A2733" t="str">
        <f>"55136"</f>
        <v>55136</v>
      </c>
      <c r="B2733" t="s">
        <v>33</v>
      </c>
      <c r="C2733" t="s">
        <v>1081</v>
      </c>
      <c r="D2733" s="5" t="s">
        <v>11</v>
      </c>
      <c r="E2733" s="5" t="s">
        <v>12</v>
      </c>
      <c r="F2733" s="3" t="s">
        <v>13</v>
      </c>
      <c r="G2733" s="3" t="s">
        <v>13</v>
      </c>
      <c r="H2733" s="3" t="s">
        <v>13</v>
      </c>
      <c r="I2733" s="3">
        <v>258566000</v>
      </c>
    </row>
    <row r="2734" spans="1:9" x14ac:dyDescent="0.35">
      <c r="A2734" t="str">
        <f>"55161"</f>
        <v>55161</v>
      </c>
      <c r="B2734" t="s">
        <v>33</v>
      </c>
      <c r="C2734" t="s">
        <v>1092</v>
      </c>
      <c r="D2734" s="5" t="s">
        <v>11</v>
      </c>
      <c r="E2734" s="5" t="s">
        <v>12</v>
      </c>
      <c r="F2734" s="3" t="s">
        <v>13</v>
      </c>
      <c r="G2734" s="3" t="s">
        <v>13</v>
      </c>
      <c r="H2734" s="3" t="s">
        <v>13</v>
      </c>
      <c r="I2734" s="3">
        <v>739156500</v>
      </c>
    </row>
    <row r="2735" spans="1:9" x14ac:dyDescent="0.35">
      <c r="A2735" t="str">
        <f>"55176"</f>
        <v>55176</v>
      </c>
      <c r="B2735" t="s">
        <v>33</v>
      </c>
      <c r="C2735" t="s">
        <v>1093</v>
      </c>
      <c r="D2735" s="5" t="str">
        <f>"002"</f>
        <v>002</v>
      </c>
      <c r="E2735" s="5">
        <v>2020</v>
      </c>
      <c r="F2735" s="3">
        <v>41200</v>
      </c>
      <c r="G2735" s="3">
        <v>20021900</v>
      </c>
      <c r="H2735" s="3">
        <v>19980700</v>
      </c>
    </row>
    <row r="2736" spans="1:9" x14ac:dyDescent="0.35">
      <c r="A2736" t="str">
        <f>"55176"</f>
        <v>55176</v>
      </c>
      <c r="B2736" t="s">
        <v>33</v>
      </c>
      <c r="C2736" t="s">
        <v>1093</v>
      </c>
      <c r="D2736" s="5" t="str">
        <f>"003"</f>
        <v>003</v>
      </c>
      <c r="E2736" s="5">
        <v>2020</v>
      </c>
      <c r="F2736" s="3">
        <v>49800</v>
      </c>
      <c r="G2736" s="3">
        <v>27479000</v>
      </c>
      <c r="H2736" s="3">
        <v>27429200</v>
      </c>
    </row>
    <row r="2737" spans="1:9" x14ac:dyDescent="0.35">
      <c r="A2737" t="str">
        <f>"55176"</f>
        <v>55176</v>
      </c>
      <c r="B2737" t="s">
        <v>33</v>
      </c>
      <c r="C2737" t="s">
        <v>1093</v>
      </c>
      <c r="D2737" s="5" t="str">
        <f>"004"</f>
        <v>004</v>
      </c>
      <c r="E2737" s="5">
        <v>2022</v>
      </c>
      <c r="F2737" s="3">
        <v>3610200</v>
      </c>
      <c r="G2737" s="3">
        <v>51919400</v>
      </c>
      <c r="H2737" s="3">
        <v>48309200</v>
      </c>
    </row>
    <row r="2738" spans="1:9" x14ac:dyDescent="0.35">
      <c r="A2738" t="str">
        <f>"55176"</f>
        <v>55176</v>
      </c>
      <c r="B2738" t="s">
        <v>33</v>
      </c>
      <c r="C2738" t="s">
        <v>1093</v>
      </c>
      <c r="D2738" s="5" t="s">
        <v>11</v>
      </c>
      <c r="E2738" s="5" t="s">
        <v>12</v>
      </c>
      <c r="F2738" s="3" t="s">
        <v>13</v>
      </c>
      <c r="G2738" s="3" t="s">
        <v>13</v>
      </c>
      <c r="H2738" s="3" t="s">
        <v>13</v>
      </c>
      <c r="I2738" s="3">
        <v>288769700</v>
      </c>
    </row>
    <row r="2739" spans="1:9" x14ac:dyDescent="0.35">
      <c r="A2739" t="str">
        <f>"55181"</f>
        <v>55181</v>
      </c>
      <c r="B2739" t="s">
        <v>33</v>
      </c>
      <c r="C2739" t="s">
        <v>1087</v>
      </c>
      <c r="D2739" s="5" t="str">
        <f>"003"</f>
        <v>003</v>
      </c>
      <c r="E2739" s="5">
        <v>2005</v>
      </c>
      <c r="F2739" s="3">
        <v>1609100</v>
      </c>
      <c r="G2739" s="3">
        <v>1916700</v>
      </c>
      <c r="H2739" s="3">
        <v>307600</v>
      </c>
    </row>
    <row r="2740" spans="1:9" x14ac:dyDescent="0.35">
      <c r="A2740" t="str">
        <f>"55181"</f>
        <v>55181</v>
      </c>
      <c r="B2740" t="s">
        <v>33</v>
      </c>
      <c r="C2740" t="s">
        <v>1087</v>
      </c>
      <c r="D2740" s="5" t="str">
        <f>"005"</f>
        <v>005</v>
      </c>
      <c r="E2740" s="5">
        <v>2020</v>
      </c>
      <c r="F2740" s="3">
        <v>801700</v>
      </c>
      <c r="G2740" s="3">
        <v>6410300</v>
      </c>
      <c r="H2740" s="3">
        <v>5608600</v>
      </c>
    </row>
    <row r="2741" spans="1:9" x14ac:dyDescent="0.35">
      <c r="A2741" t="str">
        <f>"55181"</f>
        <v>55181</v>
      </c>
      <c r="B2741" t="s">
        <v>33</v>
      </c>
      <c r="C2741" t="s">
        <v>1087</v>
      </c>
      <c r="D2741" s="5" t="str">
        <f>"006"</f>
        <v>006</v>
      </c>
      <c r="E2741" s="5">
        <v>2023</v>
      </c>
      <c r="F2741" s="3">
        <v>8816500</v>
      </c>
      <c r="G2741" s="3">
        <v>37820500</v>
      </c>
      <c r="H2741" s="3">
        <v>29004000</v>
      </c>
    </row>
    <row r="2742" spans="1:9" x14ac:dyDescent="0.35">
      <c r="A2742" t="str">
        <f>"55181"</f>
        <v>55181</v>
      </c>
      <c r="B2742" t="s">
        <v>33</v>
      </c>
      <c r="C2742" t="s">
        <v>1087</v>
      </c>
      <c r="D2742" s="5" t="s">
        <v>11</v>
      </c>
      <c r="E2742" s="5" t="s">
        <v>12</v>
      </c>
      <c r="F2742" s="3" t="s">
        <v>13</v>
      </c>
      <c r="G2742" s="3" t="s">
        <v>13</v>
      </c>
      <c r="H2742" s="3" t="s">
        <v>13</v>
      </c>
      <c r="I2742" s="3">
        <v>505326000</v>
      </c>
    </row>
    <row r="2743" spans="1:9" x14ac:dyDescent="0.35">
      <c r="A2743" t="str">
        <f>"55182"</f>
        <v>55182</v>
      </c>
      <c r="B2743" t="s">
        <v>33</v>
      </c>
      <c r="C2743" t="s">
        <v>1088</v>
      </c>
      <c r="D2743" s="5" t="s">
        <v>11</v>
      </c>
      <c r="E2743" s="5" t="s">
        <v>12</v>
      </c>
      <c r="F2743" s="3" t="s">
        <v>13</v>
      </c>
      <c r="G2743" s="3" t="s">
        <v>13</v>
      </c>
      <c r="H2743" s="3" t="s">
        <v>13</v>
      </c>
      <c r="I2743" s="3">
        <v>79959500</v>
      </c>
    </row>
    <row r="2744" spans="1:9" x14ac:dyDescent="0.35">
      <c r="A2744" t="str">
        <f>"55184"</f>
        <v>55184</v>
      </c>
      <c r="B2744" t="s">
        <v>33</v>
      </c>
      <c r="C2744" t="s">
        <v>949</v>
      </c>
      <c r="D2744" s="5" t="s">
        <v>11</v>
      </c>
      <c r="E2744" s="5" t="s">
        <v>12</v>
      </c>
      <c r="F2744" s="3" t="s">
        <v>13</v>
      </c>
      <c r="G2744" s="3" t="s">
        <v>13</v>
      </c>
      <c r="H2744" s="3" t="s">
        <v>13</v>
      </c>
      <c r="I2744" s="3">
        <v>2750300</v>
      </c>
    </row>
    <row r="2745" spans="1:9" x14ac:dyDescent="0.35">
      <c r="A2745" t="str">
        <f>"55191"</f>
        <v>55191</v>
      </c>
      <c r="B2745" t="s">
        <v>33</v>
      </c>
      <c r="C2745" t="s">
        <v>430</v>
      </c>
      <c r="D2745" s="5" t="s">
        <v>11</v>
      </c>
      <c r="E2745" s="5" t="s">
        <v>12</v>
      </c>
      <c r="F2745" s="3" t="s">
        <v>13</v>
      </c>
      <c r="G2745" s="3" t="s">
        <v>13</v>
      </c>
      <c r="H2745" s="3" t="s">
        <v>13</v>
      </c>
      <c r="I2745" s="3">
        <v>21778900</v>
      </c>
    </row>
    <row r="2746" spans="1:9" x14ac:dyDescent="0.35">
      <c r="A2746" t="str">
        <f>"55192"</f>
        <v>55192</v>
      </c>
      <c r="B2746" t="s">
        <v>33</v>
      </c>
      <c r="C2746" t="s">
        <v>178</v>
      </c>
      <c r="D2746" s="5" t="str">
        <f>"004"</f>
        <v>004</v>
      </c>
      <c r="E2746" s="5">
        <v>2005</v>
      </c>
      <c r="F2746" s="3">
        <v>186000</v>
      </c>
      <c r="G2746" s="3">
        <v>625600</v>
      </c>
      <c r="H2746" s="3">
        <v>439600</v>
      </c>
    </row>
    <row r="2747" spans="1:9" x14ac:dyDescent="0.35">
      <c r="A2747" t="str">
        <f>"55192"</f>
        <v>55192</v>
      </c>
      <c r="B2747" t="s">
        <v>33</v>
      </c>
      <c r="C2747" t="s">
        <v>178</v>
      </c>
      <c r="D2747" s="5" t="str">
        <f>"005"</f>
        <v>005</v>
      </c>
      <c r="E2747" s="5">
        <v>2023</v>
      </c>
      <c r="F2747" s="3">
        <v>12463600</v>
      </c>
      <c r="G2747" s="3">
        <v>20985300</v>
      </c>
      <c r="H2747" s="3">
        <v>8521700</v>
      </c>
    </row>
    <row r="2748" spans="1:9" x14ac:dyDescent="0.35">
      <c r="A2748" t="str">
        <f>"55192"</f>
        <v>55192</v>
      </c>
      <c r="B2748" t="s">
        <v>33</v>
      </c>
      <c r="C2748" t="s">
        <v>178</v>
      </c>
      <c r="D2748" s="5" t="s">
        <v>11</v>
      </c>
      <c r="E2748" s="5" t="s">
        <v>12</v>
      </c>
      <c r="F2748" s="3" t="s">
        <v>13</v>
      </c>
      <c r="G2748" s="3" t="s">
        <v>13</v>
      </c>
      <c r="H2748" s="3" t="s">
        <v>13</v>
      </c>
      <c r="I2748" s="3">
        <v>178484900</v>
      </c>
    </row>
    <row r="2749" spans="1:9" x14ac:dyDescent="0.35">
      <c r="A2749" t="s">
        <v>30</v>
      </c>
      <c r="B2749" t="s">
        <v>35</v>
      </c>
      <c r="C2749" t="s">
        <v>32</v>
      </c>
      <c r="D2749" s="5" t="s">
        <v>11</v>
      </c>
      <c r="E2749" s="5" t="s">
        <v>12</v>
      </c>
      <c r="F2749" s="3" t="s">
        <v>13</v>
      </c>
      <c r="G2749" s="3" t="s">
        <v>13</v>
      </c>
      <c r="H2749" s="3" t="s">
        <v>13</v>
      </c>
      <c r="I2749" s="3">
        <v>2677141500</v>
      </c>
    </row>
    <row r="2750" spans="1:9" x14ac:dyDescent="0.35">
      <c r="A2750" t="str">
        <f>"55231"</f>
        <v>55231</v>
      </c>
      <c r="B2750" t="s">
        <v>36</v>
      </c>
      <c r="C2750" t="s">
        <v>1094</v>
      </c>
      <c r="D2750" s="5" t="str">
        <f>"004"</f>
        <v>004</v>
      </c>
      <c r="E2750" s="5">
        <v>2022</v>
      </c>
      <c r="F2750" s="3">
        <v>0</v>
      </c>
      <c r="G2750" s="3">
        <v>74100</v>
      </c>
      <c r="H2750" s="3">
        <v>74100</v>
      </c>
    </row>
    <row r="2751" spans="1:9" x14ac:dyDescent="0.35">
      <c r="A2751" t="str">
        <f>"55231"</f>
        <v>55231</v>
      </c>
      <c r="B2751" t="s">
        <v>36</v>
      </c>
      <c r="C2751" t="s">
        <v>1094</v>
      </c>
      <c r="D2751" s="5" t="s">
        <v>11</v>
      </c>
      <c r="E2751" s="5" t="s">
        <v>12</v>
      </c>
      <c r="F2751" s="3" t="s">
        <v>13</v>
      </c>
      <c r="G2751" s="3" t="s">
        <v>13</v>
      </c>
      <c r="H2751" s="3" t="s">
        <v>13</v>
      </c>
      <c r="I2751" s="3">
        <v>127362200</v>
      </c>
    </row>
    <row r="2752" spans="1:9" x14ac:dyDescent="0.35">
      <c r="A2752" t="str">
        <f>"55236"</f>
        <v>55236</v>
      </c>
      <c r="B2752" t="s">
        <v>36</v>
      </c>
      <c r="C2752" t="s">
        <v>1082</v>
      </c>
      <c r="D2752" s="5" t="str">
        <f>"005"</f>
        <v>005</v>
      </c>
      <c r="E2752" s="5">
        <v>2017</v>
      </c>
      <c r="F2752" s="3">
        <v>6322400</v>
      </c>
      <c r="G2752" s="3">
        <v>105318900</v>
      </c>
      <c r="H2752" s="3">
        <v>98996500</v>
      </c>
    </row>
    <row r="2753" spans="1:9" x14ac:dyDescent="0.35">
      <c r="A2753" t="str">
        <f>"55236"</f>
        <v>55236</v>
      </c>
      <c r="B2753" t="s">
        <v>36</v>
      </c>
      <c r="C2753" t="s">
        <v>1082</v>
      </c>
      <c r="D2753" s="5" t="str">
        <f>"006"</f>
        <v>006</v>
      </c>
      <c r="E2753" s="5">
        <v>2018</v>
      </c>
      <c r="F2753" s="3">
        <v>93787000</v>
      </c>
      <c r="G2753" s="3">
        <v>194569700</v>
      </c>
      <c r="H2753" s="3">
        <v>100782700</v>
      </c>
    </row>
    <row r="2754" spans="1:9" x14ac:dyDescent="0.35">
      <c r="A2754" t="str">
        <f>"55236"</f>
        <v>55236</v>
      </c>
      <c r="B2754" t="s">
        <v>36</v>
      </c>
      <c r="C2754" t="s">
        <v>1082</v>
      </c>
      <c r="D2754" s="5" t="s">
        <v>11</v>
      </c>
      <c r="E2754" s="5" t="s">
        <v>12</v>
      </c>
      <c r="F2754" s="3" t="s">
        <v>13</v>
      </c>
      <c r="G2754" s="3" t="s">
        <v>13</v>
      </c>
      <c r="H2754" s="3" t="s">
        <v>13</v>
      </c>
      <c r="I2754" s="3">
        <v>3348159600</v>
      </c>
    </row>
    <row r="2755" spans="1:9" x14ac:dyDescent="0.35">
      <c r="A2755" t="str">
        <f t="shared" ref="A2755:A2760" si="66">"55261"</f>
        <v>55261</v>
      </c>
      <c r="B2755" t="s">
        <v>36</v>
      </c>
      <c r="C2755" t="s">
        <v>1095</v>
      </c>
      <c r="D2755" s="5" t="str">
        <f>"007"</f>
        <v>007</v>
      </c>
      <c r="E2755" s="5">
        <v>2003</v>
      </c>
      <c r="F2755" s="3">
        <v>2528700</v>
      </c>
      <c r="G2755" s="3">
        <v>13273800</v>
      </c>
      <c r="H2755" s="3">
        <v>10745100</v>
      </c>
    </row>
    <row r="2756" spans="1:9" x14ac:dyDescent="0.35">
      <c r="A2756" t="str">
        <f t="shared" si="66"/>
        <v>55261</v>
      </c>
      <c r="B2756" t="s">
        <v>36</v>
      </c>
      <c r="C2756" t="s">
        <v>1095</v>
      </c>
      <c r="D2756" s="5" t="str">
        <f>"009"</f>
        <v>009</v>
      </c>
      <c r="E2756" s="5">
        <v>2008</v>
      </c>
      <c r="F2756" s="3">
        <v>7524700</v>
      </c>
      <c r="G2756" s="3">
        <v>17053700</v>
      </c>
      <c r="H2756" s="3">
        <v>9529000</v>
      </c>
    </row>
    <row r="2757" spans="1:9" x14ac:dyDescent="0.35">
      <c r="A2757" t="str">
        <f t="shared" si="66"/>
        <v>55261</v>
      </c>
      <c r="B2757" t="s">
        <v>36</v>
      </c>
      <c r="C2757" t="s">
        <v>1095</v>
      </c>
      <c r="D2757" s="5" t="str">
        <f>"010"</f>
        <v>010</v>
      </c>
      <c r="E2757" s="5">
        <v>2014</v>
      </c>
      <c r="F2757" s="3">
        <v>3491300</v>
      </c>
      <c r="G2757" s="3">
        <v>15389700</v>
      </c>
      <c r="H2757" s="3">
        <v>11898400</v>
      </c>
    </row>
    <row r="2758" spans="1:9" x14ac:dyDescent="0.35">
      <c r="A2758" t="str">
        <f t="shared" si="66"/>
        <v>55261</v>
      </c>
      <c r="B2758" t="s">
        <v>36</v>
      </c>
      <c r="C2758" t="s">
        <v>1095</v>
      </c>
      <c r="D2758" s="5" t="str">
        <f>"011"</f>
        <v>011</v>
      </c>
      <c r="E2758" s="5">
        <v>2022</v>
      </c>
      <c r="F2758" s="3">
        <v>0</v>
      </c>
      <c r="G2758" s="3">
        <v>4264800</v>
      </c>
      <c r="H2758" s="3">
        <v>4264800</v>
      </c>
    </row>
    <row r="2759" spans="1:9" x14ac:dyDescent="0.35">
      <c r="A2759" t="str">
        <f t="shared" si="66"/>
        <v>55261</v>
      </c>
      <c r="B2759" t="s">
        <v>36</v>
      </c>
      <c r="C2759" t="s">
        <v>1095</v>
      </c>
      <c r="D2759" s="5" t="str">
        <f>"012"</f>
        <v>012</v>
      </c>
      <c r="E2759" s="5">
        <v>2024</v>
      </c>
      <c r="F2759" s="3">
        <v>0</v>
      </c>
      <c r="G2759" s="3">
        <v>19110900</v>
      </c>
      <c r="H2759" s="3">
        <v>19110900</v>
      </c>
    </row>
    <row r="2760" spans="1:9" x14ac:dyDescent="0.35">
      <c r="A2760" t="str">
        <f t="shared" si="66"/>
        <v>55261</v>
      </c>
      <c r="B2760" t="s">
        <v>36</v>
      </c>
      <c r="C2760" t="s">
        <v>1095</v>
      </c>
      <c r="D2760" s="5" t="s">
        <v>11</v>
      </c>
      <c r="E2760" s="5" t="s">
        <v>12</v>
      </c>
      <c r="F2760" s="3" t="s">
        <v>13</v>
      </c>
      <c r="G2760" s="3" t="s">
        <v>13</v>
      </c>
      <c r="H2760" s="3" t="s">
        <v>13</v>
      </c>
      <c r="I2760" s="3">
        <v>1740466000</v>
      </c>
    </row>
    <row r="2761" spans="1:9" x14ac:dyDescent="0.35">
      <c r="A2761" t="str">
        <f t="shared" ref="A2761:A2768" si="67">"55276"</f>
        <v>55276</v>
      </c>
      <c r="B2761" t="s">
        <v>36</v>
      </c>
      <c r="C2761" t="s">
        <v>941</v>
      </c>
      <c r="D2761" s="5" t="str">
        <f>"010"</f>
        <v>010</v>
      </c>
      <c r="E2761" s="5">
        <v>2014</v>
      </c>
      <c r="F2761" s="3">
        <v>133300</v>
      </c>
      <c r="G2761" s="3">
        <v>67464400</v>
      </c>
      <c r="H2761" s="3">
        <v>67331100</v>
      </c>
    </row>
    <row r="2762" spans="1:9" x14ac:dyDescent="0.35">
      <c r="A2762" t="str">
        <f t="shared" si="67"/>
        <v>55276</v>
      </c>
      <c r="B2762" t="s">
        <v>36</v>
      </c>
      <c r="C2762" t="s">
        <v>941</v>
      </c>
      <c r="D2762" s="5" t="str">
        <f>"011"</f>
        <v>011</v>
      </c>
      <c r="E2762" s="5">
        <v>2016</v>
      </c>
      <c r="F2762" s="3">
        <v>7647000</v>
      </c>
      <c r="G2762" s="3">
        <v>12008000</v>
      </c>
      <c r="H2762" s="3">
        <v>4361000</v>
      </c>
    </row>
    <row r="2763" spans="1:9" x14ac:dyDescent="0.35">
      <c r="A2763" t="str">
        <f t="shared" si="67"/>
        <v>55276</v>
      </c>
      <c r="B2763" t="s">
        <v>36</v>
      </c>
      <c r="C2763" t="s">
        <v>941</v>
      </c>
      <c r="D2763" s="5" t="str">
        <f>"012"</f>
        <v>012</v>
      </c>
      <c r="E2763" s="5">
        <v>2016</v>
      </c>
      <c r="F2763" s="3">
        <v>0</v>
      </c>
      <c r="G2763" s="3">
        <v>2300600</v>
      </c>
      <c r="H2763" s="3">
        <v>2300600</v>
      </c>
    </row>
    <row r="2764" spans="1:9" x14ac:dyDescent="0.35">
      <c r="A2764" t="str">
        <f t="shared" si="67"/>
        <v>55276</v>
      </c>
      <c r="B2764" t="s">
        <v>36</v>
      </c>
      <c r="C2764" t="s">
        <v>941</v>
      </c>
      <c r="D2764" s="5" t="str">
        <f>"013"</f>
        <v>013</v>
      </c>
      <c r="E2764" s="5">
        <v>2018</v>
      </c>
      <c r="F2764" s="3">
        <v>6186700</v>
      </c>
      <c r="G2764" s="3">
        <v>20797700</v>
      </c>
      <c r="H2764" s="3">
        <v>14611000</v>
      </c>
    </row>
    <row r="2765" spans="1:9" x14ac:dyDescent="0.35">
      <c r="A2765" t="str">
        <f t="shared" si="67"/>
        <v>55276</v>
      </c>
      <c r="B2765" t="s">
        <v>36</v>
      </c>
      <c r="C2765" t="s">
        <v>941</v>
      </c>
      <c r="D2765" s="5" t="str">
        <f>"016"</f>
        <v>016</v>
      </c>
      <c r="E2765" s="5">
        <v>2020</v>
      </c>
      <c r="F2765" s="3">
        <v>3600</v>
      </c>
      <c r="G2765" s="3">
        <v>17148400</v>
      </c>
      <c r="H2765" s="3">
        <v>17144800</v>
      </c>
    </row>
    <row r="2766" spans="1:9" x14ac:dyDescent="0.35">
      <c r="A2766" t="str">
        <f t="shared" si="67"/>
        <v>55276</v>
      </c>
      <c r="B2766" t="s">
        <v>36</v>
      </c>
      <c r="C2766" t="s">
        <v>941</v>
      </c>
      <c r="D2766" s="5" t="str">
        <f>"017"</f>
        <v>017</v>
      </c>
      <c r="E2766" s="5">
        <v>2021</v>
      </c>
      <c r="F2766" s="3">
        <v>2498400</v>
      </c>
      <c r="G2766" s="3">
        <v>20138400</v>
      </c>
      <c r="H2766" s="3">
        <v>17640000</v>
      </c>
    </row>
    <row r="2767" spans="1:9" x14ac:dyDescent="0.35">
      <c r="A2767" t="str">
        <f t="shared" si="67"/>
        <v>55276</v>
      </c>
      <c r="B2767" t="s">
        <v>36</v>
      </c>
      <c r="C2767" t="s">
        <v>941</v>
      </c>
      <c r="D2767" s="5" t="str">
        <f>"019"</f>
        <v>019</v>
      </c>
      <c r="E2767" s="5">
        <v>2023</v>
      </c>
      <c r="F2767" s="3">
        <v>12700</v>
      </c>
      <c r="G2767" s="3">
        <v>0</v>
      </c>
      <c r="H2767" s="3">
        <v>0</v>
      </c>
    </row>
    <row r="2768" spans="1:9" x14ac:dyDescent="0.35">
      <c r="A2768" t="str">
        <f t="shared" si="67"/>
        <v>55276</v>
      </c>
      <c r="B2768" t="s">
        <v>36</v>
      </c>
      <c r="C2768" t="s">
        <v>941</v>
      </c>
      <c r="D2768" s="5" t="s">
        <v>11</v>
      </c>
      <c r="E2768" s="5" t="s">
        <v>12</v>
      </c>
      <c r="F2768" s="3" t="s">
        <v>13</v>
      </c>
      <c r="G2768" s="3" t="s">
        <v>13</v>
      </c>
      <c r="H2768" s="3" t="s">
        <v>13</v>
      </c>
      <c r="I2768" s="3">
        <v>818833900</v>
      </c>
    </row>
    <row r="2769" spans="1:9" x14ac:dyDescent="0.35">
      <c r="A2769" t="s">
        <v>30</v>
      </c>
      <c r="B2769" t="s">
        <v>38</v>
      </c>
      <c r="C2769" t="s">
        <v>32</v>
      </c>
      <c r="D2769" s="5" t="s">
        <v>11</v>
      </c>
      <c r="E2769" s="5" t="s">
        <v>12</v>
      </c>
      <c r="F2769" s="3" t="s">
        <v>13</v>
      </c>
      <c r="G2769" s="3" t="s">
        <v>13</v>
      </c>
      <c r="H2769" s="3" t="s">
        <v>13</v>
      </c>
      <c r="I2769" s="3">
        <v>6034821700</v>
      </c>
    </row>
    <row r="2770" spans="1:9" x14ac:dyDescent="0.35">
      <c r="A2770" t="s">
        <v>30</v>
      </c>
      <c r="B2770" t="s">
        <v>39</v>
      </c>
      <c r="C2770" t="s">
        <v>1096</v>
      </c>
      <c r="D2770" s="5" t="s">
        <v>11</v>
      </c>
      <c r="E2770" s="5" t="s">
        <v>12</v>
      </c>
      <c r="F2770" s="3" t="s">
        <v>13</v>
      </c>
      <c r="G2770" s="3" t="s">
        <v>13</v>
      </c>
      <c r="H2770" s="3" t="s">
        <v>13</v>
      </c>
      <c r="I2770" s="3">
        <v>19357562000</v>
      </c>
    </row>
    <row r="2771" spans="1:9" x14ac:dyDescent="0.35">
      <c r="A2771" t="str">
        <f>"56002"</f>
        <v>56002</v>
      </c>
      <c r="B2771" t="s">
        <v>9</v>
      </c>
      <c r="C2771" t="s">
        <v>1097</v>
      </c>
      <c r="D2771" s="5" t="s">
        <v>11</v>
      </c>
      <c r="E2771" s="5" t="s">
        <v>12</v>
      </c>
      <c r="F2771" s="3" t="s">
        <v>13</v>
      </c>
      <c r="G2771" s="3" t="s">
        <v>13</v>
      </c>
      <c r="H2771" s="3" t="s">
        <v>13</v>
      </c>
      <c r="I2771" s="3">
        <v>370012000</v>
      </c>
    </row>
    <row r="2772" spans="1:9" x14ac:dyDescent="0.35">
      <c r="A2772" t="str">
        <f>"56004"</f>
        <v>56004</v>
      </c>
      <c r="B2772" t="s">
        <v>9</v>
      </c>
      <c r="C2772" t="s">
        <v>907</v>
      </c>
      <c r="D2772" s="5" t="s">
        <v>11</v>
      </c>
      <c r="E2772" s="5" t="s">
        <v>12</v>
      </c>
      <c r="F2772" s="3" t="s">
        <v>13</v>
      </c>
      <c r="G2772" s="3" t="s">
        <v>13</v>
      </c>
      <c r="H2772" s="3" t="s">
        <v>13</v>
      </c>
      <c r="I2772" s="3">
        <v>132256800</v>
      </c>
    </row>
    <row r="2773" spans="1:9" x14ac:dyDescent="0.35">
      <c r="A2773" t="str">
        <f>"56006"</f>
        <v>56006</v>
      </c>
      <c r="B2773" t="s">
        <v>9</v>
      </c>
      <c r="C2773" t="s">
        <v>1098</v>
      </c>
      <c r="D2773" s="5" t="s">
        <v>11</v>
      </c>
      <c r="E2773" s="5" t="s">
        <v>12</v>
      </c>
      <c r="F2773" s="3" t="s">
        <v>13</v>
      </c>
      <c r="G2773" s="3" t="s">
        <v>13</v>
      </c>
      <c r="H2773" s="3" t="s">
        <v>13</v>
      </c>
      <c r="I2773" s="3">
        <v>432972200</v>
      </c>
    </row>
    <row r="2774" spans="1:9" x14ac:dyDescent="0.35">
      <c r="A2774" t="str">
        <f>"56008"</f>
        <v>56008</v>
      </c>
      <c r="B2774" t="s">
        <v>9</v>
      </c>
      <c r="C2774" t="s">
        <v>1099</v>
      </c>
      <c r="D2774" s="5" t="s">
        <v>11</v>
      </c>
      <c r="E2774" s="5" t="s">
        <v>12</v>
      </c>
      <c r="F2774" s="3" t="s">
        <v>13</v>
      </c>
      <c r="G2774" s="3" t="s">
        <v>13</v>
      </c>
      <c r="H2774" s="3" t="s">
        <v>13</v>
      </c>
      <c r="I2774" s="3">
        <v>538328700</v>
      </c>
    </row>
    <row r="2775" spans="1:9" x14ac:dyDescent="0.35">
      <c r="A2775" t="str">
        <f>"56010"</f>
        <v>56010</v>
      </c>
      <c r="B2775" t="s">
        <v>9</v>
      </c>
      <c r="C2775" t="s">
        <v>1100</v>
      </c>
      <c r="D2775" s="5" t="s">
        <v>11</v>
      </c>
      <c r="E2775" s="5" t="s">
        <v>12</v>
      </c>
      <c r="F2775" s="3" t="s">
        <v>13</v>
      </c>
      <c r="G2775" s="3" t="s">
        <v>13</v>
      </c>
      <c r="H2775" s="3" t="s">
        <v>13</v>
      </c>
      <c r="I2775" s="3">
        <v>317184200</v>
      </c>
    </row>
    <row r="2776" spans="1:9" x14ac:dyDescent="0.35">
      <c r="A2776" t="str">
        <f>"56012"</f>
        <v>56012</v>
      </c>
      <c r="B2776" t="s">
        <v>9</v>
      </c>
      <c r="C2776" t="s">
        <v>1101</v>
      </c>
      <c r="D2776" s="5" t="s">
        <v>11</v>
      </c>
      <c r="E2776" s="5" t="s">
        <v>12</v>
      </c>
      <c r="F2776" s="3" t="s">
        <v>13</v>
      </c>
      <c r="G2776" s="3" t="s">
        <v>13</v>
      </c>
      <c r="H2776" s="3" t="s">
        <v>13</v>
      </c>
      <c r="I2776" s="3">
        <v>225381100</v>
      </c>
    </row>
    <row r="2777" spans="1:9" x14ac:dyDescent="0.35">
      <c r="A2777" t="str">
        <f>"56014"</f>
        <v>56014</v>
      </c>
      <c r="B2777" t="s">
        <v>9</v>
      </c>
      <c r="C2777" t="s">
        <v>588</v>
      </c>
      <c r="D2777" s="5" t="s">
        <v>11</v>
      </c>
      <c r="E2777" s="5" t="s">
        <v>12</v>
      </c>
      <c r="F2777" s="3" t="s">
        <v>13</v>
      </c>
      <c r="G2777" s="3" t="s">
        <v>13</v>
      </c>
      <c r="H2777" s="3" t="s">
        <v>13</v>
      </c>
      <c r="I2777" s="3">
        <v>145136300</v>
      </c>
    </row>
    <row r="2778" spans="1:9" x14ac:dyDescent="0.35">
      <c r="A2778" t="str">
        <f>"56016"</f>
        <v>56016</v>
      </c>
      <c r="B2778" t="s">
        <v>9</v>
      </c>
      <c r="C2778" t="s">
        <v>484</v>
      </c>
      <c r="D2778" s="5" t="s">
        <v>11</v>
      </c>
      <c r="E2778" s="5" t="s">
        <v>12</v>
      </c>
      <c r="F2778" s="3" t="s">
        <v>13</v>
      </c>
      <c r="G2778" s="3" t="s">
        <v>13</v>
      </c>
      <c r="H2778" s="3" t="s">
        <v>13</v>
      </c>
      <c r="I2778" s="3">
        <v>114436900</v>
      </c>
    </row>
    <row r="2779" spans="1:9" x14ac:dyDescent="0.35">
      <c r="A2779" t="str">
        <f>"56018"</f>
        <v>56018</v>
      </c>
      <c r="B2779" t="s">
        <v>9</v>
      </c>
      <c r="C2779" t="s">
        <v>664</v>
      </c>
      <c r="D2779" s="5" t="s">
        <v>11</v>
      </c>
      <c r="E2779" s="5" t="s">
        <v>12</v>
      </c>
      <c r="F2779" s="3" t="s">
        <v>13</v>
      </c>
      <c r="G2779" s="3" t="s">
        <v>13</v>
      </c>
      <c r="H2779" s="3" t="s">
        <v>13</v>
      </c>
      <c r="I2779" s="3">
        <v>233382000</v>
      </c>
    </row>
    <row r="2780" spans="1:9" x14ac:dyDescent="0.35">
      <c r="A2780" t="str">
        <f>"56020"</f>
        <v>56020</v>
      </c>
      <c r="B2780" t="s">
        <v>9</v>
      </c>
      <c r="C2780" t="s">
        <v>1102</v>
      </c>
      <c r="D2780" s="5" t="s">
        <v>11</v>
      </c>
      <c r="E2780" s="5" t="s">
        <v>12</v>
      </c>
      <c r="F2780" s="3" t="s">
        <v>13</v>
      </c>
      <c r="G2780" s="3" t="s">
        <v>13</v>
      </c>
      <c r="H2780" s="3" t="s">
        <v>13</v>
      </c>
      <c r="I2780" s="3">
        <v>169544400</v>
      </c>
    </row>
    <row r="2781" spans="1:9" x14ac:dyDescent="0.35">
      <c r="A2781" t="str">
        <f>"56022"</f>
        <v>56022</v>
      </c>
      <c r="B2781" t="s">
        <v>9</v>
      </c>
      <c r="C2781" t="s">
        <v>1103</v>
      </c>
      <c r="D2781" s="5" t="s">
        <v>11</v>
      </c>
      <c r="E2781" s="5" t="s">
        <v>12</v>
      </c>
      <c r="F2781" s="3" t="s">
        <v>13</v>
      </c>
      <c r="G2781" s="3" t="s">
        <v>13</v>
      </c>
      <c r="H2781" s="3" t="s">
        <v>13</v>
      </c>
      <c r="I2781" s="3">
        <v>115132900</v>
      </c>
    </row>
    <row r="2782" spans="1:9" x14ac:dyDescent="0.35">
      <c r="A2782" t="str">
        <f>"56024"</f>
        <v>56024</v>
      </c>
      <c r="B2782" t="s">
        <v>9</v>
      </c>
      <c r="C2782" t="s">
        <v>1104</v>
      </c>
      <c r="D2782" s="5" t="s">
        <v>11</v>
      </c>
      <c r="E2782" s="5" t="s">
        <v>12</v>
      </c>
      <c r="F2782" s="3" t="s">
        <v>13</v>
      </c>
      <c r="G2782" s="3" t="s">
        <v>13</v>
      </c>
      <c r="H2782" s="3" t="s">
        <v>13</v>
      </c>
      <c r="I2782" s="3">
        <v>720044500</v>
      </c>
    </row>
    <row r="2783" spans="1:9" x14ac:dyDescent="0.35">
      <c r="A2783" t="str">
        <f>"56026"</f>
        <v>56026</v>
      </c>
      <c r="B2783" t="s">
        <v>9</v>
      </c>
      <c r="C2783" t="s">
        <v>1105</v>
      </c>
      <c r="D2783" s="5" t="s">
        <v>11</v>
      </c>
      <c r="E2783" s="5" t="s">
        <v>12</v>
      </c>
      <c r="F2783" s="3" t="s">
        <v>13</v>
      </c>
      <c r="G2783" s="3" t="s">
        <v>13</v>
      </c>
      <c r="H2783" s="3" t="s">
        <v>13</v>
      </c>
      <c r="I2783" s="3">
        <v>614079600</v>
      </c>
    </row>
    <row r="2784" spans="1:9" x14ac:dyDescent="0.35">
      <c r="A2784" t="str">
        <f>"56028"</f>
        <v>56028</v>
      </c>
      <c r="B2784" t="s">
        <v>9</v>
      </c>
      <c r="C2784" t="s">
        <v>1106</v>
      </c>
      <c r="D2784" s="5" t="s">
        <v>11</v>
      </c>
      <c r="E2784" s="5" t="s">
        <v>12</v>
      </c>
      <c r="F2784" s="3" t="s">
        <v>13</v>
      </c>
      <c r="G2784" s="3" t="s">
        <v>13</v>
      </c>
      <c r="H2784" s="3" t="s">
        <v>13</v>
      </c>
      <c r="I2784" s="3">
        <v>285219100</v>
      </c>
    </row>
    <row r="2785" spans="1:9" x14ac:dyDescent="0.35">
      <c r="A2785" t="str">
        <f>"56030"</f>
        <v>56030</v>
      </c>
      <c r="B2785" t="s">
        <v>9</v>
      </c>
      <c r="C2785" t="s">
        <v>1107</v>
      </c>
      <c r="D2785" s="5" t="s">
        <v>11</v>
      </c>
      <c r="E2785" s="5" t="s">
        <v>12</v>
      </c>
      <c r="F2785" s="3" t="s">
        <v>13</v>
      </c>
      <c r="G2785" s="3" t="s">
        <v>13</v>
      </c>
      <c r="H2785" s="3" t="s">
        <v>13</v>
      </c>
      <c r="I2785" s="3">
        <v>212724000</v>
      </c>
    </row>
    <row r="2786" spans="1:9" x14ac:dyDescent="0.35">
      <c r="A2786" t="str">
        <f>"56032"</f>
        <v>56032</v>
      </c>
      <c r="B2786" t="s">
        <v>9</v>
      </c>
      <c r="C2786" t="s">
        <v>1108</v>
      </c>
      <c r="D2786" s="5" t="s">
        <v>11</v>
      </c>
      <c r="E2786" s="5" t="s">
        <v>12</v>
      </c>
      <c r="F2786" s="3" t="s">
        <v>13</v>
      </c>
      <c r="G2786" s="3" t="s">
        <v>13</v>
      </c>
      <c r="H2786" s="3" t="s">
        <v>13</v>
      </c>
      <c r="I2786" s="3">
        <v>350677400</v>
      </c>
    </row>
    <row r="2787" spans="1:9" x14ac:dyDescent="0.35">
      <c r="A2787" t="str">
        <f>"56034"</f>
        <v>56034</v>
      </c>
      <c r="B2787" t="s">
        <v>9</v>
      </c>
      <c r="C2787" t="s">
        <v>1109</v>
      </c>
      <c r="D2787" s="5" t="s">
        <v>11</v>
      </c>
      <c r="E2787" s="5" t="s">
        <v>12</v>
      </c>
      <c r="F2787" s="3" t="s">
        <v>13</v>
      </c>
      <c r="G2787" s="3" t="s">
        <v>13</v>
      </c>
      <c r="H2787" s="3" t="s">
        <v>13</v>
      </c>
      <c r="I2787" s="3">
        <v>128610000</v>
      </c>
    </row>
    <row r="2788" spans="1:9" x14ac:dyDescent="0.35">
      <c r="A2788" t="str">
        <f>"56036"</f>
        <v>56036</v>
      </c>
      <c r="B2788" t="s">
        <v>9</v>
      </c>
      <c r="C2788" t="s">
        <v>1089</v>
      </c>
      <c r="D2788" s="5" t="s">
        <v>11</v>
      </c>
      <c r="E2788" s="5" t="s">
        <v>12</v>
      </c>
      <c r="F2788" s="3" t="s">
        <v>13</v>
      </c>
      <c r="G2788" s="3" t="s">
        <v>13</v>
      </c>
      <c r="H2788" s="3" t="s">
        <v>13</v>
      </c>
      <c r="I2788" s="3">
        <v>179524200</v>
      </c>
    </row>
    <row r="2789" spans="1:9" x14ac:dyDescent="0.35">
      <c r="A2789" t="str">
        <f>"56038"</f>
        <v>56038</v>
      </c>
      <c r="B2789" t="s">
        <v>9</v>
      </c>
      <c r="C2789" t="s">
        <v>392</v>
      </c>
      <c r="D2789" s="5" t="s">
        <v>11</v>
      </c>
      <c r="E2789" s="5" t="s">
        <v>12</v>
      </c>
      <c r="F2789" s="3" t="s">
        <v>13</v>
      </c>
      <c r="G2789" s="3" t="s">
        <v>13</v>
      </c>
      <c r="H2789" s="3" t="s">
        <v>13</v>
      </c>
      <c r="I2789" s="3">
        <v>143368400</v>
      </c>
    </row>
    <row r="2790" spans="1:9" x14ac:dyDescent="0.35">
      <c r="A2790" t="str">
        <f>"56040"</f>
        <v>56040</v>
      </c>
      <c r="B2790" t="s">
        <v>9</v>
      </c>
      <c r="C2790" t="s">
        <v>809</v>
      </c>
      <c r="D2790" s="5" t="s">
        <v>11</v>
      </c>
      <c r="E2790" s="5" t="s">
        <v>12</v>
      </c>
      <c r="F2790" s="3" t="s">
        <v>13</v>
      </c>
      <c r="G2790" s="3" t="s">
        <v>13</v>
      </c>
      <c r="H2790" s="3" t="s">
        <v>13</v>
      </c>
      <c r="I2790" s="3">
        <v>99535200</v>
      </c>
    </row>
    <row r="2791" spans="1:9" x14ac:dyDescent="0.35">
      <c r="A2791" t="str">
        <f>"56042"</f>
        <v>56042</v>
      </c>
      <c r="B2791" t="s">
        <v>9</v>
      </c>
      <c r="C2791" t="s">
        <v>1110</v>
      </c>
      <c r="D2791" s="5" t="s">
        <v>11</v>
      </c>
      <c r="E2791" s="5" t="s">
        <v>12</v>
      </c>
      <c r="F2791" s="3" t="s">
        <v>13</v>
      </c>
      <c r="G2791" s="3" t="s">
        <v>13</v>
      </c>
      <c r="H2791" s="3" t="s">
        <v>13</v>
      </c>
      <c r="I2791" s="3">
        <v>191123900</v>
      </c>
    </row>
    <row r="2792" spans="1:9" x14ac:dyDescent="0.35">
      <c r="A2792" t="str">
        <f>"56044"</f>
        <v>56044</v>
      </c>
      <c r="B2792" t="s">
        <v>9</v>
      </c>
      <c r="C2792" t="s">
        <v>1111</v>
      </c>
      <c r="D2792" s="5" t="s">
        <v>11</v>
      </c>
      <c r="E2792" s="5" t="s">
        <v>12</v>
      </c>
      <c r="F2792" s="3" t="s">
        <v>13</v>
      </c>
      <c r="G2792" s="3" t="s">
        <v>13</v>
      </c>
      <c r="H2792" s="3" t="s">
        <v>13</v>
      </c>
      <c r="I2792" s="3">
        <v>177755800</v>
      </c>
    </row>
    <row r="2793" spans="1:9" x14ac:dyDescent="0.35">
      <c r="A2793" t="s">
        <v>30</v>
      </c>
      <c r="B2793" t="s">
        <v>31</v>
      </c>
      <c r="C2793" t="s">
        <v>32</v>
      </c>
      <c r="D2793" s="5" t="s">
        <v>11</v>
      </c>
      <c r="E2793" s="5" t="s">
        <v>12</v>
      </c>
      <c r="F2793" s="3" t="s">
        <v>13</v>
      </c>
      <c r="G2793" s="3" t="s">
        <v>13</v>
      </c>
      <c r="H2793" s="3" t="s">
        <v>13</v>
      </c>
      <c r="I2793" s="3">
        <v>5896429600</v>
      </c>
    </row>
    <row r="2794" spans="1:9" x14ac:dyDescent="0.35">
      <c r="A2794" t="str">
        <f>"56111"</f>
        <v>56111</v>
      </c>
      <c r="B2794" t="s">
        <v>33</v>
      </c>
      <c r="C2794" t="s">
        <v>1035</v>
      </c>
      <c r="D2794" s="5" t="s">
        <v>11</v>
      </c>
      <c r="E2794" s="5" t="s">
        <v>12</v>
      </c>
      <c r="F2794" s="3" t="s">
        <v>13</v>
      </c>
      <c r="G2794" s="3" t="s">
        <v>13</v>
      </c>
      <c r="H2794" s="3" t="s">
        <v>13</v>
      </c>
      <c r="I2794" s="3">
        <v>1448200</v>
      </c>
    </row>
    <row r="2795" spans="1:9" x14ac:dyDescent="0.35">
      <c r="A2795" t="str">
        <f>"56141"</f>
        <v>56141</v>
      </c>
      <c r="B2795" t="s">
        <v>33</v>
      </c>
      <c r="C2795" t="s">
        <v>1103</v>
      </c>
      <c r="D2795" s="5" t="s">
        <v>11</v>
      </c>
      <c r="E2795" s="5" t="s">
        <v>12</v>
      </c>
      <c r="F2795" s="3" t="s">
        <v>13</v>
      </c>
      <c r="G2795" s="3" t="s">
        <v>13</v>
      </c>
      <c r="H2795" s="3" t="s">
        <v>13</v>
      </c>
      <c r="I2795" s="3">
        <v>15752100</v>
      </c>
    </row>
    <row r="2796" spans="1:9" x14ac:dyDescent="0.35">
      <c r="A2796" t="str">
        <f>"56146"</f>
        <v>56146</v>
      </c>
      <c r="B2796" t="s">
        <v>33</v>
      </c>
      <c r="C2796" t="s">
        <v>1112</v>
      </c>
      <c r="D2796" s="5" t="str">
        <f>"003"</f>
        <v>003</v>
      </c>
      <c r="E2796" s="5">
        <v>2005</v>
      </c>
      <c r="F2796" s="3">
        <v>43963700</v>
      </c>
      <c r="G2796" s="3">
        <v>498360800</v>
      </c>
      <c r="H2796" s="3">
        <v>454397100</v>
      </c>
    </row>
    <row r="2797" spans="1:9" x14ac:dyDescent="0.35">
      <c r="A2797" t="str">
        <f>"56146"</f>
        <v>56146</v>
      </c>
      <c r="B2797" t="s">
        <v>33</v>
      </c>
      <c r="C2797" t="s">
        <v>1112</v>
      </c>
      <c r="D2797" s="5" t="str">
        <f>"004"</f>
        <v>004</v>
      </c>
      <c r="E2797" s="5">
        <v>2007</v>
      </c>
      <c r="F2797" s="3">
        <v>30672900</v>
      </c>
      <c r="G2797" s="3">
        <v>53946800</v>
      </c>
      <c r="H2797" s="3">
        <v>23273900</v>
      </c>
    </row>
    <row r="2798" spans="1:9" x14ac:dyDescent="0.35">
      <c r="A2798" t="str">
        <f>"56146"</f>
        <v>56146</v>
      </c>
      <c r="B2798" t="s">
        <v>33</v>
      </c>
      <c r="C2798" t="s">
        <v>1112</v>
      </c>
      <c r="D2798" s="5" t="s">
        <v>11</v>
      </c>
      <c r="E2798" s="5" t="s">
        <v>12</v>
      </c>
      <c r="F2798" s="3" t="s">
        <v>13</v>
      </c>
      <c r="G2798" s="3" t="s">
        <v>13</v>
      </c>
      <c r="H2798" s="3" t="s">
        <v>13</v>
      </c>
      <c r="I2798" s="3">
        <v>1865512500</v>
      </c>
    </row>
    <row r="2799" spans="1:9" x14ac:dyDescent="0.35">
      <c r="A2799" t="str">
        <f>"56147"</f>
        <v>56147</v>
      </c>
      <c r="B2799" t="s">
        <v>33</v>
      </c>
      <c r="C2799" t="s">
        <v>1104</v>
      </c>
      <c r="D2799" s="5" t="s">
        <v>11</v>
      </c>
      <c r="E2799" s="5" t="s">
        <v>12</v>
      </c>
      <c r="F2799" s="3" t="s">
        <v>13</v>
      </c>
      <c r="G2799" s="3" t="s">
        <v>13</v>
      </c>
      <c r="H2799" s="3" t="s">
        <v>13</v>
      </c>
      <c r="I2799" s="3">
        <v>33644100</v>
      </c>
    </row>
    <row r="2800" spans="1:9" x14ac:dyDescent="0.35">
      <c r="A2800" t="str">
        <f>"56148"</f>
        <v>56148</v>
      </c>
      <c r="B2800" t="s">
        <v>33</v>
      </c>
      <c r="C2800" t="s">
        <v>1113</v>
      </c>
      <c r="D2800" s="5" t="s">
        <v>11</v>
      </c>
      <c r="E2800" s="5" t="s">
        <v>12</v>
      </c>
      <c r="F2800" s="3" t="s">
        <v>13</v>
      </c>
      <c r="G2800" s="3" t="s">
        <v>13</v>
      </c>
      <c r="H2800" s="3" t="s">
        <v>13</v>
      </c>
      <c r="I2800" s="3">
        <v>16377600</v>
      </c>
    </row>
    <row r="2801" spans="1:9" x14ac:dyDescent="0.35">
      <c r="A2801" t="str">
        <f>"56149"</f>
        <v>56149</v>
      </c>
      <c r="B2801" t="s">
        <v>33</v>
      </c>
      <c r="C2801" t="s">
        <v>1114</v>
      </c>
      <c r="D2801" s="5" t="str">
        <f>"002"</f>
        <v>002</v>
      </c>
      <c r="E2801" s="5">
        <v>2018</v>
      </c>
      <c r="F2801" s="3">
        <v>1739100</v>
      </c>
      <c r="G2801" s="3">
        <v>3303400</v>
      </c>
      <c r="H2801" s="3">
        <v>1564300</v>
      </c>
    </row>
    <row r="2802" spans="1:9" x14ac:dyDescent="0.35">
      <c r="A2802" t="str">
        <f>"56149"</f>
        <v>56149</v>
      </c>
      <c r="B2802" t="s">
        <v>33</v>
      </c>
      <c r="C2802" t="s">
        <v>1114</v>
      </c>
      <c r="D2802" s="5" t="s">
        <v>11</v>
      </c>
      <c r="E2802" s="5" t="s">
        <v>12</v>
      </c>
      <c r="F2802" s="3" t="s">
        <v>13</v>
      </c>
      <c r="G2802" s="3" t="s">
        <v>13</v>
      </c>
      <c r="H2802" s="3" t="s">
        <v>13</v>
      </c>
      <c r="I2802" s="3">
        <v>25192400</v>
      </c>
    </row>
    <row r="2803" spans="1:9" x14ac:dyDescent="0.35">
      <c r="A2803" t="str">
        <f>"56151"</f>
        <v>56151</v>
      </c>
      <c r="B2803" t="s">
        <v>33</v>
      </c>
      <c r="C2803" t="s">
        <v>1105</v>
      </c>
      <c r="D2803" s="5" t="str">
        <f>"001"</f>
        <v>001</v>
      </c>
      <c r="E2803" s="5">
        <v>2025</v>
      </c>
      <c r="F2803" s="3">
        <v>12661000</v>
      </c>
      <c r="G2803" s="3">
        <v>10976600</v>
      </c>
      <c r="H2803" s="3">
        <v>0</v>
      </c>
    </row>
    <row r="2804" spans="1:9" x14ac:dyDescent="0.35">
      <c r="A2804" t="str">
        <f>"56151"</f>
        <v>56151</v>
      </c>
      <c r="B2804" t="s">
        <v>33</v>
      </c>
      <c r="C2804" t="s">
        <v>1105</v>
      </c>
      <c r="D2804" s="5" t="s">
        <v>11</v>
      </c>
      <c r="E2804" s="5" t="s">
        <v>12</v>
      </c>
      <c r="F2804" s="3" t="s">
        <v>13</v>
      </c>
      <c r="G2804" s="3" t="s">
        <v>13</v>
      </c>
      <c r="H2804" s="3" t="s">
        <v>13</v>
      </c>
      <c r="I2804" s="3">
        <v>154800300</v>
      </c>
    </row>
    <row r="2805" spans="1:9" x14ac:dyDescent="0.35">
      <c r="A2805" t="str">
        <f>"56161"</f>
        <v>56161</v>
      </c>
      <c r="B2805" t="s">
        <v>33</v>
      </c>
      <c r="C2805" t="s">
        <v>1115</v>
      </c>
      <c r="D2805" s="5" t="str">
        <f>"001"</f>
        <v>001</v>
      </c>
      <c r="E2805" s="5">
        <v>1997</v>
      </c>
      <c r="F2805" s="3">
        <v>3027800</v>
      </c>
      <c r="G2805" s="3">
        <v>8703700</v>
      </c>
      <c r="H2805" s="3">
        <v>5675900</v>
      </c>
    </row>
    <row r="2806" spans="1:9" x14ac:dyDescent="0.35">
      <c r="A2806" t="str">
        <f>"56161"</f>
        <v>56161</v>
      </c>
      <c r="B2806" t="s">
        <v>33</v>
      </c>
      <c r="C2806" t="s">
        <v>1115</v>
      </c>
      <c r="D2806" s="5" t="s">
        <v>11</v>
      </c>
      <c r="E2806" s="5" t="s">
        <v>12</v>
      </c>
      <c r="F2806" s="3" t="s">
        <v>13</v>
      </c>
      <c r="G2806" s="3" t="s">
        <v>13</v>
      </c>
      <c r="H2806" s="3" t="s">
        <v>13</v>
      </c>
      <c r="I2806" s="3">
        <v>36169500</v>
      </c>
    </row>
    <row r="2807" spans="1:9" x14ac:dyDescent="0.35">
      <c r="A2807" t="str">
        <f>"56171"</f>
        <v>56171</v>
      </c>
      <c r="B2807" t="s">
        <v>33</v>
      </c>
      <c r="C2807" t="s">
        <v>1116</v>
      </c>
      <c r="D2807" s="5" t="str">
        <f>"002"</f>
        <v>002</v>
      </c>
      <c r="E2807" s="5">
        <v>2006</v>
      </c>
      <c r="F2807" s="3">
        <v>169500</v>
      </c>
      <c r="G2807" s="3">
        <v>8441700</v>
      </c>
      <c r="H2807" s="3">
        <v>8272200</v>
      </c>
    </row>
    <row r="2808" spans="1:9" x14ac:dyDescent="0.35">
      <c r="A2808" t="str">
        <f>"56171"</f>
        <v>56171</v>
      </c>
      <c r="B2808" t="s">
        <v>33</v>
      </c>
      <c r="C2808" t="s">
        <v>1116</v>
      </c>
      <c r="D2808" s="5" t="s">
        <v>11</v>
      </c>
      <c r="E2808" s="5" t="s">
        <v>12</v>
      </c>
      <c r="F2808" s="3" t="s">
        <v>13</v>
      </c>
      <c r="G2808" s="3" t="s">
        <v>13</v>
      </c>
      <c r="H2808" s="3" t="s">
        <v>13</v>
      </c>
      <c r="I2808" s="3">
        <v>108640800</v>
      </c>
    </row>
    <row r="2809" spans="1:9" x14ac:dyDescent="0.35">
      <c r="A2809" t="str">
        <f>"56172"</f>
        <v>56172</v>
      </c>
      <c r="B2809" t="s">
        <v>33</v>
      </c>
      <c r="C2809" t="s">
        <v>1106</v>
      </c>
      <c r="D2809" s="5" t="str">
        <f>"005"</f>
        <v>005</v>
      </c>
      <c r="E2809" s="5">
        <v>2018</v>
      </c>
      <c r="F2809" s="3">
        <v>8413500</v>
      </c>
      <c r="G2809" s="3">
        <v>24477600</v>
      </c>
      <c r="H2809" s="3">
        <v>16064100</v>
      </c>
    </row>
    <row r="2810" spans="1:9" x14ac:dyDescent="0.35">
      <c r="A2810" t="str">
        <f>"56172"</f>
        <v>56172</v>
      </c>
      <c r="B2810" t="s">
        <v>33</v>
      </c>
      <c r="C2810" t="s">
        <v>1106</v>
      </c>
      <c r="D2810" s="5" t="str">
        <f>"006"</f>
        <v>006</v>
      </c>
      <c r="E2810" s="5">
        <v>2018</v>
      </c>
      <c r="F2810" s="3">
        <v>9988600</v>
      </c>
      <c r="G2810" s="3">
        <v>17991800</v>
      </c>
      <c r="H2810" s="3">
        <v>8003200</v>
      </c>
    </row>
    <row r="2811" spans="1:9" x14ac:dyDescent="0.35">
      <c r="A2811" t="str">
        <f>"56172"</f>
        <v>56172</v>
      </c>
      <c r="B2811" t="s">
        <v>33</v>
      </c>
      <c r="C2811" t="s">
        <v>1106</v>
      </c>
      <c r="D2811" s="5" t="s">
        <v>11</v>
      </c>
      <c r="E2811" s="5" t="s">
        <v>12</v>
      </c>
      <c r="F2811" s="3" t="s">
        <v>13</v>
      </c>
      <c r="G2811" s="3" t="s">
        <v>13</v>
      </c>
      <c r="H2811" s="3" t="s">
        <v>13</v>
      </c>
      <c r="I2811" s="3">
        <v>736303000</v>
      </c>
    </row>
    <row r="2812" spans="1:9" x14ac:dyDescent="0.35">
      <c r="A2812" t="str">
        <f>"56176"</f>
        <v>56176</v>
      </c>
      <c r="B2812" t="s">
        <v>33</v>
      </c>
      <c r="C2812" t="s">
        <v>1117</v>
      </c>
      <c r="D2812" s="5" t="str">
        <f>"002"</f>
        <v>002</v>
      </c>
      <c r="E2812" s="5">
        <v>2020</v>
      </c>
      <c r="F2812" s="3">
        <v>1229400</v>
      </c>
      <c r="G2812" s="3">
        <v>7212400</v>
      </c>
      <c r="H2812" s="3">
        <v>5983000</v>
      </c>
    </row>
    <row r="2813" spans="1:9" x14ac:dyDescent="0.35">
      <c r="A2813" t="str">
        <f>"56176"</f>
        <v>56176</v>
      </c>
      <c r="B2813" t="s">
        <v>33</v>
      </c>
      <c r="C2813" t="s">
        <v>1117</v>
      </c>
      <c r="D2813" s="5" t="s">
        <v>11</v>
      </c>
      <c r="E2813" s="5" t="s">
        <v>12</v>
      </c>
      <c r="F2813" s="3" t="s">
        <v>13</v>
      </c>
      <c r="G2813" s="3" t="s">
        <v>13</v>
      </c>
      <c r="H2813" s="3" t="s">
        <v>13</v>
      </c>
      <c r="I2813" s="3">
        <v>43136100</v>
      </c>
    </row>
    <row r="2814" spans="1:9" x14ac:dyDescent="0.35">
      <c r="A2814" t="str">
        <f>"56181"</f>
        <v>56181</v>
      </c>
      <c r="B2814" t="s">
        <v>33</v>
      </c>
      <c r="C2814" t="s">
        <v>1118</v>
      </c>
      <c r="D2814" s="5" t="str">
        <f>"007"</f>
        <v>007</v>
      </c>
      <c r="E2814" s="5">
        <v>2005</v>
      </c>
      <c r="F2814" s="3">
        <v>706200</v>
      </c>
      <c r="G2814" s="3">
        <v>10502200</v>
      </c>
      <c r="H2814" s="3">
        <v>9796000</v>
      </c>
    </row>
    <row r="2815" spans="1:9" x14ac:dyDescent="0.35">
      <c r="A2815" t="str">
        <f>"56181"</f>
        <v>56181</v>
      </c>
      <c r="B2815" t="s">
        <v>33</v>
      </c>
      <c r="C2815" t="s">
        <v>1118</v>
      </c>
      <c r="D2815" s="5" t="str">
        <f>"008"</f>
        <v>008</v>
      </c>
      <c r="E2815" s="5">
        <v>2005</v>
      </c>
      <c r="F2815" s="3">
        <v>14893500</v>
      </c>
      <c r="G2815" s="3">
        <v>39568400</v>
      </c>
      <c r="H2815" s="3">
        <v>24674900</v>
      </c>
    </row>
    <row r="2816" spans="1:9" x14ac:dyDescent="0.35">
      <c r="A2816" t="str">
        <f>"56181"</f>
        <v>56181</v>
      </c>
      <c r="B2816" t="s">
        <v>33</v>
      </c>
      <c r="C2816" t="s">
        <v>1118</v>
      </c>
      <c r="D2816" s="5" t="str">
        <f>"009"</f>
        <v>009</v>
      </c>
      <c r="E2816" s="5">
        <v>2015</v>
      </c>
      <c r="F2816" s="3">
        <v>3331900</v>
      </c>
      <c r="G2816" s="3">
        <v>25323300</v>
      </c>
      <c r="H2816" s="3">
        <v>21991400</v>
      </c>
    </row>
    <row r="2817" spans="1:9" x14ac:dyDescent="0.35">
      <c r="A2817" t="str">
        <f>"56181"</f>
        <v>56181</v>
      </c>
      <c r="B2817" t="s">
        <v>33</v>
      </c>
      <c r="C2817" t="s">
        <v>1118</v>
      </c>
      <c r="D2817" s="5" t="str">
        <f>"010"</f>
        <v>010</v>
      </c>
      <c r="E2817" s="5">
        <v>2023</v>
      </c>
      <c r="F2817" s="3">
        <v>5078000</v>
      </c>
      <c r="G2817" s="3">
        <v>9307900</v>
      </c>
      <c r="H2817" s="3">
        <v>4229900</v>
      </c>
    </row>
    <row r="2818" spans="1:9" x14ac:dyDescent="0.35">
      <c r="A2818" t="str">
        <f>"56181"</f>
        <v>56181</v>
      </c>
      <c r="B2818" t="s">
        <v>33</v>
      </c>
      <c r="C2818" t="s">
        <v>1118</v>
      </c>
      <c r="D2818" s="5" t="s">
        <v>11</v>
      </c>
      <c r="E2818" s="5" t="s">
        <v>12</v>
      </c>
      <c r="F2818" s="3" t="s">
        <v>13</v>
      </c>
      <c r="G2818" s="3" t="s">
        <v>13</v>
      </c>
      <c r="H2818" s="3" t="s">
        <v>13</v>
      </c>
      <c r="I2818" s="3">
        <v>624781400</v>
      </c>
    </row>
    <row r="2819" spans="1:9" x14ac:dyDescent="0.35">
      <c r="A2819" t="str">
        <f>"56182"</f>
        <v>56182</v>
      </c>
      <c r="B2819" t="s">
        <v>33</v>
      </c>
      <c r="C2819" t="s">
        <v>1108</v>
      </c>
      <c r="D2819" s="5" t="str">
        <f>"006"</f>
        <v>006</v>
      </c>
      <c r="E2819" s="5">
        <v>2017</v>
      </c>
      <c r="F2819" s="3">
        <v>16025900</v>
      </c>
      <c r="G2819" s="3">
        <v>46991600</v>
      </c>
      <c r="H2819" s="3">
        <v>30965700</v>
      </c>
    </row>
    <row r="2820" spans="1:9" x14ac:dyDescent="0.35">
      <c r="A2820" t="str">
        <f>"56182"</f>
        <v>56182</v>
      </c>
      <c r="B2820" t="s">
        <v>33</v>
      </c>
      <c r="C2820" t="s">
        <v>1108</v>
      </c>
      <c r="D2820" s="5" t="s">
        <v>11</v>
      </c>
      <c r="E2820" s="5" t="s">
        <v>12</v>
      </c>
      <c r="F2820" s="3" t="s">
        <v>13</v>
      </c>
      <c r="G2820" s="3" t="s">
        <v>13</v>
      </c>
      <c r="H2820" s="3" t="s">
        <v>13</v>
      </c>
      <c r="I2820" s="3">
        <v>275340800</v>
      </c>
    </row>
    <row r="2821" spans="1:9" x14ac:dyDescent="0.35">
      <c r="A2821" t="str">
        <f>"56191"</f>
        <v>56191</v>
      </c>
      <c r="B2821" t="s">
        <v>33</v>
      </c>
      <c r="C2821" t="s">
        <v>1119</v>
      </c>
      <c r="D2821" s="5" t="str">
        <f>"003"</f>
        <v>003</v>
      </c>
      <c r="E2821" s="5">
        <v>2018</v>
      </c>
      <c r="F2821" s="3">
        <v>10277700</v>
      </c>
      <c r="G2821" s="3">
        <v>30506000</v>
      </c>
      <c r="H2821" s="3">
        <v>20228300</v>
      </c>
    </row>
    <row r="2822" spans="1:9" x14ac:dyDescent="0.35">
      <c r="A2822" t="str">
        <f>"56191"</f>
        <v>56191</v>
      </c>
      <c r="B2822" t="s">
        <v>33</v>
      </c>
      <c r="C2822" t="s">
        <v>1119</v>
      </c>
      <c r="D2822" s="5" t="s">
        <v>11</v>
      </c>
      <c r="E2822" s="5" t="s">
        <v>12</v>
      </c>
      <c r="F2822" s="3" t="s">
        <v>13</v>
      </c>
      <c r="G2822" s="3" t="s">
        <v>13</v>
      </c>
      <c r="H2822" s="3" t="s">
        <v>13</v>
      </c>
      <c r="I2822" s="3">
        <v>209280600</v>
      </c>
    </row>
    <row r="2823" spans="1:9" x14ac:dyDescent="0.35">
      <c r="A2823" t="s">
        <v>30</v>
      </c>
      <c r="B2823" t="s">
        <v>35</v>
      </c>
      <c r="C2823" t="s">
        <v>32</v>
      </c>
      <c r="D2823" s="5" t="s">
        <v>11</v>
      </c>
      <c r="E2823" s="5" t="s">
        <v>12</v>
      </c>
      <c r="F2823" s="3" t="s">
        <v>13</v>
      </c>
      <c r="G2823" s="3" t="s">
        <v>13</v>
      </c>
      <c r="H2823" s="3" t="s">
        <v>13</v>
      </c>
      <c r="I2823" s="3">
        <v>4146379400</v>
      </c>
    </row>
    <row r="2824" spans="1:9" x14ac:dyDescent="0.35">
      <c r="A2824" t="str">
        <f t="shared" ref="A2824:A2829" si="68">"56206"</f>
        <v>56206</v>
      </c>
      <c r="B2824" t="s">
        <v>36</v>
      </c>
      <c r="C2824" t="s">
        <v>1097</v>
      </c>
      <c r="D2824" s="5" t="str">
        <f>"007"</f>
        <v>007</v>
      </c>
      <c r="E2824" s="5">
        <v>2006</v>
      </c>
      <c r="F2824" s="3">
        <v>248300</v>
      </c>
      <c r="G2824" s="3">
        <v>10673500</v>
      </c>
      <c r="H2824" s="3">
        <v>10425200</v>
      </c>
    </row>
    <row r="2825" spans="1:9" x14ac:dyDescent="0.35">
      <c r="A2825" t="str">
        <f t="shared" si="68"/>
        <v>56206</v>
      </c>
      <c r="B2825" t="s">
        <v>36</v>
      </c>
      <c r="C2825" t="s">
        <v>1097</v>
      </c>
      <c r="D2825" s="5" t="str">
        <f>"008"</f>
        <v>008</v>
      </c>
      <c r="E2825" s="5">
        <v>2006</v>
      </c>
      <c r="F2825" s="3">
        <v>26027100</v>
      </c>
      <c r="G2825" s="3">
        <v>38151600</v>
      </c>
      <c r="H2825" s="3">
        <v>12124500</v>
      </c>
    </row>
    <row r="2826" spans="1:9" x14ac:dyDescent="0.35">
      <c r="A2826" t="str">
        <f t="shared" si="68"/>
        <v>56206</v>
      </c>
      <c r="B2826" t="s">
        <v>36</v>
      </c>
      <c r="C2826" t="s">
        <v>1097</v>
      </c>
      <c r="D2826" s="5" t="str">
        <f>"010"</f>
        <v>010</v>
      </c>
      <c r="E2826" s="5">
        <v>2020</v>
      </c>
      <c r="F2826" s="3">
        <v>3564200</v>
      </c>
      <c r="G2826" s="3">
        <v>15658100</v>
      </c>
      <c r="H2826" s="3">
        <v>12093900</v>
      </c>
    </row>
    <row r="2827" spans="1:9" x14ac:dyDescent="0.35">
      <c r="A2827" t="str">
        <f t="shared" si="68"/>
        <v>56206</v>
      </c>
      <c r="B2827" t="s">
        <v>36</v>
      </c>
      <c r="C2827" t="s">
        <v>1097</v>
      </c>
      <c r="D2827" s="5" t="str">
        <f>"011"</f>
        <v>011</v>
      </c>
      <c r="E2827" s="5">
        <v>2020</v>
      </c>
      <c r="F2827" s="3">
        <v>36784400</v>
      </c>
      <c r="G2827" s="3">
        <v>79843400</v>
      </c>
      <c r="H2827" s="3">
        <v>43059000</v>
      </c>
    </row>
    <row r="2828" spans="1:9" x14ac:dyDescent="0.35">
      <c r="A2828" t="str">
        <f t="shared" si="68"/>
        <v>56206</v>
      </c>
      <c r="B2828" t="s">
        <v>36</v>
      </c>
      <c r="C2828" t="s">
        <v>1097</v>
      </c>
      <c r="D2828" s="5" t="str">
        <f>"012"</f>
        <v>012</v>
      </c>
      <c r="E2828" s="5">
        <v>2021</v>
      </c>
      <c r="F2828" s="3">
        <v>16788100</v>
      </c>
      <c r="G2828" s="3">
        <v>73727200</v>
      </c>
      <c r="H2828" s="3">
        <v>56939100</v>
      </c>
    </row>
    <row r="2829" spans="1:9" x14ac:dyDescent="0.35">
      <c r="A2829" t="str">
        <f t="shared" si="68"/>
        <v>56206</v>
      </c>
      <c r="B2829" t="s">
        <v>36</v>
      </c>
      <c r="C2829" t="s">
        <v>1097</v>
      </c>
      <c r="D2829" s="5" t="s">
        <v>11</v>
      </c>
      <c r="E2829" s="5" t="s">
        <v>12</v>
      </c>
      <c r="F2829" s="3" t="s">
        <v>13</v>
      </c>
      <c r="G2829" s="3" t="s">
        <v>13</v>
      </c>
      <c r="H2829" s="3" t="s">
        <v>13</v>
      </c>
      <c r="I2829" s="3">
        <v>1505298700</v>
      </c>
    </row>
    <row r="2830" spans="1:9" x14ac:dyDescent="0.35">
      <c r="A2830" t="str">
        <f t="shared" ref="A2830:A2835" si="69">"56276"</f>
        <v>56276</v>
      </c>
      <c r="B2830" t="s">
        <v>36</v>
      </c>
      <c r="C2830" t="s">
        <v>1107</v>
      </c>
      <c r="D2830" s="5" t="str">
        <f>"006"</f>
        <v>006</v>
      </c>
      <c r="E2830" s="5">
        <v>2000</v>
      </c>
      <c r="F2830" s="3">
        <v>6934300</v>
      </c>
      <c r="G2830" s="3">
        <v>12828300</v>
      </c>
      <c r="H2830" s="3">
        <v>5894000</v>
      </c>
    </row>
    <row r="2831" spans="1:9" x14ac:dyDescent="0.35">
      <c r="A2831" t="str">
        <f t="shared" si="69"/>
        <v>56276</v>
      </c>
      <c r="B2831" t="s">
        <v>36</v>
      </c>
      <c r="C2831" t="s">
        <v>1107</v>
      </c>
      <c r="D2831" s="5" t="str">
        <f>"008"</f>
        <v>008</v>
      </c>
      <c r="E2831" s="5">
        <v>2008</v>
      </c>
      <c r="F2831" s="3">
        <v>1619700</v>
      </c>
      <c r="G2831" s="3">
        <v>10823100</v>
      </c>
      <c r="H2831" s="3">
        <v>9203400</v>
      </c>
    </row>
    <row r="2832" spans="1:9" x14ac:dyDescent="0.35">
      <c r="A2832" t="str">
        <f t="shared" si="69"/>
        <v>56276</v>
      </c>
      <c r="B2832" t="s">
        <v>36</v>
      </c>
      <c r="C2832" t="s">
        <v>1107</v>
      </c>
      <c r="D2832" s="5" t="str">
        <f>"009"</f>
        <v>009</v>
      </c>
      <c r="E2832" s="5">
        <v>2016</v>
      </c>
      <c r="F2832" s="3">
        <v>41585300</v>
      </c>
      <c r="G2832" s="3">
        <v>102988000</v>
      </c>
      <c r="H2832" s="3">
        <v>61402700</v>
      </c>
    </row>
    <row r="2833" spans="1:9" x14ac:dyDescent="0.35">
      <c r="A2833" t="str">
        <f t="shared" si="69"/>
        <v>56276</v>
      </c>
      <c r="B2833" t="s">
        <v>36</v>
      </c>
      <c r="C2833" t="s">
        <v>1107</v>
      </c>
      <c r="D2833" s="5" t="str">
        <f>"010"</f>
        <v>010</v>
      </c>
      <c r="E2833" s="5">
        <v>2021</v>
      </c>
      <c r="F2833" s="3">
        <v>5749200</v>
      </c>
      <c r="G2833" s="3">
        <v>9641800</v>
      </c>
      <c r="H2833" s="3">
        <v>3892600</v>
      </c>
    </row>
    <row r="2834" spans="1:9" x14ac:dyDescent="0.35">
      <c r="A2834" t="str">
        <f t="shared" si="69"/>
        <v>56276</v>
      </c>
      <c r="B2834" t="s">
        <v>36</v>
      </c>
      <c r="C2834" t="s">
        <v>1107</v>
      </c>
      <c r="D2834" s="5" t="str">
        <f>"011"</f>
        <v>011</v>
      </c>
      <c r="E2834" s="5">
        <v>2023</v>
      </c>
      <c r="F2834" s="3">
        <v>30274400</v>
      </c>
      <c r="G2834" s="3">
        <v>43051900</v>
      </c>
      <c r="H2834" s="3">
        <v>12777500</v>
      </c>
    </row>
    <row r="2835" spans="1:9" x14ac:dyDescent="0.35">
      <c r="A2835" t="str">
        <f t="shared" si="69"/>
        <v>56276</v>
      </c>
      <c r="B2835" t="s">
        <v>36</v>
      </c>
      <c r="C2835" t="s">
        <v>1107</v>
      </c>
      <c r="D2835" s="5" t="s">
        <v>11</v>
      </c>
      <c r="E2835" s="5" t="s">
        <v>12</v>
      </c>
      <c r="F2835" s="3" t="s">
        <v>13</v>
      </c>
      <c r="G2835" s="3" t="s">
        <v>13</v>
      </c>
      <c r="H2835" s="3" t="s">
        <v>13</v>
      </c>
      <c r="I2835" s="3">
        <v>1068736300</v>
      </c>
    </row>
    <row r="2836" spans="1:9" x14ac:dyDescent="0.35">
      <c r="A2836" t="str">
        <f>"56291"</f>
        <v>56291</v>
      </c>
      <c r="B2836" t="s">
        <v>36</v>
      </c>
      <c r="C2836" t="s">
        <v>37</v>
      </c>
      <c r="D2836" s="5" t="str">
        <f>"002"</f>
        <v>002</v>
      </c>
      <c r="E2836" s="5">
        <v>2001</v>
      </c>
      <c r="F2836" s="3">
        <v>14138100</v>
      </c>
      <c r="G2836" s="3">
        <v>133910300</v>
      </c>
      <c r="H2836" s="3">
        <v>119772200</v>
      </c>
    </row>
    <row r="2837" spans="1:9" x14ac:dyDescent="0.35">
      <c r="A2837" t="str">
        <f>"56291"</f>
        <v>56291</v>
      </c>
      <c r="B2837" t="s">
        <v>36</v>
      </c>
      <c r="C2837" t="s">
        <v>37</v>
      </c>
      <c r="D2837" s="5" t="str">
        <f>"003"</f>
        <v>003</v>
      </c>
      <c r="E2837" s="5">
        <v>2005</v>
      </c>
      <c r="F2837" s="3">
        <v>1877200</v>
      </c>
      <c r="G2837" s="3">
        <v>3363100</v>
      </c>
      <c r="H2837" s="3">
        <v>1485900</v>
      </c>
    </row>
    <row r="2838" spans="1:9" x14ac:dyDescent="0.35">
      <c r="A2838" t="str">
        <f>"56291"</f>
        <v>56291</v>
      </c>
      <c r="B2838" t="s">
        <v>36</v>
      </c>
      <c r="C2838" t="s">
        <v>37</v>
      </c>
      <c r="D2838" s="5" t="str">
        <f>"004"</f>
        <v>004</v>
      </c>
      <c r="E2838" s="5">
        <v>2006</v>
      </c>
      <c r="F2838" s="3">
        <v>1464100</v>
      </c>
      <c r="G2838" s="3">
        <v>5376400</v>
      </c>
      <c r="H2838" s="3">
        <v>3912300</v>
      </c>
    </row>
    <row r="2839" spans="1:9" x14ac:dyDescent="0.35">
      <c r="A2839" t="str">
        <f>"56291"</f>
        <v>56291</v>
      </c>
      <c r="B2839" t="s">
        <v>36</v>
      </c>
      <c r="C2839" t="s">
        <v>37</v>
      </c>
      <c r="D2839" s="5" t="s">
        <v>11</v>
      </c>
      <c r="E2839" s="5" t="s">
        <v>12</v>
      </c>
      <c r="F2839" s="3" t="s">
        <v>13</v>
      </c>
      <c r="G2839" s="3" t="s">
        <v>13</v>
      </c>
      <c r="H2839" s="3" t="s">
        <v>13</v>
      </c>
      <c r="I2839" s="3">
        <v>108906900</v>
      </c>
    </row>
    <row r="2840" spans="1:9" x14ac:dyDescent="0.35">
      <c r="A2840" t="s">
        <v>30</v>
      </c>
      <c r="B2840" t="s">
        <v>38</v>
      </c>
      <c r="C2840" t="s">
        <v>32</v>
      </c>
      <c r="D2840" s="5" t="s">
        <v>11</v>
      </c>
      <c r="E2840" s="5" t="s">
        <v>12</v>
      </c>
      <c r="F2840" s="3" t="s">
        <v>13</v>
      </c>
      <c r="G2840" s="3" t="s">
        <v>13</v>
      </c>
      <c r="H2840" s="3" t="s">
        <v>13</v>
      </c>
      <c r="I2840" s="3">
        <v>2682941900</v>
      </c>
    </row>
    <row r="2841" spans="1:9" x14ac:dyDescent="0.35">
      <c r="A2841" t="s">
        <v>30</v>
      </c>
      <c r="B2841" t="s">
        <v>39</v>
      </c>
      <c r="C2841" t="s">
        <v>1120</v>
      </c>
      <c r="D2841" s="5" t="s">
        <v>11</v>
      </c>
      <c r="E2841" s="5" t="s">
        <v>12</v>
      </c>
      <c r="F2841" s="3" t="s">
        <v>13</v>
      </c>
      <c r="G2841" s="3" t="s">
        <v>13</v>
      </c>
      <c r="H2841" s="3" t="s">
        <v>13</v>
      </c>
      <c r="I2841" s="3">
        <v>12725750900</v>
      </c>
    </row>
    <row r="2842" spans="1:9" x14ac:dyDescent="0.35">
      <c r="A2842" t="str">
        <f>"57002"</f>
        <v>57002</v>
      </c>
      <c r="B2842" t="s">
        <v>9</v>
      </c>
      <c r="C2842" t="s">
        <v>1121</v>
      </c>
      <c r="D2842" s="5" t="s">
        <v>11</v>
      </c>
      <c r="E2842" s="5" t="s">
        <v>12</v>
      </c>
      <c r="F2842" s="3" t="s">
        <v>13</v>
      </c>
      <c r="G2842" s="3" t="s">
        <v>13</v>
      </c>
      <c r="H2842" s="3" t="s">
        <v>13</v>
      </c>
      <c r="I2842" s="3">
        <v>1050861300</v>
      </c>
    </row>
    <row r="2843" spans="1:9" x14ac:dyDescent="0.35">
      <c r="A2843" t="str">
        <f>"57004"</f>
        <v>57004</v>
      </c>
      <c r="B2843" t="s">
        <v>9</v>
      </c>
      <c r="C2843" t="s">
        <v>1122</v>
      </c>
      <c r="D2843" s="5" t="s">
        <v>11</v>
      </c>
      <c r="E2843" s="5" t="s">
        <v>12</v>
      </c>
      <c r="F2843" s="3" t="s">
        <v>13</v>
      </c>
      <c r="G2843" s="3" t="s">
        <v>13</v>
      </c>
      <c r="H2843" s="3" t="s">
        <v>13</v>
      </c>
      <c r="I2843" s="3">
        <v>78724100</v>
      </c>
    </row>
    <row r="2844" spans="1:9" x14ac:dyDescent="0.35">
      <c r="A2844" t="str">
        <f>"57006"</f>
        <v>57006</v>
      </c>
      <c r="B2844" t="s">
        <v>9</v>
      </c>
      <c r="C2844" t="s">
        <v>1123</v>
      </c>
      <c r="D2844" s="5" t="s">
        <v>11</v>
      </c>
      <c r="E2844" s="5" t="s">
        <v>12</v>
      </c>
      <c r="F2844" s="3" t="s">
        <v>13</v>
      </c>
      <c r="G2844" s="3" t="s">
        <v>13</v>
      </c>
      <c r="H2844" s="3" t="s">
        <v>13</v>
      </c>
      <c r="I2844" s="3">
        <v>92457500</v>
      </c>
    </row>
    <row r="2845" spans="1:9" x14ac:dyDescent="0.35">
      <c r="A2845" t="str">
        <f>"57008"</f>
        <v>57008</v>
      </c>
      <c r="B2845" t="s">
        <v>9</v>
      </c>
      <c r="C2845" t="s">
        <v>1124</v>
      </c>
      <c r="D2845" s="5" t="s">
        <v>11</v>
      </c>
      <c r="E2845" s="5" t="s">
        <v>12</v>
      </c>
      <c r="F2845" s="3" t="s">
        <v>13</v>
      </c>
      <c r="G2845" s="3" t="s">
        <v>13</v>
      </c>
      <c r="H2845" s="3" t="s">
        <v>13</v>
      </c>
      <c r="I2845" s="3">
        <v>381402400</v>
      </c>
    </row>
    <row r="2846" spans="1:9" x14ac:dyDescent="0.35">
      <c r="A2846" t="str">
        <f>"57010"</f>
        <v>57010</v>
      </c>
      <c r="B2846" t="s">
        <v>9</v>
      </c>
      <c r="C2846" t="s">
        <v>1125</v>
      </c>
      <c r="D2846" s="5" t="s">
        <v>11</v>
      </c>
      <c r="E2846" s="5" t="s">
        <v>12</v>
      </c>
      <c r="F2846" s="3" t="s">
        <v>13</v>
      </c>
      <c r="G2846" s="3" t="s">
        <v>13</v>
      </c>
      <c r="H2846" s="3" t="s">
        <v>13</v>
      </c>
      <c r="I2846" s="3">
        <v>1197285100</v>
      </c>
    </row>
    <row r="2847" spans="1:9" x14ac:dyDescent="0.35">
      <c r="A2847" t="str">
        <f>"57012"</f>
        <v>57012</v>
      </c>
      <c r="B2847" t="s">
        <v>9</v>
      </c>
      <c r="C2847" t="s">
        <v>1126</v>
      </c>
      <c r="D2847" s="5" t="s">
        <v>11</v>
      </c>
      <c r="E2847" s="5" t="s">
        <v>12</v>
      </c>
      <c r="F2847" s="3" t="s">
        <v>13</v>
      </c>
      <c r="G2847" s="3" t="s">
        <v>13</v>
      </c>
      <c r="H2847" s="3" t="s">
        <v>13</v>
      </c>
      <c r="I2847" s="3">
        <v>470430700</v>
      </c>
    </row>
    <row r="2848" spans="1:9" x14ac:dyDescent="0.35">
      <c r="A2848" t="str">
        <f>"57014"</f>
        <v>57014</v>
      </c>
      <c r="B2848" t="s">
        <v>9</v>
      </c>
      <c r="C2848" t="s">
        <v>1127</v>
      </c>
      <c r="D2848" s="5" t="s">
        <v>11</v>
      </c>
      <c r="E2848" s="5" t="s">
        <v>12</v>
      </c>
      <c r="F2848" s="3" t="s">
        <v>13</v>
      </c>
      <c r="G2848" s="3" t="s">
        <v>13</v>
      </c>
      <c r="H2848" s="3" t="s">
        <v>13</v>
      </c>
      <c r="I2848" s="3">
        <v>559479800</v>
      </c>
    </row>
    <row r="2849" spans="1:9" x14ac:dyDescent="0.35">
      <c r="A2849" t="str">
        <f>"57016"</f>
        <v>57016</v>
      </c>
      <c r="B2849" t="s">
        <v>9</v>
      </c>
      <c r="C2849" t="s">
        <v>1128</v>
      </c>
      <c r="D2849" s="5" t="s">
        <v>11</v>
      </c>
      <c r="E2849" s="5" t="s">
        <v>12</v>
      </c>
      <c r="F2849" s="3" t="s">
        <v>13</v>
      </c>
      <c r="G2849" s="3" t="s">
        <v>13</v>
      </c>
      <c r="H2849" s="3" t="s">
        <v>13</v>
      </c>
      <c r="I2849" s="3">
        <v>47381700</v>
      </c>
    </row>
    <row r="2850" spans="1:9" x14ac:dyDescent="0.35">
      <c r="A2850" t="str">
        <f>"57018"</f>
        <v>57018</v>
      </c>
      <c r="B2850" t="s">
        <v>9</v>
      </c>
      <c r="C2850" t="s">
        <v>1129</v>
      </c>
      <c r="D2850" s="5" t="s">
        <v>11</v>
      </c>
      <c r="E2850" s="5" t="s">
        <v>12</v>
      </c>
      <c r="F2850" s="3" t="s">
        <v>13</v>
      </c>
      <c r="G2850" s="3" t="s">
        <v>13</v>
      </c>
      <c r="H2850" s="3" t="s">
        <v>13</v>
      </c>
      <c r="I2850" s="3">
        <v>48129000</v>
      </c>
    </row>
    <row r="2851" spans="1:9" x14ac:dyDescent="0.35">
      <c r="A2851" t="str">
        <f>"57020"</f>
        <v>57020</v>
      </c>
      <c r="B2851" t="s">
        <v>9</v>
      </c>
      <c r="C2851" t="s">
        <v>1130</v>
      </c>
      <c r="D2851" s="5" t="s">
        <v>11</v>
      </c>
      <c r="E2851" s="5" t="s">
        <v>12</v>
      </c>
      <c r="F2851" s="3" t="s">
        <v>13</v>
      </c>
      <c r="G2851" s="3" t="s">
        <v>13</v>
      </c>
      <c r="H2851" s="3" t="s">
        <v>13</v>
      </c>
      <c r="I2851" s="3">
        <v>118624700</v>
      </c>
    </row>
    <row r="2852" spans="1:9" x14ac:dyDescent="0.35">
      <c r="A2852" t="str">
        <f>"57022"</f>
        <v>57022</v>
      </c>
      <c r="B2852" t="s">
        <v>9</v>
      </c>
      <c r="C2852" t="s">
        <v>1131</v>
      </c>
      <c r="D2852" s="5" t="s">
        <v>11</v>
      </c>
      <c r="E2852" s="5" t="s">
        <v>12</v>
      </c>
      <c r="F2852" s="3" t="s">
        <v>13</v>
      </c>
      <c r="G2852" s="3" t="s">
        <v>13</v>
      </c>
      <c r="H2852" s="3" t="s">
        <v>13</v>
      </c>
      <c r="I2852" s="3">
        <v>131524800</v>
      </c>
    </row>
    <row r="2853" spans="1:9" x14ac:dyDescent="0.35">
      <c r="A2853" t="str">
        <f>"57024"</f>
        <v>57024</v>
      </c>
      <c r="B2853" t="s">
        <v>9</v>
      </c>
      <c r="C2853" t="s">
        <v>1132</v>
      </c>
      <c r="D2853" s="5" t="s">
        <v>11</v>
      </c>
      <c r="E2853" s="5" t="s">
        <v>12</v>
      </c>
      <c r="F2853" s="3" t="s">
        <v>13</v>
      </c>
      <c r="G2853" s="3" t="s">
        <v>13</v>
      </c>
      <c r="H2853" s="3" t="s">
        <v>13</v>
      </c>
      <c r="I2853" s="3">
        <v>811799000</v>
      </c>
    </row>
    <row r="2854" spans="1:9" x14ac:dyDescent="0.35">
      <c r="A2854" t="str">
        <f>"57026"</f>
        <v>57026</v>
      </c>
      <c r="B2854" t="s">
        <v>9</v>
      </c>
      <c r="C2854" t="s">
        <v>160</v>
      </c>
      <c r="D2854" s="5" t="s">
        <v>11</v>
      </c>
      <c r="E2854" s="5" t="s">
        <v>12</v>
      </c>
      <c r="F2854" s="3" t="s">
        <v>13</v>
      </c>
      <c r="G2854" s="3" t="s">
        <v>13</v>
      </c>
      <c r="H2854" s="3" t="s">
        <v>13</v>
      </c>
      <c r="I2854" s="3">
        <v>880659700</v>
      </c>
    </row>
    <row r="2855" spans="1:9" x14ac:dyDescent="0.35">
      <c r="A2855" t="str">
        <f>"57028"</f>
        <v>57028</v>
      </c>
      <c r="B2855" t="s">
        <v>9</v>
      </c>
      <c r="C2855" t="s">
        <v>1133</v>
      </c>
      <c r="D2855" s="5" t="s">
        <v>11</v>
      </c>
      <c r="E2855" s="5" t="s">
        <v>12</v>
      </c>
      <c r="F2855" s="3" t="s">
        <v>13</v>
      </c>
      <c r="G2855" s="3" t="s">
        <v>13</v>
      </c>
      <c r="H2855" s="3" t="s">
        <v>13</v>
      </c>
      <c r="I2855" s="3">
        <v>612554300</v>
      </c>
    </row>
    <row r="2856" spans="1:9" x14ac:dyDescent="0.35">
      <c r="A2856" t="str">
        <f>"57030"</f>
        <v>57030</v>
      </c>
      <c r="B2856" t="s">
        <v>9</v>
      </c>
      <c r="C2856" t="s">
        <v>1134</v>
      </c>
      <c r="D2856" s="5" t="s">
        <v>11</v>
      </c>
      <c r="E2856" s="5" t="s">
        <v>12</v>
      </c>
      <c r="F2856" s="3" t="s">
        <v>13</v>
      </c>
      <c r="G2856" s="3" t="s">
        <v>13</v>
      </c>
      <c r="H2856" s="3" t="s">
        <v>13</v>
      </c>
      <c r="I2856" s="3">
        <v>78695600</v>
      </c>
    </row>
    <row r="2857" spans="1:9" x14ac:dyDescent="0.35">
      <c r="A2857" t="str">
        <f>"57032"</f>
        <v>57032</v>
      </c>
      <c r="B2857" t="s">
        <v>9</v>
      </c>
      <c r="C2857" t="s">
        <v>1135</v>
      </c>
      <c r="D2857" s="5" t="s">
        <v>11</v>
      </c>
      <c r="E2857" s="5" t="s">
        <v>12</v>
      </c>
      <c r="F2857" s="3" t="s">
        <v>13</v>
      </c>
      <c r="G2857" s="3" t="s">
        <v>13</v>
      </c>
      <c r="H2857" s="3" t="s">
        <v>13</v>
      </c>
      <c r="I2857" s="3">
        <v>415872700</v>
      </c>
    </row>
    <row r="2858" spans="1:9" x14ac:dyDescent="0.35">
      <c r="A2858" t="s">
        <v>30</v>
      </c>
      <c r="B2858" t="s">
        <v>31</v>
      </c>
      <c r="C2858" t="s">
        <v>32</v>
      </c>
      <c r="D2858" s="5" t="s">
        <v>11</v>
      </c>
      <c r="E2858" s="5" t="s">
        <v>12</v>
      </c>
      <c r="F2858" s="3" t="s">
        <v>13</v>
      </c>
      <c r="G2858" s="3" t="s">
        <v>13</v>
      </c>
      <c r="H2858" s="3" t="s">
        <v>13</v>
      </c>
      <c r="I2858" s="3">
        <v>6975882400</v>
      </c>
    </row>
    <row r="2859" spans="1:9" x14ac:dyDescent="0.35">
      <c r="A2859" t="str">
        <f>"57111"</f>
        <v>57111</v>
      </c>
      <c r="B2859" t="s">
        <v>33</v>
      </c>
      <c r="C2859" t="s">
        <v>1122</v>
      </c>
      <c r="D2859" s="5" t="s">
        <v>11</v>
      </c>
      <c r="E2859" s="5" t="s">
        <v>12</v>
      </c>
      <c r="F2859" s="3" t="s">
        <v>13</v>
      </c>
      <c r="G2859" s="3" t="s">
        <v>13</v>
      </c>
      <c r="H2859" s="3" t="s">
        <v>13</v>
      </c>
      <c r="I2859" s="3">
        <v>6292200</v>
      </c>
    </row>
    <row r="2860" spans="1:9" x14ac:dyDescent="0.35">
      <c r="A2860" t="str">
        <f>"57121"</f>
        <v>57121</v>
      </c>
      <c r="B2860" t="s">
        <v>33</v>
      </c>
      <c r="C2860" t="s">
        <v>1136</v>
      </c>
      <c r="D2860" s="5" t="s">
        <v>11</v>
      </c>
      <c r="E2860" s="5" t="s">
        <v>12</v>
      </c>
      <c r="F2860" s="3" t="s">
        <v>13</v>
      </c>
      <c r="G2860" s="3" t="s">
        <v>13</v>
      </c>
      <c r="H2860" s="3" t="s">
        <v>13</v>
      </c>
      <c r="I2860" s="3">
        <v>11110600</v>
      </c>
    </row>
    <row r="2861" spans="1:9" x14ac:dyDescent="0.35">
      <c r="A2861" t="str">
        <f>"57176"</f>
        <v>57176</v>
      </c>
      <c r="B2861" t="s">
        <v>33</v>
      </c>
      <c r="C2861" t="s">
        <v>1131</v>
      </c>
      <c r="D2861" s="5" t="s">
        <v>11</v>
      </c>
      <c r="E2861" s="5" t="s">
        <v>12</v>
      </c>
      <c r="F2861" s="3" t="s">
        <v>13</v>
      </c>
      <c r="G2861" s="3" t="s">
        <v>13</v>
      </c>
      <c r="H2861" s="3" t="s">
        <v>13</v>
      </c>
      <c r="I2861" s="3">
        <v>16136400</v>
      </c>
    </row>
    <row r="2862" spans="1:9" x14ac:dyDescent="0.35">
      <c r="A2862" t="str">
        <f>"57190"</f>
        <v>57190</v>
      </c>
      <c r="B2862" t="s">
        <v>33</v>
      </c>
      <c r="C2862" t="s">
        <v>1135</v>
      </c>
      <c r="D2862" s="5" t="s">
        <v>11</v>
      </c>
      <c r="E2862" s="5" t="s">
        <v>12</v>
      </c>
      <c r="F2862" s="3" t="s">
        <v>13</v>
      </c>
      <c r="G2862" s="3" t="s">
        <v>13</v>
      </c>
      <c r="H2862" s="3" t="s">
        <v>13</v>
      </c>
      <c r="I2862" s="3">
        <v>23959300</v>
      </c>
    </row>
    <row r="2863" spans="1:9" x14ac:dyDescent="0.35">
      <c r="A2863" t="s">
        <v>30</v>
      </c>
      <c r="B2863" t="s">
        <v>35</v>
      </c>
      <c r="C2863" t="s">
        <v>32</v>
      </c>
      <c r="D2863" s="5" t="s">
        <v>11</v>
      </c>
      <c r="E2863" s="5" t="s">
        <v>12</v>
      </c>
      <c r="F2863" s="3" t="s">
        <v>13</v>
      </c>
      <c r="G2863" s="3" t="s">
        <v>13</v>
      </c>
      <c r="H2863" s="3" t="s">
        <v>13</v>
      </c>
      <c r="I2863" s="3">
        <v>57498500</v>
      </c>
    </row>
    <row r="2864" spans="1:9" x14ac:dyDescent="0.35">
      <c r="A2864" t="str">
        <f>"57236"</f>
        <v>57236</v>
      </c>
      <c r="B2864" t="s">
        <v>36</v>
      </c>
      <c r="C2864" t="s">
        <v>1125</v>
      </c>
      <c r="D2864" s="5" t="str">
        <f>"005"</f>
        <v>005</v>
      </c>
      <c r="E2864" s="5">
        <v>2018</v>
      </c>
      <c r="F2864" s="3">
        <v>689200</v>
      </c>
      <c r="G2864" s="3">
        <v>2336200</v>
      </c>
      <c r="H2864" s="3">
        <v>1647000</v>
      </c>
    </row>
    <row r="2865" spans="1:9" x14ac:dyDescent="0.35">
      <c r="A2865" t="str">
        <f>"57236"</f>
        <v>57236</v>
      </c>
      <c r="B2865" t="s">
        <v>36</v>
      </c>
      <c r="C2865" t="s">
        <v>1125</v>
      </c>
      <c r="D2865" s="5" t="str">
        <f>"006"</f>
        <v>006</v>
      </c>
      <c r="E2865" s="5">
        <v>2020</v>
      </c>
      <c r="F2865" s="3">
        <v>2976000</v>
      </c>
      <c r="G2865" s="3">
        <v>18458400</v>
      </c>
      <c r="H2865" s="3">
        <v>15482400</v>
      </c>
    </row>
    <row r="2866" spans="1:9" x14ac:dyDescent="0.35">
      <c r="A2866" t="str">
        <f>"57236"</f>
        <v>57236</v>
      </c>
      <c r="B2866" t="s">
        <v>36</v>
      </c>
      <c r="C2866" t="s">
        <v>1125</v>
      </c>
      <c r="D2866" s="5" t="s">
        <v>11</v>
      </c>
      <c r="E2866" s="5" t="s">
        <v>12</v>
      </c>
      <c r="F2866" s="3" t="s">
        <v>13</v>
      </c>
      <c r="G2866" s="3" t="s">
        <v>13</v>
      </c>
      <c r="H2866" s="3" t="s">
        <v>13</v>
      </c>
      <c r="I2866" s="3">
        <v>415577400</v>
      </c>
    </row>
    <row r="2867" spans="1:9" x14ac:dyDescent="0.35">
      <c r="A2867" t="s">
        <v>30</v>
      </c>
      <c r="B2867" t="s">
        <v>38</v>
      </c>
      <c r="C2867" t="s">
        <v>32</v>
      </c>
      <c r="D2867" s="5" t="s">
        <v>11</v>
      </c>
      <c r="E2867" s="5" t="s">
        <v>12</v>
      </c>
      <c r="F2867" s="3" t="s">
        <v>13</v>
      </c>
      <c r="G2867" s="3" t="s">
        <v>13</v>
      </c>
      <c r="H2867" s="3" t="s">
        <v>13</v>
      </c>
      <c r="I2867" s="3">
        <v>415577400</v>
      </c>
    </row>
    <row r="2868" spans="1:9" x14ac:dyDescent="0.35">
      <c r="A2868" t="s">
        <v>30</v>
      </c>
      <c r="B2868" t="s">
        <v>39</v>
      </c>
      <c r="C2868" t="s">
        <v>1137</v>
      </c>
      <c r="D2868" s="5" t="s">
        <v>11</v>
      </c>
      <c r="E2868" s="5" t="s">
        <v>12</v>
      </c>
      <c r="F2868" s="3" t="s">
        <v>13</v>
      </c>
      <c r="G2868" s="3" t="s">
        <v>13</v>
      </c>
      <c r="H2868" s="3" t="s">
        <v>13</v>
      </c>
      <c r="I2868" s="3">
        <v>7448958300</v>
      </c>
    </row>
    <row r="2869" spans="1:9" x14ac:dyDescent="0.35">
      <c r="A2869" t="str">
        <f>"58002"</f>
        <v>58002</v>
      </c>
      <c r="B2869" t="s">
        <v>9</v>
      </c>
      <c r="C2869" t="s">
        <v>1138</v>
      </c>
      <c r="D2869" s="5" t="s">
        <v>11</v>
      </c>
      <c r="E2869" s="5" t="s">
        <v>12</v>
      </c>
      <c r="F2869" s="3" t="s">
        <v>13</v>
      </c>
      <c r="G2869" s="3" t="s">
        <v>13</v>
      </c>
      <c r="H2869" s="3" t="s">
        <v>13</v>
      </c>
      <c r="I2869" s="3">
        <v>113181900</v>
      </c>
    </row>
    <row r="2870" spans="1:9" x14ac:dyDescent="0.35">
      <c r="A2870" t="str">
        <f>"58004"</f>
        <v>58004</v>
      </c>
      <c r="B2870" t="s">
        <v>9</v>
      </c>
      <c r="C2870" t="s">
        <v>1139</v>
      </c>
      <c r="D2870" s="5" t="s">
        <v>11</v>
      </c>
      <c r="E2870" s="5" t="s">
        <v>12</v>
      </c>
      <c r="F2870" s="3" t="s">
        <v>13</v>
      </c>
      <c r="G2870" s="3" t="s">
        <v>13</v>
      </c>
      <c r="H2870" s="3" t="s">
        <v>13</v>
      </c>
      <c r="I2870" s="3">
        <v>273885700</v>
      </c>
    </row>
    <row r="2871" spans="1:9" x14ac:dyDescent="0.35">
      <c r="A2871" t="str">
        <f>"58006"</f>
        <v>58006</v>
      </c>
      <c r="B2871" t="s">
        <v>9</v>
      </c>
      <c r="C2871" t="s">
        <v>1140</v>
      </c>
      <c r="D2871" s="5" t="s">
        <v>11</v>
      </c>
      <c r="E2871" s="5" t="s">
        <v>12</v>
      </c>
      <c r="F2871" s="3" t="s">
        <v>13</v>
      </c>
      <c r="G2871" s="3" t="s">
        <v>13</v>
      </c>
      <c r="H2871" s="3" t="s">
        <v>13</v>
      </c>
      <c r="I2871" s="3">
        <v>85040500</v>
      </c>
    </row>
    <row r="2872" spans="1:9" x14ac:dyDescent="0.35">
      <c r="A2872" t="str">
        <f>"58008"</f>
        <v>58008</v>
      </c>
      <c r="B2872" t="s">
        <v>9</v>
      </c>
      <c r="C2872" t="s">
        <v>1141</v>
      </c>
      <c r="D2872" s="5" t="s">
        <v>11</v>
      </c>
      <c r="E2872" s="5" t="s">
        <v>12</v>
      </c>
      <c r="F2872" s="3" t="s">
        <v>13</v>
      </c>
      <c r="G2872" s="3" t="s">
        <v>13</v>
      </c>
      <c r="H2872" s="3" t="s">
        <v>13</v>
      </c>
      <c r="I2872" s="3">
        <v>36853900</v>
      </c>
    </row>
    <row r="2873" spans="1:9" x14ac:dyDescent="0.35">
      <c r="A2873" t="str">
        <f>"58010"</f>
        <v>58010</v>
      </c>
      <c r="B2873" t="s">
        <v>9</v>
      </c>
      <c r="C2873" t="s">
        <v>1142</v>
      </c>
      <c r="D2873" s="5" t="s">
        <v>11</v>
      </c>
      <c r="E2873" s="5" t="s">
        <v>12</v>
      </c>
      <c r="F2873" s="3" t="s">
        <v>13</v>
      </c>
      <c r="G2873" s="3" t="s">
        <v>13</v>
      </c>
      <c r="H2873" s="3" t="s">
        <v>13</v>
      </c>
      <c r="I2873" s="3">
        <v>429860700</v>
      </c>
    </row>
    <row r="2874" spans="1:9" x14ac:dyDescent="0.35">
      <c r="A2874" t="str">
        <f>"58012"</f>
        <v>58012</v>
      </c>
      <c r="B2874" t="s">
        <v>9</v>
      </c>
      <c r="C2874" t="s">
        <v>771</v>
      </c>
      <c r="D2874" s="5" t="s">
        <v>11</v>
      </c>
      <c r="E2874" s="5" t="s">
        <v>12</v>
      </c>
      <c r="F2874" s="3" t="s">
        <v>13</v>
      </c>
      <c r="G2874" s="3" t="s">
        <v>13</v>
      </c>
      <c r="H2874" s="3" t="s">
        <v>13</v>
      </c>
      <c r="I2874" s="3">
        <v>100469300</v>
      </c>
    </row>
    <row r="2875" spans="1:9" x14ac:dyDescent="0.35">
      <c r="A2875" t="str">
        <f>"58014"</f>
        <v>58014</v>
      </c>
      <c r="B2875" t="s">
        <v>9</v>
      </c>
      <c r="C2875" t="s">
        <v>1143</v>
      </c>
      <c r="D2875" s="5" t="s">
        <v>11</v>
      </c>
      <c r="E2875" s="5" t="s">
        <v>12</v>
      </c>
      <c r="F2875" s="3" t="s">
        <v>13</v>
      </c>
      <c r="G2875" s="3" t="s">
        <v>13</v>
      </c>
      <c r="H2875" s="3" t="s">
        <v>13</v>
      </c>
      <c r="I2875" s="3">
        <v>97538300</v>
      </c>
    </row>
    <row r="2876" spans="1:9" x14ac:dyDescent="0.35">
      <c r="A2876" t="str">
        <f>"58016"</f>
        <v>58016</v>
      </c>
      <c r="B2876" t="s">
        <v>9</v>
      </c>
      <c r="C2876" t="s">
        <v>1144</v>
      </c>
      <c r="D2876" s="5" t="s">
        <v>11</v>
      </c>
      <c r="E2876" s="5" t="s">
        <v>12</v>
      </c>
      <c r="F2876" s="3" t="s">
        <v>13</v>
      </c>
      <c r="G2876" s="3" t="s">
        <v>13</v>
      </c>
      <c r="H2876" s="3" t="s">
        <v>13</v>
      </c>
      <c r="I2876" s="3">
        <v>87547500</v>
      </c>
    </row>
    <row r="2877" spans="1:9" x14ac:dyDescent="0.35">
      <c r="A2877" t="str">
        <f>"58018"</f>
        <v>58018</v>
      </c>
      <c r="B2877" t="s">
        <v>9</v>
      </c>
      <c r="C2877" t="s">
        <v>220</v>
      </c>
      <c r="D2877" s="5" t="s">
        <v>11</v>
      </c>
      <c r="E2877" s="5" t="s">
        <v>12</v>
      </c>
      <c r="F2877" s="3" t="s">
        <v>13</v>
      </c>
      <c r="G2877" s="3" t="s">
        <v>13</v>
      </c>
      <c r="H2877" s="3" t="s">
        <v>13</v>
      </c>
      <c r="I2877" s="3">
        <v>129487300</v>
      </c>
    </row>
    <row r="2878" spans="1:9" x14ac:dyDescent="0.35">
      <c r="A2878" t="str">
        <f>"58020"</f>
        <v>58020</v>
      </c>
      <c r="B2878" t="s">
        <v>9</v>
      </c>
      <c r="C2878" t="s">
        <v>747</v>
      </c>
      <c r="D2878" s="5" t="s">
        <v>11</v>
      </c>
      <c r="E2878" s="5" t="s">
        <v>12</v>
      </c>
      <c r="F2878" s="3" t="s">
        <v>13</v>
      </c>
      <c r="G2878" s="3" t="s">
        <v>13</v>
      </c>
      <c r="H2878" s="3" t="s">
        <v>13</v>
      </c>
      <c r="I2878" s="3">
        <v>177387500</v>
      </c>
    </row>
    <row r="2879" spans="1:9" x14ac:dyDescent="0.35">
      <c r="A2879" t="str">
        <f>"58022"</f>
        <v>58022</v>
      </c>
      <c r="B2879" t="s">
        <v>9</v>
      </c>
      <c r="C2879" t="s">
        <v>937</v>
      </c>
      <c r="D2879" s="5" t="s">
        <v>11</v>
      </c>
      <c r="E2879" s="5" t="s">
        <v>12</v>
      </c>
      <c r="F2879" s="3" t="s">
        <v>13</v>
      </c>
      <c r="G2879" s="3" t="s">
        <v>13</v>
      </c>
      <c r="H2879" s="3" t="s">
        <v>13</v>
      </c>
      <c r="I2879" s="3">
        <v>135089900</v>
      </c>
    </row>
    <row r="2880" spans="1:9" x14ac:dyDescent="0.35">
      <c r="A2880" t="str">
        <f>"58024"</f>
        <v>58024</v>
      </c>
      <c r="B2880" t="s">
        <v>9</v>
      </c>
      <c r="C2880" t="s">
        <v>356</v>
      </c>
      <c r="D2880" s="5" t="s">
        <v>11</v>
      </c>
      <c r="E2880" s="5" t="s">
        <v>12</v>
      </c>
      <c r="F2880" s="3" t="s">
        <v>13</v>
      </c>
      <c r="G2880" s="3" t="s">
        <v>13</v>
      </c>
      <c r="H2880" s="3" t="s">
        <v>13</v>
      </c>
      <c r="I2880" s="3">
        <v>91091700</v>
      </c>
    </row>
    <row r="2881" spans="1:9" x14ac:dyDescent="0.35">
      <c r="A2881" t="str">
        <f>"58026"</f>
        <v>58026</v>
      </c>
      <c r="B2881" t="s">
        <v>9</v>
      </c>
      <c r="C2881" t="s">
        <v>1145</v>
      </c>
      <c r="D2881" s="5" t="s">
        <v>11</v>
      </c>
      <c r="E2881" s="5" t="s">
        <v>12</v>
      </c>
      <c r="F2881" s="3" t="s">
        <v>13</v>
      </c>
      <c r="G2881" s="3" t="s">
        <v>13</v>
      </c>
      <c r="H2881" s="3" t="s">
        <v>13</v>
      </c>
      <c r="I2881" s="3">
        <v>100530500</v>
      </c>
    </row>
    <row r="2882" spans="1:9" x14ac:dyDescent="0.35">
      <c r="A2882" t="str">
        <f>"58028"</f>
        <v>58028</v>
      </c>
      <c r="B2882" t="s">
        <v>9</v>
      </c>
      <c r="C2882" t="s">
        <v>1146</v>
      </c>
      <c r="D2882" s="5" t="s">
        <v>11</v>
      </c>
      <c r="E2882" s="5" t="s">
        <v>12</v>
      </c>
      <c r="F2882" s="3" t="s">
        <v>13</v>
      </c>
      <c r="G2882" s="3" t="s">
        <v>13</v>
      </c>
      <c r="H2882" s="3" t="s">
        <v>13</v>
      </c>
      <c r="I2882" s="3">
        <v>204357900</v>
      </c>
    </row>
    <row r="2883" spans="1:9" x14ac:dyDescent="0.35">
      <c r="A2883" t="str">
        <f>"58030"</f>
        <v>58030</v>
      </c>
      <c r="B2883" t="s">
        <v>9</v>
      </c>
      <c r="C2883" t="s">
        <v>68</v>
      </c>
      <c r="D2883" s="5" t="s">
        <v>11</v>
      </c>
      <c r="E2883" s="5" t="s">
        <v>12</v>
      </c>
      <c r="F2883" s="3" t="s">
        <v>13</v>
      </c>
      <c r="G2883" s="3" t="s">
        <v>13</v>
      </c>
      <c r="H2883" s="3" t="s">
        <v>13</v>
      </c>
      <c r="I2883" s="3">
        <v>125809700</v>
      </c>
    </row>
    <row r="2884" spans="1:9" x14ac:dyDescent="0.35">
      <c r="A2884" t="str">
        <f>"58032"</f>
        <v>58032</v>
      </c>
      <c r="B2884" t="s">
        <v>9</v>
      </c>
      <c r="C2884" t="s">
        <v>1147</v>
      </c>
      <c r="D2884" s="5" t="s">
        <v>11</v>
      </c>
      <c r="E2884" s="5" t="s">
        <v>12</v>
      </c>
      <c r="F2884" s="3" t="s">
        <v>13</v>
      </c>
      <c r="G2884" s="3" t="s">
        <v>13</v>
      </c>
      <c r="H2884" s="3" t="s">
        <v>13</v>
      </c>
      <c r="I2884" s="3">
        <v>80309800</v>
      </c>
    </row>
    <row r="2885" spans="1:9" x14ac:dyDescent="0.35">
      <c r="A2885" t="str">
        <f>"58034"</f>
        <v>58034</v>
      </c>
      <c r="B2885" t="s">
        <v>9</v>
      </c>
      <c r="C2885" t="s">
        <v>1148</v>
      </c>
      <c r="D2885" s="5" t="s">
        <v>11</v>
      </c>
      <c r="E2885" s="5" t="s">
        <v>12</v>
      </c>
      <c r="F2885" s="3" t="s">
        <v>13</v>
      </c>
      <c r="G2885" s="3" t="s">
        <v>13</v>
      </c>
      <c r="H2885" s="3" t="s">
        <v>13</v>
      </c>
      <c r="I2885" s="3">
        <v>77104200</v>
      </c>
    </row>
    <row r="2886" spans="1:9" x14ac:dyDescent="0.35">
      <c r="A2886" t="str">
        <f>"58036"</f>
        <v>58036</v>
      </c>
      <c r="B2886" t="s">
        <v>9</v>
      </c>
      <c r="C2886" t="s">
        <v>1149</v>
      </c>
      <c r="D2886" s="5" t="s">
        <v>11</v>
      </c>
      <c r="E2886" s="5" t="s">
        <v>12</v>
      </c>
      <c r="F2886" s="3" t="s">
        <v>13</v>
      </c>
      <c r="G2886" s="3" t="s">
        <v>13</v>
      </c>
      <c r="H2886" s="3" t="s">
        <v>13</v>
      </c>
      <c r="I2886" s="3">
        <v>150915700</v>
      </c>
    </row>
    <row r="2887" spans="1:9" x14ac:dyDescent="0.35">
      <c r="A2887" t="str">
        <f>"58038"</f>
        <v>58038</v>
      </c>
      <c r="B2887" t="s">
        <v>9</v>
      </c>
      <c r="C2887" t="s">
        <v>1150</v>
      </c>
      <c r="D2887" s="5" t="s">
        <v>11</v>
      </c>
      <c r="E2887" s="5" t="s">
        <v>12</v>
      </c>
      <c r="F2887" s="3" t="s">
        <v>13</v>
      </c>
      <c r="G2887" s="3" t="s">
        <v>13</v>
      </c>
      <c r="H2887" s="3" t="s">
        <v>13</v>
      </c>
      <c r="I2887" s="3">
        <v>158354600</v>
      </c>
    </row>
    <row r="2888" spans="1:9" x14ac:dyDescent="0.35">
      <c r="A2888" t="str">
        <f>"58040"</f>
        <v>58040</v>
      </c>
      <c r="B2888" t="s">
        <v>9</v>
      </c>
      <c r="C2888" t="s">
        <v>1084</v>
      </c>
      <c r="D2888" s="5" t="s">
        <v>11</v>
      </c>
      <c r="E2888" s="5" t="s">
        <v>12</v>
      </c>
      <c r="F2888" s="3" t="s">
        <v>13</v>
      </c>
      <c r="G2888" s="3" t="s">
        <v>13</v>
      </c>
      <c r="H2888" s="3" t="s">
        <v>13</v>
      </c>
      <c r="I2888" s="3">
        <v>319968100</v>
      </c>
    </row>
    <row r="2889" spans="1:9" x14ac:dyDescent="0.35">
      <c r="A2889" t="str">
        <f>"58042"</f>
        <v>58042</v>
      </c>
      <c r="B2889" t="s">
        <v>9</v>
      </c>
      <c r="C2889" t="s">
        <v>288</v>
      </c>
      <c r="D2889" s="5" t="s">
        <v>11</v>
      </c>
      <c r="E2889" s="5" t="s">
        <v>12</v>
      </c>
      <c r="F2889" s="3" t="s">
        <v>13</v>
      </c>
      <c r="G2889" s="3" t="s">
        <v>13</v>
      </c>
      <c r="H2889" s="3" t="s">
        <v>13</v>
      </c>
      <c r="I2889" s="3">
        <v>80052200</v>
      </c>
    </row>
    <row r="2890" spans="1:9" x14ac:dyDescent="0.35">
      <c r="A2890" t="str">
        <f>"58044"</f>
        <v>58044</v>
      </c>
      <c r="B2890" t="s">
        <v>9</v>
      </c>
      <c r="C2890" t="s">
        <v>392</v>
      </c>
      <c r="D2890" s="5" t="s">
        <v>11</v>
      </c>
      <c r="E2890" s="5" t="s">
        <v>12</v>
      </c>
      <c r="F2890" s="3" t="s">
        <v>13</v>
      </c>
      <c r="G2890" s="3" t="s">
        <v>13</v>
      </c>
      <c r="H2890" s="3" t="s">
        <v>13</v>
      </c>
      <c r="I2890" s="3">
        <v>513927200</v>
      </c>
    </row>
    <row r="2891" spans="1:9" x14ac:dyDescent="0.35">
      <c r="A2891" t="str">
        <f>"58046"</f>
        <v>58046</v>
      </c>
      <c r="B2891" t="s">
        <v>9</v>
      </c>
      <c r="C2891" t="s">
        <v>1151</v>
      </c>
      <c r="D2891" s="5" t="s">
        <v>11</v>
      </c>
      <c r="E2891" s="5" t="s">
        <v>12</v>
      </c>
      <c r="F2891" s="3" t="s">
        <v>13</v>
      </c>
      <c r="G2891" s="3" t="s">
        <v>13</v>
      </c>
      <c r="H2891" s="3" t="s">
        <v>13</v>
      </c>
      <c r="I2891" s="3">
        <v>164391800</v>
      </c>
    </row>
    <row r="2892" spans="1:9" x14ac:dyDescent="0.35">
      <c r="A2892" t="str">
        <f>"58048"</f>
        <v>58048</v>
      </c>
      <c r="B2892" t="s">
        <v>9</v>
      </c>
      <c r="C2892" t="s">
        <v>1152</v>
      </c>
      <c r="D2892" s="5" t="s">
        <v>11</v>
      </c>
      <c r="E2892" s="5" t="s">
        <v>12</v>
      </c>
      <c r="F2892" s="3" t="s">
        <v>13</v>
      </c>
      <c r="G2892" s="3" t="s">
        <v>13</v>
      </c>
      <c r="H2892" s="3" t="s">
        <v>13</v>
      </c>
      <c r="I2892" s="3">
        <v>888665100</v>
      </c>
    </row>
    <row r="2893" spans="1:9" x14ac:dyDescent="0.35">
      <c r="A2893" t="str">
        <f>"58050"</f>
        <v>58050</v>
      </c>
      <c r="B2893" t="s">
        <v>9</v>
      </c>
      <c r="C2893" t="s">
        <v>1153</v>
      </c>
      <c r="D2893" s="5" t="s">
        <v>11</v>
      </c>
      <c r="E2893" s="5" t="s">
        <v>12</v>
      </c>
      <c r="F2893" s="3" t="s">
        <v>13</v>
      </c>
      <c r="G2893" s="3" t="s">
        <v>13</v>
      </c>
      <c r="H2893" s="3" t="s">
        <v>13</v>
      </c>
      <c r="I2893" s="3">
        <v>138201700</v>
      </c>
    </row>
    <row r="2894" spans="1:9" x14ac:dyDescent="0.35">
      <c r="A2894" t="s">
        <v>30</v>
      </c>
      <c r="B2894" t="s">
        <v>31</v>
      </c>
      <c r="C2894" t="s">
        <v>32</v>
      </c>
      <c r="D2894" s="5" t="s">
        <v>11</v>
      </c>
      <c r="E2894" s="5" t="s">
        <v>12</v>
      </c>
      <c r="F2894" s="3" t="s">
        <v>13</v>
      </c>
      <c r="G2894" s="3" t="s">
        <v>13</v>
      </c>
      <c r="H2894" s="3" t="s">
        <v>13</v>
      </c>
      <c r="I2894" s="3">
        <v>4760022700</v>
      </c>
    </row>
    <row r="2895" spans="1:9" x14ac:dyDescent="0.35">
      <c r="A2895" t="str">
        <f>"58101"</f>
        <v>58101</v>
      </c>
      <c r="B2895" t="s">
        <v>33</v>
      </c>
      <c r="C2895" t="s">
        <v>1140</v>
      </c>
      <c r="D2895" s="5" t="s">
        <v>11</v>
      </c>
      <c r="E2895" s="5" t="s">
        <v>12</v>
      </c>
      <c r="F2895" s="3" t="s">
        <v>13</v>
      </c>
      <c r="G2895" s="3" t="s">
        <v>13</v>
      </c>
      <c r="H2895" s="3" t="s">
        <v>13</v>
      </c>
      <c r="I2895" s="3">
        <v>16813100</v>
      </c>
    </row>
    <row r="2896" spans="1:9" x14ac:dyDescent="0.35">
      <c r="A2896" t="str">
        <f>"58106"</f>
        <v>58106</v>
      </c>
      <c r="B2896" t="s">
        <v>33</v>
      </c>
      <c r="C2896" t="s">
        <v>771</v>
      </c>
      <c r="D2896" s="5" t="s">
        <v>11</v>
      </c>
      <c r="E2896" s="5" t="s">
        <v>12</v>
      </c>
      <c r="F2896" s="3" t="s">
        <v>13</v>
      </c>
      <c r="G2896" s="3" t="s">
        <v>13</v>
      </c>
      <c r="H2896" s="3" t="s">
        <v>13</v>
      </c>
      <c r="I2896" s="3">
        <v>66518900</v>
      </c>
    </row>
    <row r="2897" spans="1:9" x14ac:dyDescent="0.35">
      <c r="A2897" t="str">
        <f>"58107"</f>
        <v>58107</v>
      </c>
      <c r="B2897" t="s">
        <v>33</v>
      </c>
      <c r="C2897" t="s">
        <v>1154</v>
      </c>
      <c r="D2897" s="5" t="str">
        <f>"002"</f>
        <v>002</v>
      </c>
      <c r="E2897" s="5">
        <v>2024</v>
      </c>
      <c r="F2897" s="3">
        <v>5633300</v>
      </c>
      <c r="G2897" s="3">
        <v>13033100</v>
      </c>
      <c r="H2897" s="3">
        <v>7399800</v>
      </c>
    </row>
    <row r="2898" spans="1:9" x14ac:dyDescent="0.35">
      <c r="A2898" t="str">
        <f>"58107"</f>
        <v>58107</v>
      </c>
      <c r="B2898" t="s">
        <v>33</v>
      </c>
      <c r="C2898" t="s">
        <v>1154</v>
      </c>
      <c r="D2898" s="5" t="str">
        <f>"003"</f>
        <v>003</v>
      </c>
      <c r="E2898" s="5">
        <v>2024</v>
      </c>
      <c r="F2898" s="3">
        <v>5802000</v>
      </c>
      <c r="G2898" s="3">
        <v>9168900</v>
      </c>
      <c r="H2898" s="3">
        <v>3366900</v>
      </c>
    </row>
    <row r="2899" spans="1:9" x14ac:dyDescent="0.35">
      <c r="A2899" t="str">
        <f>"58107"</f>
        <v>58107</v>
      </c>
      <c r="B2899" t="s">
        <v>33</v>
      </c>
      <c r="C2899" t="s">
        <v>1154</v>
      </c>
      <c r="D2899" s="5" t="s">
        <v>11</v>
      </c>
      <c r="E2899" s="5" t="s">
        <v>12</v>
      </c>
      <c r="F2899" s="3" t="s">
        <v>13</v>
      </c>
      <c r="G2899" s="3" t="s">
        <v>13</v>
      </c>
      <c r="H2899" s="3" t="s">
        <v>13</v>
      </c>
      <c r="I2899" s="3">
        <v>149802800</v>
      </c>
    </row>
    <row r="2900" spans="1:9" x14ac:dyDescent="0.35">
      <c r="A2900" t="str">
        <f>"58108"</f>
        <v>58108</v>
      </c>
      <c r="B2900" t="s">
        <v>33</v>
      </c>
      <c r="C2900" t="s">
        <v>1155</v>
      </c>
      <c r="D2900" s="5" t="s">
        <v>11</v>
      </c>
      <c r="E2900" s="5" t="s">
        <v>12</v>
      </c>
      <c r="F2900" s="3" t="s">
        <v>13</v>
      </c>
      <c r="G2900" s="3" t="s">
        <v>13</v>
      </c>
      <c r="H2900" s="3" t="s">
        <v>13</v>
      </c>
      <c r="I2900" s="3">
        <v>16485300</v>
      </c>
    </row>
    <row r="2901" spans="1:9" x14ac:dyDescent="0.35">
      <c r="A2901" t="str">
        <f>"58111"</f>
        <v>58111</v>
      </c>
      <c r="B2901" t="s">
        <v>33</v>
      </c>
      <c r="C2901" t="s">
        <v>1156</v>
      </c>
      <c r="D2901" s="5" t="s">
        <v>11</v>
      </c>
      <c r="E2901" s="5" t="s">
        <v>12</v>
      </c>
      <c r="F2901" s="3" t="s">
        <v>13</v>
      </c>
      <c r="G2901" s="3" t="s">
        <v>13</v>
      </c>
      <c r="H2901" s="3" t="s">
        <v>13</v>
      </c>
      <c r="I2901" s="3">
        <v>111542500</v>
      </c>
    </row>
    <row r="2902" spans="1:9" x14ac:dyDescent="0.35">
      <c r="A2902" t="str">
        <f>"58121"</f>
        <v>58121</v>
      </c>
      <c r="B2902" t="s">
        <v>33</v>
      </c>
      <c r="C2902" t="s">
        <v>1157</v>
      </c>
      <c r="D2902" s="5" t="s">
        <v>11</v>
      </c>
      <c r="E2902" s="5" t="s">
        <v>12</v>
      </c>
      <c r="F2902" s="3" t="s">
        <v>13</v>
      </c>
      <c r="G2902" s="3" t="s">
        <v>13</v>
      </c>
      <c r="H2902" s="3" t="s">
        <v>13</v>
      </c>
      <c r="I2902" s="3">
        <v>18067900</v>
      </c>
    </row>
    <row r="2903" spans="1:9" x14ac:dyDescent="0.35">
      <c r="A2903" t="str">
        <f>"58131"</f>
        <v>58131</v>
      </c>
      <c r="B2903" t="s">
        <v>33</v>
      </c>
      <c r="C2903" t="s">
        <v>1158</v>
      </c>
      <c r="D2903" s="5" t="str">
        <f>"001"</f>
        <v>001</v>
      </c>
      <c r="E2903" s="5">
        <v>2011</v>
      </c>
      <c r="F2903" s="3">
        <v>1251500</v>
      </c>
      <c r="G2903" s="3">
        <v>2289300</v>
      </c>
      <c r="H2903" s="3">
        <v>1037800</v>
      </c>
    </row>
    <row r="2904" spans="1:9" x14ac:dyDescent="0.35">
      <c r="A2904" t="str">
        <f>"58131"</f>
        <v>58131</v>
      </c>
      <c r="B2904" t="s">
        <v>33</v>
      </c>
      <c r="C2904" t="s">
        <v>1158</v>
      </c>
      <c r="D2904" s="5" t="str">
        <f>"002"</f>
        <v>002</v>
      </c>
      <c r="E2904" s="5">
        <v>2015</v>
      </c>
      <c r="F2904" s="3">
        <v>2482000</v>
      </c>
      <c r="G2904" s="3">
        <v>7587700</v>
      </c>
      <c r="H2904" s="3">
        <v>5105700</v>
      </c>
    </row>
    <row r="2905" spans="1:9" x14ac:dyDescent="0.35">
      <c r="A2905" t="str">
        <f>"58131"</f>
        <v>58131</v>
      </c>
      <c r="B2905" t="s">
        <v>33</v>
      </c>
      <c r="C2905" t="s">
        <v>1158</v>
      </c>
      <c r="D2905" s="5" t="s">
        <v>11</v>
      </c>
      <c r="E2905" s="5" t="s">
        <v>12</v>
      </c>
      <c r="F2905" s="3" t="s">
        <v>13</v>
      </c>
      <c r="G2905" s="3" t="s">
        <v>13</v>
      </c>
      <c r="H2905" s="3" t="s">
        <v>13</v>
      </c>
      <c r="I2905" s="3">
        <v>36123100</v>
      </c>
    </row>
    <row r="2906" spans="1:9" x14ac:dyDescent="0.35">
      <c r="A2906" t="str">
        <f>"58151"</f>
        <v>58151</v>
      </c>
      <c r="B2906" t="s">
        <v>33</v>
      </c>
      <c r="C2906" t="s">
        <v>1159</v>
      </c>
      <c r="D2906" s="5" t="str">
        <f>"001"</f>
        <v>001</v>
      </c>
      <c r="E2906" s="5">
        <v>2023</v>
      </c>
      <c r="F2906" s="3">
        <v>867200</v>
      </c>
      <c r="G2906" s="3">
        <v>1374100</v>
      </c>
      <c r="H2906" s="3">
        <v>506900</v>
      </c>
    </row>
    <row r="2907" spans="1:9" x14ac:dyDescent="0.35">
      <c r="A2907" t="str">
        <f>"58151"</f>
        <v>58151</v>
      </c>
      <c r="B2907" t="s">
        <v>33</v>
      </c>
      <c r="C2907" t="s">
        <v>1159</v>
      </c>
      <c r="D2907" s="5" t="s">
        <v>11</v>
      </c>
      <c r="E2907" s="5" t="s">
        <v>12</v>
      </c>
      <c r="F2907" s="3" t="s">
        <v>13</v>
      </c>
      <c r="G2907" s="3" t="s">
        <v>13</v>
      </c>
      <c r="H2907" s="3" t="s">
        <v>13</v>
      </c>
      <c r="I2907" s="3">
        <v>17834300</v>
      </c>
    </row>
    <row r="2908" spans="1:9" x14ac:dyDescent="0.35">
      <c r="A2908" t="str">
        <f>"58171"</f>
        <v>58171</v>
      </c>
      <c r="B2908" t="s">
        <v>33</v>
      </c>
      <c r="C2908" t="s">
        <v>127</v>
      </c>
      <c r="D2908" s="5" t="s">
        <v>11</v>
      </c>
      <c r="E2908" s="5" t="s">
        <v>12</v>
      </c>
      <c r="F2908" s="3" t="s">
        <v>13</v>
      </c>
      <c r="G2908" s="3" t="s">
        <v>13</v>
      </c>
      <c r="H2908" s="3" t="s">
        <v>13</v>
      </c>
      <c r="I2908" s="3">
        <v>24337100</v>
      </c>
    </row>
    <row r="2909" spans="1:9" x14ac:dyDescent="0.35">
      <c r="A2909" t="str">
        <f>"58186"</f>
        <v>58186</v>
      </c>
      <c r="B2909" t="s">
        <v>33</v>
      </c>
      <c r="C2909" t="s">
        <v>1160</v>
      </c>
      <c r="D2909" s="5" t="str">
        <f>"002"</f>
        <v>002</v>
      </c>
      <c r="E2909" s="5">
        <v>2014</v>
      </c>
      <c r="F2909" s="3">
        <v>637900</v>
      </c>
      <c r="G2909" s="3">
        <v>2793300</v>
      </c>
      <c r="H2909" s="3">
        <v>2155400</v>
      </c>
    </row>
    <row r="2910" spans="1:9" x14ac:dyDescent="0.35">
      <c r="A2910" t="str">
        <f>"58186"</f>
        <v>58186</v>
      </c>
      <c r="B2910" t="s">
        <v>33</v>
      </c>
      <c r="C2910" t="s">
        <v>1160</v>
      </c>
      <c r="D2910" s="5" t="str">
        <f>"003"</f>
        <v>003</v>
      </c>
      <c r="E2910" s="5">
        <v>2025</v>
      </c>
      <c r="F2910" s="3">
        <v>1491800</v>
      </c>
      <c r="G2910" s="3">
        <v>1248300</v>
      </c>
      <c r="H2910" s="3">
        <v>0</v>
      </c>
    </row>
    <row r="2911" spans="1:9" x14ac:dyDescent="0.35">
      <c r="A2911" t="str">
        <f>"58186"</f>
        <v>58186</v>
      </c>
      <c r="B2911" t="s">
        <v>33</v>
      </c>
      <c r="C2911" t="s">
        <v>1160</v>
      </c>
      <c r="D2911" s="5" t="s">
        <v>11</v>
      </c>
      <c r="E2911" s="5" t="s">
        <v>12</v>
      </c>
      <c r="F2911" s="3" t="s">
        <v>13</v>
      </c>
      <c r="G2911" s="3" t="s">
        <v>13</v>
      </c>
      <c r="H2911" s="3" t="s">
        <v>13</v>
      </c>
      <c r="I2911" s="3">
        <v>37622400</v>
      </c>
    </row>
    <row r="2912" spans="1:9" x14ac:dyDescent="0.35">
      <c r="A2912" t="str">
        <f>"58191"</f>
        <v>58191</v>
      </c>
      <c r="B2912" t="s">
        <v>33</v>
      </c>
      <c r="C2912" t="s">
        <v>1153</v>
      </c>
      <c r="D2912" s="5" t="str">
        <f>"002"</f>
        <v>002</v>
      </c>
      <c r="E2912" s="5">
        <v>2011</v>
      </c>
      <c r="F2912" s="3">
        <v>1407900</v>
      </c>
      <c r="G2912" s="3">
        <v>3205400</v>
      </c>
      <c r="H2912" s="3">
        <v>1797500</v>
      </c>
    </row>
    <row r="2913" spans="1:9" x14ac:dyDescent="0.35">
      <c r="A2913" t="str">
        <f>"58191"</f>
        <v>58191</v>
      </c>
      <c r="B2913" t="s">
        <v>33</v>
      </c>
      <c r="C2913" t="s">
        <v>1153</v>
      </c>
      <c r="D2913" s="5" t="str">
        <f>"003"</f>
        <v>003</v>
      </c>
      <c r="E2913" s="5">
        <v>2015</v>
      </c>
      <c r="F2913" s="3">
        <v>3300</v>
      </c>
      <c r="G2913" s="3">
        <v>5180100</v>
      </c>
      <c r="H2913" s="3">
        <v>5176800</v>
      </c>
    </row>
    <row r="2914" spans="1:9" x14ac:dyDescent="0.35">
      <c r="A2914" t="str">
        <f>"58191"</f>
        <v>58191</v>
      </c>
      <c r="B2914" t="s">
        <v>33</v>
      </c>
      <c r="C2914" t="s">
        <v>1153</v>
      </c>
      <c r="D2914" s="5" t="str">
        <f>"004"</f>
        <v>004</v>
      </c>
      <c r="E2914" s="5">
        <v>2024</v>
      </c>
      <c r="F2914" s="3">
        <v>0</v>
      </c>
      <c r="G2914" s="3">
        <v>3529400</v>
      </c>
      <c r="H2914" s="3">
        <v>3529400</v>
      </c>
    </row>
    <row r="2915" spans="1:9" x14ac:dyDescent="0.35">
      <c r="A2915" t="str">
        <f>"58191"</f>
        <v>58191</v>
      </c>
      <c r="B2915" t="s">
        <v>33</v>
      </c>
      <c r="C2915" t="s">
        <v>1153</v>
      </c>
      <c r="D2915" s="5" t="s">
        <v>11</v>
      </c>
      <c r="E2915" s="5" t="s">
        <v>12</v>
      </c>
      <c r="F2915" s="3" t="s">
        <v>13</v>
      </c>
      <c r="G2915" s="3" t="s">
        <v>13</v>
      </c>
      <c r="H2915" s="3" t="s">
        <v>13</v>
      </c>
      <c r="I2915" s="3">
        <v>80664300</v>
      </c>
    </row>
    <row r="2916" spans="1:9" x14ac:dyDescent="0.35">
      <c r="A2916" t="s">
        <v>30</v>
      </c>
      <c r="B2916" t="s">
        <v>35</v>
      </c>
      <c r="C2916" t="s">
        <v>32</v>
      </c>
      <c r="D2916" s="5" t="s">
        <v>11</v>
      </c>
      <c r="E2916" s="5" t="s">
        <v>12</v>
      </c>
      <c r="F2916" s="3" t="s">
        <v>13</v>
      </c>
      <c r="G2916" s="3" t="s">
        <v>13</v>
      </c>
      <c r="H2916" s="3" t="s">
        <v>13</v>
      </c>
      <c r="I2916" s="3">
        <v>575811700</v>
      </c>
    </row>
    <row r="2917" spans="1:9" x14ac:dyDescent="0.35">
      <c r="A2917" t="str">
        <f>"58252"</f>
        <v>58252</v>
      </c>
      <c r="B2917" t="s">
        <v>36</v>
      </c>
      <c r="C2917" t="s">
        <v>506</v>
      </c>
      <c r="D2917" s="5" t="s">
        <v>11</v>
      </c>
      <c r="E2917" s="5" t="s">
        <v>12</v>
      </c>
      <c r="F2917" s="3" t="s">
        <v>13</v>
      </c>
      <c r="G2917" s="3" t="s">
        <v>13</v>
      </c>
      <c r="H2917" s="3" t="s">
        <v>13</v>
      </c>
      <c r="I2917" s="3">
        <v>12191700</v>
      </c>
    </row>
    <row r="2918" spans="1:9" x14ac:dyDescent="0.35">
      <c r="A2918" t="str">
        <f t="shared" ref="A2918:A2923" si="70">"58281"</f>
        <v>58281</v>
      </c>
      <c r="B2918" t="s">
        <v>36</v>
      </c>
      <c r="C2918" t="s">
        <v>1161</v>
      </c>
      <c r="D2918" s="5" t="str">
        <f>"004"</f>
        <v>004</v>
      </c>
      <c r="E2918" s="5">
        <v>2000</v>
      </c>
      <c r="F2918" s="3">
        <v>12063100</v>
      </c>
      <c r="G2918" s="3">
        <v>30106900</v>
      </c>
      <c r="H2918" s="3">
        <v>18043800</v>
      </c>
    </row>
    <row r="2919" spans="1:9" x14ac:dyDescent="0.35">
      <c r="A2919" t="str">
        <f t="shared" si="70"/>
        <v>58281</v>
      </c>
      <c r="B2919" t="s">
        <v>36</v>
      </c>
      <c r="C2919" t="s">
        <v>1161</v>
      </c>
      <c r="D2919" s="5" t="str">
        <f>"006"</f>
        <v>006</v>
      </c>
      <c r="E2919" s="5">
        <v>2014</v>
      </c>
      <c r="F2919" s="3">
        <v>31481000</v>
      </c>
      <c r="G2919" s="3">
        <v>52304400</v>
      </c>
      <c r="H2919" s="3">
        <v>20823400</v>
      </c>
    </row>
    <row r="2920" spans="1:9" x14ac:dyDescent="0.35">
      <c r="A2920" t="str">
        <f t="shared" si="70"/>
        <v>58281</v>
      </c>
      <c r="B2920" t="s">
        <v>36</v>
      </c>
      <c r="C2920" t="s">
        <v>1161</v>
      </c>
      <c r="D2920" s="5" t="str">
        <f>"007"</f>
        <v>007</v>
      </c>
      <c r="E2920" s="5">
        <v>2016</v>
      </c>
      <c r="F2920" s="3">
        <v>6667300</v>
      </c>
      <c r="G2920" s="3">
        <v>88333200</v>
      </c>
      <c r="H2920" s="3">
        <v>81665900</v>
      </c>
    </row>
    <row r="2921" spans="1:9" x14ac:dyDescent="0.35">
      <c r="A2921" t="str">
        <f t="shared" si="70"/>
        <v>58281</v>
      </c>
      <c r="B2921" t="s">
        <v>36</v>
      </c>
      <c r="C2921" t="s">
        <v>1161</v>
      </c>
      <c r="D2921" s="5" t="str">
        <f>"008"</f>
        <v>008</v>
      </c>
      <c r="E2921" s="5">
        <v>2018</v>
      </c>
      <c r="F2921" s="3">
        <v>215900</v>
      </c>
      <c r="G2921" s="3">
        <v>7220700</v>
      </c>
      <c r="H2921" s="3">
        <v>7004800</v>
      </c>
    </row>
    <row r="2922" spans="1:9" x14ac:dyDescent="0.35">
      <c r="A2922" t="str">
        <f t="shared" si="70"/>
        <v>58281</v>
      </c>
      <c r="B2922" t="s">
        <v>36</v>
      </c>
      <c r="C2922" t="s">
        <v>1161</v>
      </c>
      <c r="D2922" s="5" t="str">
        <f>"009"</f>
        <v>009</v>
      </c>
      <c r="E2922" s="5">
        <v>2022</v>
      </c>
      <c r="F2922" s="3">
        <v>17079200</v>
      </c>
      <c r="G2922" s="3">
        <v>19663800</v>
      </c>
      <c r="H2922" s="3">
        <v>2584600</v>
      </c>
    </row>
    <row r="2923" spans="1:9" x14ac:dyDescent="0.35">
      <c r="A2923" t="str">
        <f t="shared" si="70"/>
        <v>58281</v>
      </c>
      <c r="B2923" t="s">
        <v>36</v>
      </c>
      <c r="C2923" t="s">
        <v>1161</v>
      </c>
      <c r="D2923" s="5" t="s">
        <v>11</v>
      </c>
      <c r="E2923" s="5" t="s">
        <v>12</v>
      </c>
      <c r="F2923" s="3" t="s">
        <v>13</v>
      </c>
      <c r="G2923" s="3" t="s">
        <v>13</v>
      </c>
      <c r="H2923" s="3" t="s">
        <v>13</v>
      </c>
      <c r="I2923" s="3">
        <v>809629900</v>
      </c>
    </row>
    <row r="2924" spans="1:9" x14ac:dyDescent="0.35">
      <c r="A2924" t="s">
        <v>30</v>
      </c>
      <c r="B2924" t="s">
        <v>38</v>
      </c>
      <c r="C2924" t="s">
        <v>32</v>
      </c>
      <c r="D2924" s="5" t="s">
        <v>11</v>
      </c>
      <c r="E2924" s="5" t="s">
        <v>12</v>
      </c>
      <c r="F2924" s="3" t="s">
        <v>13</v>
      </c>
      <c r="G2924" s="3" t="s">
        <v>13</v>
      </c>
      <c r="H2924" s="3" t="s">
        <v>13</v>
      </c>
      <c r="I2924" s="3">
        <v>821821600</v>
      </c>
    </row>
    <row r="2925" spans="1:9" x14ac:dyDescent="0.35">
      <c r="A2925" t="s">
        <v>30</v>
      </c>
      <c r="B2925" t="s">
        <v>39</v>
      </c>
      <c r="C2925" t="s">
        <v>1161</v>
      </c>
      <c r="D2925" s="5" t="s">
        <v>11</v>
      </c>
      <c r="E2925" s="5" t="s">
        <v>12</v>
      </c>
      <c r="F2925" s="3" t="s">
        <v>13</v>
      </c>
      <c r="G2925" s="3" t="s">
        <v>13</v>
      </c>
      <c r="H2925" s="3" t="s">
        <v>13</v>
      </c>
      <c r="I2925" s="3">
        <v>6157656000</v>
      </c>
    </row>
    <row r="2926" spans="1:9" x14ac:dyDescent="0.35">
      <c r="A2926" t="str">
        <f>"59002"</f>
        <v>59002</v>
      </c>
      <c r="B2926" t="s">
        <v>9</v>
      </c>
      <c r="C2926" t="s">
        <v>1162</v>
      </c>
      <c r="D2926" s="5" t="s">
        <v>11</v>
      </c>
      <c r="E2926" s="5" t="s">
        <v>12</v>
      </c>
      <c r="F2926" s="3" t="s">
        <v>13</v>
      </c>
      <c r="G2926" s="3" t="s">
        <v>13</v>
      </c>
      <c r="H2926" s="3" t="s">
        <v>13</v>
      </c>
      <c r="I2926" s="3">
        <v>295027200</v>
      </c>
    </row>
    <row r="2927" spans="1:9" x14ac:dyDescent="0.35">
      <c r="A2927" t="str">
        <f>"59004"</f>
        <v>59004</v>
      </c>
      <c r="B2927" t="s">
        <v>9</v>
      </c>
      <c r="C2927" t="s">
        <v>356</v>
      </c>
      <c r="D2927" s="5" t="s">
        <v>11</v>
      </c>
      <c r="E2927" s="5" t="s">
        <v>12</v>
      </c>
      <c r="F2927" s="3" t="s">
        <v>13</v>
      </c>
      <c r="G2927" s="3" t="s">
        <v>13</v>
      </c>
      <c r="H2927" s="3" t="s">
        <v>13</v>
      </c>
      <c r="I2927" s="3">
        <v>298939400</v>
      </c>
    </row>
    <row r="2928" spans="1:9" x14ac:dyDescent="0.35">
      <c r="A2928" t="str">
        <f>"59006"</f>
        <v>59006</v>
      </c>
      <c r="B2928" t="s">
        <v>9</v>
      </c>
      <c r="C2928" t="s">
        <v>110</v>
      </c>
      <c r="D2928" s="5" t="s">
        <v>11</v>
      </c>
      <c r="E2928" s="5" t="s">
        <v>12</v>
      </c>
      <c r="F2928" s="3" t="s">
        <v>13</v>
      </c>
      <c r="G2928" s="3" t="s">
        <v>13</v>
      </c>
      <c r="H2928" s="3" t="s">
        <v>13</v>
      </c>
      <c r="I2928" s="3">
        <v>654979800</v>
      </c>
    </row>
    <row r="2929" spans="1:9" x14ac:dyDescent="0.35">
      <c r="A2929" t="str">
        <f>"59008"</f>
        <v>59008</v>
      </c>
      <c r="B2929" t="s">
        <v>9</v>
      </c>
      <c r="C2929" t="s">
        <v>504</v>
      </c>
      <c r="D2929" s="5" t="s">
        <v>11</v>
      </c>
      <c r="E2929" s="5" t="s">
        <v>12</v>
      </c>
      <c r="F2929" s="3" t="s">
        <v>13</v>
      </c>
      <c r="G2929" s="3" t="s">
        <v>13</v>
      </c>
      <c r="H2929" s="3" t="s">
        <v>13</v>
      </c>
      <c r="I2929" s="3">
        <v>462661000</v>
      </c>
    </row>
    <row r="2930" spans="1:9" x14ac:dyDescent="0.35">
      <c r="A2930" t="str">
        <f>"59010"</f>
        <v>59010</v>
      </c>
      <c r="B2930" t="s">
        <v>9</v>
      </c>
      <c r="C2930" t="s">
        <v>627</v>
      </c>
      <c r="D2930" s="5" t="s">
        <v>11</v>
      </c>
      <c r="E2930" s="5" t="s">
        <v>12</v>
      </c>
      <c r="F2930" s="3" t="s">
        <v>13</v>
      </c>
      <c r="G2930" s="3" t="s">
        <v>13</v>
      </c>
      <c r="H2930" s="3" t="s">
        <v>13</v>
      </c>
      <c r="I2930" s="3">
        <v>338629800</v>
      </c>
    </row>
    <row r="2931" spans="1:9" x14ac:dyDescent="0.35">
      <c r="A2931" t="str">
        <f>"59012"</f>
        <v>59012</v>
      </c>
      <c r="B2931" t="s">
        <v>9</v>
      </c>
      <c r="C2931" t="s">
        <v>1163</v>
      </c>
      <c r="D2931" s="5" t="s">
        <v>11</v>
      </c>
      <c r="E2931" s="5" t="s">
        <v>12</v>
      </c>
      <c r="F2931" s="3" t="s">
        <v>13</v>
      </c>
      <c r="G2931" s="3" t="s">
        <v>13</v>
      </c>
      <c r="H2931" s="3" t="s">
        <v>13</v>
      </c>
      <c r="I2931" s="3">
        <v>248353100</v>
      </c>
    </row>
    <row r="2932" spans="1:9" x14ac:dyDescent="0.35">
      <c r="A2932" t="str">
        <f>"59014"</f>
        <v>59014</v>
      </c>
      <c r="B2932" t="s">
        <v>9</v>
      </c>
      <c r="C2932" t="s">
        <v>1164</v>
      </c>
      <c r="D2932" s="5" t="s">
        <v>11</v>
      </c>
      <c r="E2932" s="5" t="s">
        <v>12</v>
      </c>
      <c r="F2932" s="3" t="s">
        <v>13</v>
      </c>
      <c r="G2932" s="3" t="s">
        <v>13</v>
      </c>
      <c r="H2932" s="3" t="s">
        <v>13</v>
      </c>
      <c r="I2932" s="3">
        <v>233460500</v>
      </c>
    </row>
    <row r="2933" spans="1:9" x14ac:dyDescent="0.35">
      <c r="A2933" t="str">
        <f>"59016"</f>
        <v>59016</v>
      </c>
      <c r="B2933" t="s">
        <v>9</v>
      </c>
      <c r="C2933" t="s">
        <v>630</v>
      </c>
      <c r="D2933" s="5" t="s">
        <v>11</v>
      </c>
      <c r="E2933" s="5" t="s">
        <v>12</v>
      </c>
      <c r="F2933" s="3" t="s">
        <v>13</v>
      </c>
      <c r="G2933" s="3" t="s">
        <v>13</v>
      </c>
      <c r="H2933" s="3" t="s">
        <v>13</v>
      </c>
      <c r="I2933" s="3">
        <v>701351900</v>
      </c>
    </row>
    <row r="2934" spans="1:9" x14ac:dyDescent="0.35">
      <c r="A2934" t="str">
        <f>"59018"</f>
        <v>59018</v>
      </c>
      <c r="B2934" t="s">
        <v>9</v>
      </c>
      <c r="C2934" t="s">
        <v>1165</v>
      </c>
      <c r="D2934" s="5" t="s">
        <v>11</v>
      </c>
      <c r="E2934" s="5" t="s">
        <v>12</v>
      </c>
      <c r="F2934" s="3" t="s">
        <v>13</v>
      </c>
      <c r="G2934" s="3" t="s">
        <v>13</v>
      </c>
      <c r="H2934" s="3" t="s">
        <v>13</v>
      </c>
      <c r="I2934" s="3">
        <v>749287500</v>
      </c>
    </row>
    <row r="2935" spans="1:9" x14ac:dyDescent="0.35">
      <c r="A2935" t="str">
        <f>"59020"</f>
        <v>59020</v>
      </c>
      <c r="B2935" t="s">
        <v>9</v>
      </c>
      <c r="C2935" t="s">
        <v>104</v>
      </c>
      <c r="D2935" s="5" t="s">
        <v>11</v>
      </c>
      <c r="E2935" s="5" t="s">
        <v>12</v>
      </c>
      <c r="F2935" s="3" t="s">
        <v>13</v>
      </c>
      <c r="G2935" s="3" t="s">
        <v>13</v>
      </c>
      <c r="H2935" s="3" t="s">
        <v>13</v>
      </c>
      <c r="I2935" s="3">
        <v>65157800</v>
      </c>
    </row>
    <row r="2936" spans="1:9" x14ac:dyDescent="0.35">
      <c r="A2936" t="str">
        <f>"59022"</f>
        <v>59022</v>
      </c>
      <c r="B2936" t="s">
        <v>9</v>
      </c>
      <c r="C2936" t="s">
        <v>118</v>
      </c>
      <c r="D2936" s="5" t="s">
        <v>11</v>
      </c>
      <c r="E2936" s="5" t="s">
        <v>12</v>
      </c>
      <c r="F2936" s="3" t="s">
        <v>13</v>
      </c>
      <c r="G2936" s="3" t="s">
        <v>13</v>
      </c>
      <c r="H2936" s="3" t="s">
        <v>13</v>
      </c>
      <c r="I2936" s="3">
        <v>298947800</v>
      </c>
    </row>
    <row r="2937" spans="1:9" x14ac:dyDescent="0.35">
      <c r="A2937" t="str">
        <f>"59024"</f>
        <v>59024</v>
      </c>
      <c r="B2937" t="s">
        <v>9</v>
      </c>
      <c r="C2937" t="s">
        <v>1166</v>
      </c>
      <c r="D2937" s="5" t="str">
        <f>"001A"</f>
        <v>001A</v>
      </c>
      <c r="E2937" s="5">
        <v>2020</v>
      </c>
      <c r="F2937" s="3">
        <v>36417600</v>
      </c>
      <c r="G2937" s="3">
        <v>149129600</v>
      </c>
      <c r="H2937" s="3">
        <v>112712000</v>
      </c>
    </row>
    <row r="2938" spans="1:9" x14ac:dyDescent="0.35">
      <c r="A2938" t="str">
        <f>"59024"</f>
        <v>59024</v>
      </c>
      <c r="B2938" t="s">
        <v>9</v>
      </c>
      <c r="C2938" t="s">
        <v>1166</v>
      </c>
      <c r="D2938" s="5" t="s">
        <v>11</v>
      </c>
      <c r="E2938" s="5" t="s">
        <v>12</v>
      </c>
      <c r="F2938" s="3" t="s">
        <v>13</v>
      </c>
      <c r="G2938" s="3" t="s">
        <v>13</v>
      </c>
      <c r="H2938" s="3" t="s">
        <v>13</v>
      </c>
      <c r="I2938" s="3">
        <v>1510645200</v>
      </c>
    </row>
    <row r="2939" spans="1:9" x14ac:dyDescent="0.35">
      <c r="A2939" t="str">
        <f>"59026"</f>
        <v>59026</v>
      </c>
      <c r="B2939" t="s">
        <v>9</v>
      </c>
      <c r="C2939" t="s">
        <v>1167</v>
      </c>
      <c r="D2939" s="5" t="s">
        <v>11</v>
      </c>
      <c r="E2939" s="5" t="s">
        <v>12</v>
      </c>
      <c r="F2939" s="3" t="s">
        <v>13</v>
      </c>
      <c r="G2939" s="3" t="s">
        <v>13</v>
      </c>
      <c r="H2939" s="3" t="s">
        <v>13</v>
      </c>
      <c r="I2939" s="3">
        <v>380349600</v>
      </c>
    </row>
    <row r="2940" spans="1:9" x14ac:dyDescent="0.35">
      <c r="A2940" t="str">
        <f>"59028"</f>
        <v>59028</v>
      </c>
      <c r="B2940" t="s">
        <v>9</v>
      </c>
      <c r="C2940" t="s">
        <v>236</v>
      </c>
      <c r="D2940" s="5" t="s">
        <v>11</v>
      </c>
      <c r="E2940" s="5" t="s">
        <v>12</v>
      </c>
      <c r="F2940" s="3" t="s">
        <v>13</v>
      </c>
      <c r="G2940" s="3" t="s">
        <v>13</v>
      </c>
      <c r="H2940" s="3" t="s">
        <v>13</v>
      </c>
      <c r="I2940" s="3">
        <v>279390000</v>
      </c>
    </row>
    <row r="2941" spans="1:9" x14ac:dyDescent="0.35">
      <c r="A2941" t="str">
        <f>"59030"</f>
        <v>59030</v>
      </c>
      <c r="B2941" t="s">
        <v>9</v>
      </c>
      <c r="C2941" t="s">
        <v>430</v>
      </c>
      <c r="D2941" s="5" t="s">
        <v>11</v>
      </c>
      <c r="E2941" s="5" t="s">
        <v>12</v>
      </c>
      <c r="F2941" s="3" t="s">
        <v>13</v>
      </c>
      <c r="G2941" s="3" t="s">
        <v>13</v>
      </c>
      <c r="H2941" s="3" t="s">
        <v>13</v>
      </c>
      <c r="I2941" s="3">
        <v>812526600</v>
      </c>
    </row>
    <row r="2942" spans="1:9" x14ac:dyDescent="0.35">
      <c r="A2942" t="s">
        <v>30</v>
      </c>
      <c r="B2942" t="s">
        <v>31</v>
      </c>
      <c r="C2942" t="s">
        <v>32</v>
      </c>
      <c r="D2942" s="5" t="s">
        <v>11</v>
      </c>
      <c r="E2942" s="5" t="s">
        <v>12</v>
      </c>
      <c r="F2942" s="3" t="s">
        <v>13</v>
      </c>
      <c r="G2942" s="3" t="s">
        <v>13</v>
      </c>
      <c r="H2942" s="3" t="s">
        <v>13</v>
      </c>
      <c r="I2942" s="3">
        <v>7329707200</v>
      </c>
    </row>
    <row r="2943" spans="1:9" x14ac:dyDescent="0.35">
      <c r="A2943" t="str">
        <f>"59101"</f>
        <v>59101</v>
      </c>
      <c r="B2943" t="s">
        <v>33</v>
      </c>
      <c r="C2943" t="s">
        <v>1168</v>
      </c>
      <c r="D2943" s="5" t="s">
        <v>11</v>
      </c>
      <c r="E2943" s="5" t="s">
        <v>12</v>
      </c>
      <c r="F2943" s="3" t="s">
        <v>13</v>
      </c>
      <c r="G2943" s="3" t="s">
        <v>13</v>
      </c>
      <c r="H2943" s="3" t="s">
        <v>13</v>
      </c>
      <c r="I2943" s="3">
        <v>54066600</v>
      </c>
    </row>
    <row r="2944" spans="1:9" x14ac:dyDescent="0.35">
      <c r="A2944" t="str">
        <f>"59111"</f>
        <v>59111</v>
      </c>
      <c r="B2944" t="s">
        <v>33</v>
      </c>
      <c r="C2944" t="s">
        <v>1169</v>
      </c>
      <c r="D2944" s="5" t="str">
        <f>"001"</f>
        <v>001</v>
      </c>
      <c r="E2944" s="5">
        <v>2011</v>
      </c>
      <c r="F2944" s="3">
        <v>577000</v>
      </c>
      <c r="G2944" s="3">
        <v>1734800</v>
      </c>
      <c r="H2944" s="3">
        <v>1157800</v>
      </c>
    </row>
    <row r="2945" spans="1:9" x14ac:dyDescent="0.35">
      <c r="A2945" t="str">
        <f>"59111"</f>
        <v>59111</v>
      </c>
      <c r="B2945" t="s">
        <v>33</v>
      </c>
      <c r="C2945" t="s">
        <v>1169</v>
      </c>
      <c r="D2945" s="5" t="s">
        <v>11</v>
      </c>
      <c r="E2945" s="5" t="s">
        <v>12</v>
      </c>
      <c r="F2945" s="3" t="s">
        <v>13</v>
      </c>
      <c r="G2945" s="3" t="s">
        <v>13</v>
      </c>
      <c r="H2945" s="3" t="s">
        <v>13</v>
      </c>
      <c r="I2945" s="3">
        <v>81660700</v>
      </c>
    </row>
    <row r="2946" spans="1:9" x14ac:dyDescent="0.35">
      <c r="A2946" t="str">
        <f>"59112"</f>
        <v>59112</v>
      </c>
      <c r="B2946" t="s">
        <v>33</v>
      </c>
      <c r="C2946" t="s">
        <v>1170</v>
      </c>
      <c r="D2946" s="5" t="str">
        <f>"001"</f>
        <v>001</v>
      </c>
      <c r="E2946" s="5">
        <v>2009</v>
      </c>
      <c r="F2946" s="3">
        <v>221500</v>
      </c>
      <c r="G2946" s="3">
        <v>1115600</v>
      </c>
      <c r="H2946" s="3">
        <v>894100</v>
      </c>
    </row>
    <row r="2947" spans="1:9" x14ac:dyDescent="0.35">
      <c r="A2947" t="str">
        <f>"59112"</f>
        <v>59112</v>
      </c>
      <c r="B2947" t="s">
        <v>33</v>
      </c>
      <c r="C2947" t="s">
        <v>1170</v>
      </c>
      <c r="D2947" s="5" t="str">
        <f>"003"</f>
        <v>003</v>
      </c>
      <c r="E2947" s="5">
        <v>2023</v>
      </c>
      <c r="F2947" s="3">
        <v>16534200</v>
      </c>
      <c r="G2947" s="3">
        <v>18423400</v>
      </c>
      <c r="H2947" s="3">
        <v>1889200</v>
      </c>
    </row>
    <row r="2948" spans="1:9" x14ac:dyDescent="0.35">
      <c r="A2948" t="str">
        <f>"59112"</f>
        <v>59112</v>
      </c>
      <c r="B2948" t="s">
        <v>33</v>
      </c>
      <c r="C2948" t="s">
        <v>1170</v>
      </c>
      <c r="D2948" s="5" t="s">
        <v>11</v>
      </c>
      <c r="E2948" s="5" t="s">
        <v>12</v>
      </c>
      <c r="F2948" s="3" t="s">
        <v>13</v>
      </c>
      <c r="G2948" s="3" t="s">
        <v>13</v>
      </c>
      <c r="H2948" s="3" t="s">
        <v>13</v>
      </c>
      <c r="I2948" s="3">
        <v>279255800</v>
      </c>
    </row>
    <row r="2949" spans="1:9" x14ac:dyDescent="0.35">
      <c r="A2949" t="str">
        <f>"59121"</f>
        <v>59121</v>
      </c>
      <c r="B2949" t="s">
        <v>33</v>
      </c>
      <c r="C2949" t="s">
        <v>1171</v>
      </c>
      <c r="D2949" s="5" t="str">
        <f>"002"</f>
        <v>002</v>
      </c>
      <c r="E2949" s="5">
        <v>2013</v>
      </c>
      <c r="F2949" s="3">
        <v>10561600</v>
      </c>
      <c r="G2949" s="3">
        <v>72766600</v>
      </c>
      <c r="H2949" s="3">
        <v>62205000</v>
      </c>
    </row>
    <row r="2950" spans="1:9" x14ac:dyDescent="0.35">
      <c r="A2950" t="str">
        <f>"59121"</f>
        <v>59121</v>
      </c>
      <c r="B2950" t="s">
        <v>33</v>
      </c>
      <c r="C2950" t="s">
        <v>1171</v>
      </c>
      <c r="D2950" s="5" t="str">
        <f>"003"</f>
        <v>003</v>
      </c>
      <c r="E2950" s="5">
        <v>2013</v>
      </c>
      <c r="F2950" s="3">
        <v>1699300</v>
      </c>
      <c r="G2950" s="3">
        <v>11552200</v>
      </c>
      <c r="H2950" s="3">
        <v>9852900</v>
      </c>
    </row>
    <row r="2951" spans="1:9" x14ac:dyDescent="0.35">
      <c r="A2951" t="str">
        <f>"59121"</f>
        <v>59121</v>
      </c>
      <c r="B2951" t="s">
        <v>33</v>
      </c>
      <c r="C2951" t="s">
        <v>1171</v>
      </c>
      <c r="D2951" s="5" t="str">
        <f>"004"</f>
        <v>004</v>
      </c>
      <c r="E2951" s="5">
        <v>2015</v>
      </c>
      <c r="F2951" s="3">
        <v>6219600</v>
      </c>
      <c r="G2951" s="3">
        <v>71019600</v>
      </c>
      <c r="H2951" s="3">
        <v>64800000</v>
      </c>
    </row>
    <row r="2952" spans="1:9" x14ac:dyDescent="0.35">
      <c r="A2952" t="str">
        <f>"59121"</f>
        <v>59121</v>
      </c>
      <c r="B2952" t="s">
        <v>33</v>
      </c>
      <c r="C2952" t="s">
        <v>1171</v>
      </c>
      <c r="D2952" s="5" t="s">
        <v>11</v>
      </c>
      <c r="E2952" s="5" t="s">
        <v>12</v>
      </c>
      <c r="F2952" s="3" t="s">
        <v>13</v>
      </c>
      <c r="G2952" s="3" t="s">
        <v>13</v>
      </c>
      <c r="H2952" s="3" t="s">
        <v>13</v>
      </c>
      <c r="I2952" s="3">
        <v>601845700</v>
      </c>
    </row>
    <row r="2953" spans="1:9" x14ac:dyDescent="0.35">
      <c r="A2953" t="str">
        <f>"59131"</f>
        <v>59131</v>
      </c>
      <c r="B2953" t="s">
        <v>33</v>
      </c>
      <c r="C2953" t="s">
        <v>1172</v>
      </c>
      <c r="D2953" s="5" t="str">
        <f>"001"</f>
        <v>001</v>
      </c>
      <c r="E2953" s="5">
        <v>2005</v>
      </c>
      <c r="F2953" s="3">
        <v>1862900</v>
      </c>
      <c r="G2953" s="3">
        <v>6564900</v>
      </c>
      <c r="H2953" s="3">
        <v>4702000</v>
      </c>
    </row>
    <row r="2954" spans="1:9" x14ac:dyDescent="0.35">
      <c r="A2954" t="str">
        <f>"59131"</f>
        <v>59131</v>
      </c>
      <c r="B2954" t="s">
        <v>33</v>
      </c>
      <c r="C2954" t="s">
        <v>1172</v>
      </c>
      <c r="D2954" s="5" t="s">
        <v>11</v>
      </c>
      <c r="E2954" s="5" t="s">
        <v>12</v>
      </c>
      <c r="F2954" s="3" t="s">
        <v>13</v>
      </c>
      <c r="G2954" s="3" t="s">
        <v>13</v>
      </c>
      <c r="H2954" s="3" t="s">
        <v>13</v>
      </c>
      <c r="I2954" s="3">
        <v>64031600</v>
      </c>
    </row>
    <row r="2955" spans="1:9" x14ac:dyDescent="0.35">
      <c r="A2955" t="str">
        <f>"59135"</f>
        <v>59135</v>
      </c>
      <c r="B2955" t="s">
        <v>33</v>
      </c>
      <c r="C2955" t="s">
        <v>1173</v>
      </c>
      <c r="D2955" s="5" t="s">
        <v>11</v>
      </c>
      <c r="E2955" s="5" t="s">
        <v>12</v>
      </c>
      <c r="F2955" s="3" t="s">
        <v>13</v>
      </c>
      <c r="G2955" s="3" t="s">
        <v>13</v>
      </c>
      <c r="H2955" s="3" t="s">
        <v>13</v>
      </c>
      <c r="I2955" s="3">
        <v>486643500</v>
      </c>
    </row>
    <row r="2956" spans="1:9" x14ac:dyDescent="0.35">
      <c r="A2956" t="str">
        <f>"59141"</f>
        <v>59141</v>
      </c>
      <c r="B2956" t="s">
        <v>33</v>
      </c>
      <c r="C2956" t="s">
        <v>1174</v>
      </c>
      <c r="D2956" s="5" t="s">
        <v>11</v>
      </c>
      <c r="E2956" s="5" t="s">
        <v>12</v>
      </c>
      <c r="F2956" s="3" t="s">
        <v>13</v>
      </c>
      <c r="G2956" s="3" t="s">
        <v>13</v>
      </c>
      <c r="H2956" s="3" t="s">
        <v>13</v>
      </c>
      <c r="I2956" s="3">
        <v>739108400</v>
      </c>
    </row>
    <row r="2957" spans="1:9" x14ac:dyDescent="0.35">
      <c r="A2957" t="str">
        <f>"59165"</f>
        <v>59165</v>
      </c>
      <c r="B2957" t="s">
        <v>33</v>
      </c>
      <c r="C2957" t="s">
        <v>1175</v>
      </c>
      <c r="D2957" s="5" t="str">
        <f>"002"</f>
        <v>002</v>
      </c>
      <c r="E2957" s="5">
        <v>2001</v>
      </c>
      <c r="F2957" s="3">
        <v>5477800</v>
      </c>
      <c r="G2957" s="3">
        <v>23469300</v>
      </c>
      <c r="H2957" s="3">
        <v>17991500</v>
      </c>
    </row>
    <row r="2958" spans="1:9" x14ac:dyDescent="0.35">
      <c r="A2958" t="str">
        <f>"59165"</f>
        <v>59165</v>
      </c>
      <c r="B2958" t="s">
        <v>33</v>
      </c>
      <c r="C2958" t="s">
        <v>1175</v>
      </c>
      <c r="D2958" s="5" t="str">
        <f>"003"</f>
        <v>003</v>
      </c>
      <c r="E2958" s="5">
        <v>2017</v>
      </c>
      <c r="F2958" s="3">
        <v>708100</v>
      </c>
      <c r="G2958" s="3">
        <v>29432800</v>
      </c>
      <c r="H2958" s="3">
        <v>28724700</v>
      </c>
    </row>
    <row r="2959" spans="1:9" x14ac:dyDescent="0.35">
      <c r="A2959" t="str">
        <f>"59165"</f>
        <v>59165</v>
      </c>
      <c r="B2959" t="s">
        <v>33</v>
      </c>
      <c r="C2959" t="s">
        <v>1175</v>
      </c>
      <c r="D2959" s="5" t="s">
        <v>11</v>
      </c>
      <c r="E2959" s="5" t="s">
        <v>12</v>
      </c>
      <c r="F2959" s="3" t="s">
        <v>13</v>
      </c>
      <c r="G2959" s="3" t="s">
        <v>13</v>
      </c>
      <c r="H2959" s="3" t="s">
        <v>13</v>
      </c>
      <c r="I2959" s="3">
        <v>456063700</v>
      </c>
    </row>
    <row r="2960" spans="1:9" x14ac:dyDescent="0.35">
      <c r="A2960" t="str">
        <f>"59176"</f>
        <v>59176</v>
      </c>
      <c r="B2960" t="s">
        <v>33</v>
      </c>
      <c r="C2960" t="s">
        <v>1176</v>
      </c>
      <c r="D2960" s="5" t="str">
        <f>"003"</f>
        <v>003</v>
      </c>
      <c r="E2960" s="5">
        <v>2014</v>
      </c>
      <c r="F2960" s="3">
        <v>1268200</v>
      </c>
      <c r="G2960" s="3">
        <v>4301200</v>
      </c>
      <c r="H2960" s="3">
        <v>3033000</v>
      </c>
    </row>
    <row r="2961" spans="1:9" x14ac:dyDescent="0.35">
      <c r="A2961" t="str">
        <f>"59176"</f>
        <v>59176</v>
      </c>
      <c r="B2961" t="s">
        <v>33</v>
      </c>
      <c r="C2961" t="s">
        <v>1176</v>
      </c>
      <c r="D2961" s="5" t="str">
        <f>"004"</f>
        <v>004</v>
      </c>
      <c r="E2961" s="5">
        <v>2021</v>
      </c>
      <c r="F2961" s="3">
        <v>8807900</v>
      </c>
      <c r="G2961" s="3">
        <v>23788900</v>
      </c>
      <c r="H2961" s="3">
        <v>14981000</v>
      </c>
    </row>
    <row r="2962" spans="1:9" x14ac:dyDescent="0.35">
      <c r="A2962" t="str">
        <f>"59176"</f>
        <v>59176</v>
      </c>
      <c r="B2962" t="s">
        <v>33</v>
      </c>
      <c r="C2962" t="s">
        <v>1176</v>
      </c>
      <c r="D2962" s="5" t="s">
        <v>11</v>
      </c>
      <c r="E2962" s="5" t="s">
        <v>12</v>
      </c>
      <c r="F2962" s="3" t="s">
        <v>13</v>
      </c>
      <c r="G2962" s="3" t="s">
        <v>13</v>
      </c>
      <c r="H2962" s="3" t="s">
        <v>13</v>
      </c>
      <c r="I2962" s="3">
        <v>278648900</v>
      </c>
    </row>
    <row r="2963" spans="1:9" x14ac:dyDescent="0.35">
      <c r="A2963" t="str">
        <f>"59191"</f>
        <v>59191</v>
      </c>
      <c r="B2963" t="s">
        <v>33</v>
      </c>
      <c r="C2963" t="s">
        <v>1177</v>
      </c>
      <c r="D2963" s="5" t="s">
        <v>11</v>
      </c>
      <c r="E2963" s="5" t="s">
        <v>12</v>
      </c>
      <c r="F2963" s="3" t="s">
        <v>13</v>
      </c>
      <c r="G2963" s="3" t="s">
        <v>13</v>
      </c>
      <c r="H2963" s="3" t="s">
        <v>13</v>
      </c>
      <c r="I2963" s="3">
        <v>69455300</v>
      </c>
    </row>
    <row r="2964" spans="1:9" x14ac:dyDescent="0.35">
      <c r="A2964" t="s">
        <v>30</v>
      </c>
      <c r="B2964" t="s">
        <v>35</v>
      </c>
      <c r="C2964" t="s">
        <v>32</v>
      </c>
      <c r="D2964" s="5" t="s">
        <v>11</v>
      </c>
      <c r="E2964" s="5" t="s">
        <v>12</v>
      </c>
      <c r="F2964" s="3" t="s">
        <v>13</v>
      </c>
      <c r="G2964" s="3" t="s">
        <v>13</v>
      </c>
      <c r="H2964" s="3" t="s">
        <v>13</v>
      </c>
      <c r="I2964" s="3">
        <v>3110780200</v>
      </c>
    </row>
    <row r="2965" spans="1:9" x14ac:dyDescent="0.35">
      <c r="A2965" t="str">
        <f>"59271"</f>
        <v>59271</v>
      </c>
      <c r="B2965" t="s">
        <v>36</v>
      </c>
      <c r="C2965" t="s">
        <v>630</v>
      </c>
      <c r="D2965" s="5" t="str">
        <f>"005"</f>
        <v>005</v>
      </c>
      <c r="E2965" s="5">
        <v>2008</v>
      </c>
      <c r="F2965" s="3">
        <v>14967700</v>
      </c>
      <c r="G2965" s="3">
        <v>46666700</v>
      </c>
      <c r="H2965" s="3">
        <v>31699000</v>
      </c>
    </row>
    <row r="2966" spans="1:9" x14ac:dyDescent="0.35">
      <c r="A2966" t="str">
        <f>"59271"</f>
        <v>59271</v>
      </c>
      <c r="B2966" t="s">
        <v>36</v>
      </c>
      <c r="C2966" t="s">
        <v>630</v>
      </c>
      <c r="D2966" s="5" t="str">
        <f>"006"</f>
        <v>006</v>
      </c>
      <c r="E2966" s="5">
        <v>2011</v>
      </c>
      <c r="F2966" s="3">
        <v>42600</v>
      </c>
      <c r="G2966" s="3">
        <v>7721800</v>
      </c>
      <c r="H2966" s="3">
        <v>7679200</v>
      </c>
    </row>
    <row r="2967" spans="1:9" x14ac:dyDescent="0.35">
      <c r="A2967" t="str">
        <f>"59271"</f>
        <v>59271</v>
      </c>
      <c r="B2967" t="s">
        <v>36</v>
      </c>
      <c r="C2967" t="s">
        <v>630</v>
      </c>
      <c r="D2967" s="5" t="str">
        <f>"007"</f>
        <v>007</v>
      </c>
      <c r="E2967" s="5">
        <v>2024</v>
      </c>
      <c r="F2967" s="3">
        <v>22156500</v>
      </c>
      <c r="G2967" s="3">
        <v>39616800</v>
      </c>
      <c r="H2967" s="3">
        <v>17460300</v>
      </c>
    </row>
    <row r="2968" spans="1:9" x14ac:dyDescent="0.35">
      <c r="A2968" t="str">
        <f>"59271"</f>
        <v>59271</v>
      </c>
      <c r="B2968" t="s">
        <v>36</v>
      </c>
      <c r="C2968" t="s">
        <v>630</v>
      </c>
      <c r="D2968" s="5" t="str">
        <f>"008"</f>
        <v>008</v>
      </c>
      <c r="E2968" s="5">
        <v>2025</v>
      </c>
      <c r="F2968" s="3">
        <v>5129400</v>
      </c>
      <c r="G2968" s="3">
        <v>5889700</v>
      </c>
      <c r="H2968" s="3">
        <v>760300</v>
      </c>
    </row>
    <row r="2969" spans="1:9" x14ac:dyDescent="0.35">
      <c r="A2969" t="str">
        <f>"59271"</f>
        <v>59271</v>
      </c>
      <c r="B2969" t="s">
        <v>36</v>
      </c>
      <c r="C2969" t="s">
        <v>630</v>
      </c>
      <c r="D2969" s="5" t="s">
        <v>11</v>
      </c>
      <c r="E2969" s="5" t="s">
        <v>12</v>
      </c>
      <c r="F2969" s="3" t="s">
        <v>13</v>
      </c>
      <c r="G2969" s="3" t="s">
        <v>13</v>
      </c>
      <c r="H2969" s="3" t="s">
        <v>13</v>
      </c>
      <c r="I2969" s="3">
        <v>1310796400</v>
      </c>
    </row>
    <row r="2970" spans="1:9" x14ac:dyDescent="0.35">
      <c r="A2970" t="str">
        <f t="shared" ref="A2970:A2980" si="71">"59281"</f>
        <v>59281</v>
      </c>
      <c r="B2970" t="s">
        <v>36</v>
      </c>
      <c r="C2970" t="s">
        <v>1166</v>
      </c>
      <c r="D2970" s="5" t="str">
        <f>"016"</f>
        <v>016</v>
      </c>
      <c r="E2970" s="5">
        <v>2015</v>
      </c>
      <c r="F2970" s="3">
        <v>21740700</v>
      </c>
      <c r="G2970" s="3">
        <v>54476700</v>
      </c>
      <c r="H2970" s="3">
        <v>32736000</v>
      </c>
    </row>
    <row r="2971" spans="1:9" x14ac:dyDescent="0.35">
      <c r="A2971" t="str">
        <f t="shared" si="71"/>
        <v>59281</v>
      </c>
      <c r="B2971" t="s">
        <v>36</v>
      </c>
      <c r="C2971" t="s">
        <v>1166</v>
      </c>
      <c r="D2971" s="5" t="str">
        <f>"017"</f>
        <v>017</v>
      </c>
      <c r="E2971" s="5">
        <v>2018</v>
      </c>
      <c r="F2971" s="3">
        <v>32701500</v>
      </c>
      <c r="G2971" s="3">
        <v>85319800</v>
      </c>
      <c r="H2971" s="3">
        <v>52618300</v>
      </c>
    </row>
    <row r="2972" spans="1:9" x14ac:dyDescent="0.35">
      <c r="A2972" t="str">
        <f t="shared" si="71"/>
        <v>59281</v>
      </c>
      <c r="B2972" t="s">
        <v>36</v>
      </c>
      <c r="C2972" t="s">
        <v>1166</v>
      </c>
      <c r="D2972" s="5" t="str">
        <f>"018"</f>
        <v>018</v>
      </c>
      <c r="E2972" s="5">
        <v>2018</v>
      </c>
      <c r="F2972" s="3">
        <v>27053400</v>
      </c>
      <c r="G2972" s="3">
        <v>68454500</v>
      </c>
      <c r="H2972" s="3">
        <v>41401100</v>
      </c>
    </row>
    <row r="2973" spans="1:9" x14ac:dyDescent="0.35">
      <c r="A2973" t="str">
        <f t="shared" si="71"/>
        <v>59281</v>
      </c>
      <c r="B2973" t="s">
        <v>36</v>
      </c>
      <c r="C2973" t="s">
        <v>1166</v>
      </c>
      <c r="D2973" s="5" t="str">
        <f>"019"</f>
        <v>019</v>
      </c>
      <c r="E2973" s="5">
        <v>2018</v>
      </c>
      <c r="F2973" s="3">
        <v>3364600</v>
      </c>
      <c r="G2973" s="3">
        <v>11169400</v>
      </c>
      <c r="H2973" s="3">
        <v>7804800</v>
      </c>
    </row>
    <row r="2974" spans="1:9" x14ac:dyDescent="0.35">
      <c r="A2974" t="str">
        <f t="shared" si="71"/>
        <v>59281</v>
      </c>
      <c r="B2974" t="s">
        <v>36</v>
      </c>
      <c r="C2974" t="s">
        <v>1166</v>
      </c>
      <c r="D2974" s="5" t="str">
        <f>"020"</f>
        <v>020</v>
      </c>
      <c r="E2974" s="5">
        <v>2020</v>
      </c>
      <c r="F2974" s="3">
        <v>1354900</v>
      </c>
      <c r="G2974" s="3">
        <v>41611300</v>
      </c>
      <c r="H2974" s="3">
        <v>40256400</v>
      </c>
    </row>
    <row r="2975" spans="1:9" x14ac:dyDescent="0.35">
      <c r="A2975" t="str">
        <f t="shared" si="71"/>
        <v>59281</v>
      </c>
      <c r="B2975" t="s">
        <v>36</v>
      </c>
      <c r="C2975" t="s">
        <v>1166</v>
      </c>
      <c r="D2975" s="5" t="str">
        <f>"021"</f>
        <v>021</v>
      </c>
      <c r="E2975" s="5">
        <v>2024</v>
      </c>
      <c r="F2975" s="3">
        <v>270966400</v>
      </c>
      <c r="G2975" s="3">
        <v>273385100</v>
      </c>
      <c r="H2975" s="3">
        <v>2418700</v>
      </c>
    </row>
    <row r="2976" spans="1:9" x14ac:dyDescent="0.35">
      <c r="A2976" t="str">
        <f t="shared" si="71"/>
        <v>59281</v>
      </c>
      <c r="B2976" t="s">
        <v>36</v>
      </c>
      <c r="C2976" t="s">
        <v>1166</v>
      </c>
      <c r="D2976" s="5" t="str">
        <f>"022"</f>
        <v>022</v>
      </c>
      <c r="E2976" s="5">
        <v>2024</v>
      </c>
      <c r="F2976" s="3">
        <v>149156100</v>
      </c>
      <c r="G2976" s="3">
        <v>161307700</v>
      </c>
      <c r="H2976" s="3">
        <v>12151600</v>
      </c>
    </row>
    <row r="2977" spans="1:9" x14ac:dyDescent="0.35">
      <c r="A2977" t="str">
        <f t="shared" si="71"/>
        <v>59281</v>
      </c>
      <c r="B2977" t="s">
        <v>36</v>
      </c>
      <c r="C2977" t="s">
        <v>1166</v>
      </c>
      <c r="D2977" s="5" t="str">
        <f>"023"</f>
        <v>023</v>
      </c>
      <c r="E2977" s="5">
        <v>2024</v>
      </c>
      <c r="F2977" s="3">
        <v>12315000</v>
      </c>
      <c r="G2977" s="3">
        <v>22768600</v>
      </c>
      <c r="H2977" s="3">
        <v>10453600</v>
      </c>
    </row>
    <row r="2978" spans="1:9" x14ac:dyDescent="0.35">
      <c r="A2978" t="str">
        <f t="shared" si="71"/>
        <v>59281</v>
      </c>
      <c r="B2978" t="s">
        <v>36</v>
      </c>
      <c r="C2978" t="s">
        <v>1166</v>
      </c>
      <c r="D2978" s="5" t="str">
        <f>"024"</f>
        <v>024</v>
      </c>
      <c r="E2978" s="5">
        <v>2024</v>
      </c>
      <c r="F2978" s="3">
        <v>0</v>
      </c>
      <c r="G2978" s="3">
        <v>140300</v>
      </c>
      <c r="H2978" s="3">
        <v>140300</v>
      </c>
    </row>
    <row r="2979" spans="1:9" x14ac:dyDescent="0.35">
      <c r="A2979" t="str">
        <f t="shared" si="71"/>
        <v>59281</v>
      </c>
      <c r="B2979" t="s">
        <v>36</v>
      </c>
      <c r="C2979" t="s">
        <v>1166</v>
      </c>
      <c r="D2979" s="5" t="str">
        <f>"025"</f>
        <v>025</v>
      </c>
      <c r="E2979" s="5">
        <v>2025</v>
      </c>
      <c r="F2979" s="3">
        <v>1464900</v>
      </c>
      <c r="G2979" s="3">
        <v>981400</v>
      </c>
      <c r="H2979" s="3">
        <v>0</v>
      </c>
    </row>
    <row r="2980" spans="1:9" x14ac:dyDescent="0.35">
      <c r="A2980" t="str">
        <f t="shared" si="71"/>
        <v>59281</v>
      </c>
      <c r="B2980" t="s">
        <v>36</v>
      </c>
      <c r="C2980" t="s">
        <v>1166</v>
      </c>
      <c r="D2980" s="5" t="s">
        <v>11</v>
      </c>
      <c r="E2980" s="5" t="s">
        <v>12</v>
      </c>
      <c r="F2980" s="3" t="s">
        <v>13</v>
      </c>
      <c r="G2980" s="3" t="s">
        <v>13</v>
      </c>
      <c r="H2980" s="3" t="s">
        <v>13</v>
      </c>
      <c r="I2980" s="3">
        <v>5310798100</v>
      </c>
    </row>
    <row r="2981" spans="1:9" x14ac:dyDescent="0.35">
      <c r="A2981" t="str">
        <f>"59282"</f>
        <v>59282</v>
      </c>
      <c r="B2981" t="s">
        <v>36</v>
      </c>
      <c r="C2981" t="s">
        <v>1167</v>
      </c>
      <c r="D2981" s="5" t="str">
        <f>"004"</f>
        <v>004</v>
      </c>
      <c r="E2981" s="5">
        <v>2016</v>
      </c>
      <c r="F2981" s="3">
        <v>2510100</v>
      </c>
      <c r="G2981" s="3">
        <v>47778800</v>
      </c>
      <c r="H2981" s="3">
        <v>45268700</v>
      </c>
    </row>
    <row r="2982" spans="1:9" x14ac:dyDescent="0.35">
      <c r="A2982" t="str">
        <f>"59282"</f>
        <v>59282</v>
      </c>
      <c r="B2982" t="s">
        <v>36</v>
      </c>
      <c r="C2982" t="s">
        <v>1167</v>
      </c>
      <c r="D2982" s="5" t="str">
        <f>"005"</f>
        <v>005</v>
      </c>
      <c r="E2982" s="5">
        <v>2018</v>
      </c>
      <c r="F2982" s="3">
        <v>10526000</v>
      </c>
      <c r="G2982" s="3">
        <v>57253600</v>
      </c>
      <c r="H2982" s="3">
        <v>46727600</v>
      </c>
    </row>
    <row r="2983" spans="1:9" x14ac:dyDescent="0.35">
      <c r="A2983" t="str">
        <f>"59282"</f>
        <v>59282</v>
      </c>
      <c r="B2983" t="s">
        <v>36</v>
      </c>
      <c r="C2983" t="s">
        <v>1167</v>
      </c>
      <c r="D2983" s="5" t="str">
        <f>"006"</f>
        <v>006</v>
      </c>
      <c r="E2983" s="5">
        <v>2019</v>
      </c>
      <c r="F2983" s="3">
        <v>0</v>
      </c>
      <c r="G2983" s="3">
        <v>5129500</v>
      </c>
      <c r="H2983" s="3">
        <v>5129500</v>
      </c>
    </row>
    <row r="2984" spans="1:9" x14ac:dyDescent="0.35">
      <c r="A2984" t="str">
        <f>"59282"</f>
        <v>59282</v>
      </c>
      <c r="B2984" t="s">
        <v>36</v>
      </c>
      <c r="C2984" t="s">
        <v>1167</v>
      </c>
      <c r="D2984" s="5" t="str">
        <f>"007"</f>
        <v>007</v>
      </c>
      <c r="E2984" s="5">
        <v>2019</v>
      </c>
      <c r="F2984" s="3">
        <v>319500</v>
      </c>
      <c r="G2984" s="3">
        <v>13910200</v>
      </c>
      <c r="H2984" s="3">
        <v>13590700</v>
      </c>
    </row>
    <row r="2985" spans="1:9" x14ac:dyDescent="0.35">
      <c r="A2985" t="str">
        <f>"59282"</f>
        <v>59282</v>
      </c>
      <c r="B2985" t="s">
        <v>36</v>
      </c>
      <c r="C2985" t="s">
        <v>1167</v>
      </c>
      <c r="D2985" s="5" t="s">
        <v>11</v>
      </c>
      <c r="E2985" s="5" t="s">
        <v>12</v>
      </c>
      <c r="F2985" s="3" t="s">
        <v>13</v>
      </c>
      <c r="G2985" s="3" t="s">
        <v>13</v>
      </c>
      <c r="H2985" s="3" t="s">
        <v>13</v>
      </c>
      <c r="I2985" s="3">
        <v>1111084900</v>
      </c>
    </row>
    <row r="2986" spans="1:9" x14ac:dyDescent="0.35">
      <c r="A2986" t="s">
        <v>30</v>
      </c>
      <c r="B2986" t="s">
        <v>38</v>
      </c>
      <c r="C2986" t="s">
        <v>32</v>
      </c>
      <c r="D2986" s="5" t="s">
        <v>11</v>
      </c>
      <c r="E2986" s="5" t="s">
        <v>12</v>
      </c>
      <c r="F2986" s="3" t="s">
        <v>13</v>
      </c>
      <c r="G2986" s="3" t="s">
        <v>13</v>
      </c>
      <c r="H2986" s="3" t="s">
        <v>13</v>
      </c>
      <c r="I2986" s="3">
        <v>7732679400</v>
      </c>
    </row>
    <row r="2987" spans="1:9" x14ac:dyDescent="0.35">
      <c r="A2987" t="s">
        <v>30</v>
      </c>
      <c r="B2987" t="s">
        <v>39</v>
      </c>
      <c r="C2987" t="s">
        <v>1166</v>
      </c>
      <c r="D2987" s="5" t="s">
        <v>11</v>
      </c>
      <c r="E2987" s="5" t="s">
        <v>12</v>
      </c>
      <c r="F2987" s="3" t="s">
        <v>13</v>
      </c>
      <c r="G2987" s="3" t="s">
        <v>13</v>
      </c>
      <c r="H2987" s="3" t="s">
        <v>13</v>
      </c>
      <c r="I2987" s="3">
        <v>18173166800</v>
      </c>
    </row>
    <row r="2988" spans="1:9" x14ac:dyDescent="0.35">
      <c r="A2988" t="str">
        <f>"60002"</f>
        <v>60002</v>
      </c>
      <c r="B2988" t="s">
        <v>9</v>
      </c>
      <c r="C2988" t="s">
        <v>447</v>
      </c>
      <c r="D2988" s="5" t="s">
        <v>11</v>
      </c>
      <c r="E2988" s="5" t="s">
        <v>12</v>
      </c>
      <c r="F2988" s="3" t="s">
        <v>13</v>
      </c>
      <c r="G2988" s="3" t="s">
        <v>13</v>
      </c>
      <c r="H2988" s="3" t="s">
        <v>13</v>
      </c>
      <c r="I2988" s="3">
        <v>58979800</v>
      </c>
    </row>
    <row r="2989" spans="1:9" x14ac:dyDescent="0.35">
      <c r="A2989" t="str">
        <f>"60004"</f>
        <v>60004</v>
      </c>
      <c r="B2989" t="s">
        <v>9</v>
      </c>
      <c r="C2989" t="s">
        <v>1178</v>
      </c>
      <c r="D2989" s="5" t="s">
        <v>11</v>
      </c>
      <c r="E2989" s="5" t="s">
        <v>12</v>
      </c>
      <c r="F2989" s="3" t="s">
        <v>13</v>
      </c>
      <c r="G2989" s="3" t="s">
        <v>13</v>
      </c>
      <c r="H2989" s="3" t="s">
        <v>13</v>
      </c>
      <c r="I2989" s="3">
        <v>111773500</v>
      </c>
    </row>
    <row r="2990" spans="1:9" x14ac:dyDescent="0.35">
      <c r="A2990" t="str">
        <f>"60006"</f>
        <v>60006</v>
      </c>
      <c r="B2990" t="s">
        <v>9</v>
      </c>
      <c r="C2990" t="s">
        <v>1179</v>
      </c>
      <c r="D2990" s="5" t="s">
        <v>11</v>
      </c>
      <c r="E2990" s="5" t="s">
        <v>12</v>
      </c>
      <c r="F2990" s="3" t="s">
        <v>13</v>
      </c>
      <c r="G2990" s="3" t="s">
        <v>13</v>
      </c>
      <c r="H2990" s="3" t="s">
        <v>13</v>
      </c>
      <c r="I2990" s="3">
        <v>112332500</v>
      </c>
    </row>
    <row r="2991" spans="1:9" x14ac:dyDescent="0.35">
      <c r="A2991" t="str">
        <f>"60008"</f>
        <v>60008</v>
      </c>
      <c r="B2991" t="s">
        <v>9</v>
      </c>
      <c r="C2991" t="s">
        <v>192</v>
      </c>
      <c r="D2991" s="5" t="s">
        <v>11</v>
      </c>
      <c r="E2991" s="5" t="s">
        <v>12</v>
      </c>
      <c r="F2991" s="3" t="s">
        <v>13</v>
      </c>
      <c r="G2991" s="3" t="s">
        <v>13</v>
      </c>
      <c r="H2991" s="3" t="s">
        <v>13</v>
      </c>
      <c r="I2991" s="3">
        <v>37652600</v>
      </c>
    </row>
    <row r="2992" spans="1:9" x14ac:dyDescent="0.35">
      <c r="A2992" t="str">
        <f>"60010"</f>
        <v>60010</v>
      </c>
      <c r="B2992" t="s">
        <v>9</v>
      </c>
      <c r="C2992" t="s">
        <v>900</v>
      </c>
      <c r="D2992" s="5" t="s">
        <v>11</v>
      </c>
      <c r="E2992" s="5" t="s">
        <v>12</v>
      </c>
      <c r="F2992" s="3" t="s">
        <v>13</v>
      </c>
      <c r="G2992" s="3" t="s">
        <v>13</v>
      </c>
      <c r="H2992" s="3" t="s">
        <v>13</v>
      </c>
      <c r="I2992" s="3">
        <v>90693600</v>
      </c>
    </row>
    <row r="2993" spans="1:9" x14ac:dyDescent="0.35">
      <c r="A2993" t="str">
        <f>"60012"</f>
        <v>60012</v>
      </c>
      <c r="B2993" t="s">
        <v>9</v>
      </c>
      <c r="C2993" t="s">
        <v>1180</v>
      </c>
      <c r="D2993" s="5" t="s">
        <v>11</v>
      </c>
      <c r="E2993" s="5" t="s">
        <v>12</v>
      </c>
      <c r="F2993" s="3" t="s">
        <v>13</v>
      </c>
      <c r="G2993" s="3" t="s">
        <v>13</v>
      </c>
      <c r="H2993" s="3" t="s">
        <v>13</v>
      </c>
      <c r="I2993" s="3">
        <v>41317500</v>
      </c>
    </row>
    <row r="2994" spans="1:9" x14ac:dyDescent="0.35">
      <c r="A2994" t="str">
        <f>"60014"</f>
        <v>60014</v>
      </c>
      <c r="B2994" t="s">
        <v>9</v>
      </c>
      <c r="C2994" t="s">
        <v>1181</v>
      </c>
      <c r="D2994" s="5" t="s">
        <v>11</v>
      </c>
      <c r="E2994" s="5" t="s">
        <v>12</v>
      </c>
      <c r="F2994" s="3" t="s">
        <v>13</v>
      </c>
      <c r="G2994" s="3" t="s">
        <v>13</v>
      </c>
      <c r="H2994" s="3" t="s">
        <v>13</v>
      </c>
      <c r="I2994" s="3">
        <v>73042200</v>
      </c>
    </row>
    <row r="2995" spans="1:9" x14ac:dyDescent="0.35">
      <c r="A2995" t="str">
        <f>"60016"</f>
        <v>60016</v>
      </c>
      <c r="B2995" t="s">
        <v>9</v>
      </c>
      <c r="C2995" t="s">
        <v>248</v>
      </c>
      <c r="D2995" s="5" t="s">
        <v>11</v>
      </c>
      <c r="E2995" s="5" t="s">
        <v>12</v>
      </c>
      <c r="F2995" s="3" t="s">
        <v>13</v>
      </c>
      <c r="G2995" s="3" t="s">
        <v>13</v>
      </c>
      <c r="H2995" s="3" t="s">
        <v>13</v>
      </c>
      <c r="I2995" s="3">
        <v>105364900</v>
      </c>
    </row>
    <row r="2996" spans="1:9" x14ac:dyDescent="0.35">
      <c r="A2996" t="str">
        <f>"60018"</f>
        <v>60018</v>
      </c>
      <c r="B2996" t="s">
        <v>9</v>
      </c>
      <c r="C2996" t="s">
        <v>787</v>
      </c>
      <c r="D2996" s="5" t="s">
        <v>11</v>
      </c>
      <c r="E2996" s="5" t="s">
        <v>12</v>
      </c>
      <c r="F2996" s="3" t="s">
        <v>13</v>
      </c>
      <c r="G2996" s="3" t="s">
        <v>13</v>
      </c>
      <c r="H2996" s="3" t="s">
        <v>13</v>
      </c>
      <c r="I2996" s="3">
        <v>62353800</v>
      </c>
    </row>
    <row r="2997" spans="1:9" x14ac:dyDescent="0.35">
      <c r="A2997" t="str">
        <f>"60020"</f>
        <v>60020</v>
      </c>
      <c r="B2997" t="s">
        <v>9</v>
      </c>
      <c r="C2997" t="s">
        <v>1182</v>
      </c>
      <c r="D2997" s="5" t="s">
        <v>11</v>
      </c>
      <c r="E2997" s="5" t="s">
        <v>12</v>
      </c>
      <c r="F2997" s="3" t="s">
        <v>13</v>
      </c>
      <c r="G2997" s="3" t="s">
        <v>13</v>
      </c>
      <c r="H2997" s="3" t="s">
        <v>13</v>
      </c>
      <c r="I2997" s="3">
        <v>136920700</v>
      </c>
    </row>
    <row r="2998" spans="1:9" x14ac:dyDescent="0.35">
      <c r="A2998" t="str">
        <f>"60022"</f>
        <v>60022</v>
      </c>
      <c r="B2998" t="s">
        <v>9</v>
      </c>
      <c r="C2998" t="s">
        <v>1183</v>
      </c>
      <c r="D2998" s="5" t="s">
        <v>11</v>
      </c>
      <c r="E2998" s="5" t="s">
        <v>12</v>
      </c>
      <c r="F2998" s="3" t="s">
        <v>13</v>
      </c>
      <c r="G2998" s="3" t="s">
        <v>13</v>
      </c>
      <c r="H2998" s="3" t="s">
        <v>13</v>
      </c>
      <c r="I2998" s="3">
        <v>82482600</v>
      </c>
    </row>
    <row r="2999" spans="1:9" x14ac:dyDescent="0.35">
      <c r="A2999" t="str">
        <f>"60024"</f>
        <v>60024</v>
      </c>
      <c r="B2999" t="s">
        <v>9</v>
      </c>
      <c r="C2999" t="s">
        <v>1184</v>
      </c>
      <c r="D2999" s="5" t="s">
        <v>11</v>
      </c>
      <c r="E2999" s="5" t="s">
        <v>12</v>
      </c>
      <c r="F2999" s="3" t="s">
        <v>13</v>
      </c>
      <c r="G2999" s="3" t="s">
        <v>13</v>
      </c>
      <c r="H2999" s="3" t="s">
        <v>13</v>
      </c>
      <c r="I2999" s="3">
        <v>39448400</v>
      </c>
    </row>
    <row r="3000" spans="1:9" x14ac:dyDescent="0.35">
      <c r="A3000" t="str">
        <f>"60026"</f>
        <v>60026</v>
      </c>
      <c r="B3000" t="s">
        <v>9</v>
      </c>
      <c r="C3000" t="s">
        <v>1185</v>
      </c>
      <c r="D3000" s="5" t="s">
        <v>11</v>
      </c>
      <c r="E3000" s="5" t="s">
        <v>12</v>
      </c>
      <c r="F3000" s="3" t="s">
        <v>13</v>
      </c>
      <c r="G3000" s="3" t="s">
        <v>13</v>
      </c>
      <c r="H3000" s="3" t="s">
        <v>13</v>
      </c>
      <c r="I3000" s="3">
        <v>121081200</v>
      </c>
    </row>
    <row r="3001" spans="1:9" x14ac:dyDescent="0.35">
      <c r="A3001" t="str">
        <f>"60028"</f>
        <v>60028</v>
      </c>
      <c r="B3001" t="s">
        <v>9</v>
      </c>
      <c r="C3001" t="s">
        <v>1186</v>
      </c>
      <c r="D3001" s="5" t="s">
        <v>11</v>
      </c>
      <c r="E3001" s="5" t="s">
        <v>12</v>
      </c>
      <c r="F3001" s="3" t="s">
        <v>13</v>
      </c>
      <c r="G3001" s="3" t="s">
        <v>13</v>
      </c>
      <c r="H3001" s="3" t="s">
        <v>13</v>
      </c>
      <c r="I3001" s="3">
        <v>51201100</v>
      </c>
    </row>
    <row r="3002" spans="1:9" x14ac:dyDescent="0.35">
      <c r="A3002" t="str">
        <f>"60030"</f>
        <v>60030</v>
      </c>
      <c r="B3002" t="s">
        <v>9</v>
      </c>
      <c r="C3002" t="s">
        <v>964</v>
      </c>
      <c r="D3002" s="5" t="s">
        <v>11</v>
      </c>
      <c r="E3002" s="5" t="s">
        <v>12</v>
      </c>
      <c r="F3002" s="3" t="s">
        <v>13</v>
      </c>
      <c r="G3002" s="3" t="s">
        <v>13</v>
      </c>
      <c r="H3002" s="3" t="s">
        <v>13</v>
      </c>
      <c r="I3002" s="3">
        <v>57705900</v>
      </c>
    </row>
    <row r="3003" spans="1:9" x14ac:dyDescent="0.35">
      <c r="A3003" t="str">
        <f>"60032"</f>
        <v>60032</v>
      </c>
      <c r="B3003" t="s">
        <v>9</v>
      </c>
      <c r="C3003" t="s">
        <v>1187</v>
      </c>
      <c r="D3003" s="5" t="s">
        <v>11</v>
      </c>
      <c r="E3003" s="5" t="s">
        <v>12</v>
      </c>
      <c r="F3003" s="3" t="s">
        <v>13</v>
      </c>
      <c r="G3003" s="3" t="s">
        <v>13</v>
      </c>
      <c r="H3003" s="3" t="s">
        <v>13</v>
      </c>
      <c r="I3003" s="3">
        <v>319471400</v>
      </c>
    </row>
    <row r="3004" spans="1:9" x14ac:dyDescent="0.35">
      <c r="A3004" t="str">
        <f>"60034"</f>
        <v>60034</v>
      </c>
      <c r="B3004" t="s">
        <v>9</v>
      </c>
      <c r="C3004" t="s">
        <v>1188</v>
      </c>
      <c r="D3004" s="5" t="s">
        <v>11</v>
      </c>
      <c r="E3004" s="5" t="s">
        <v>12</v>
      </c>
      <c r="F3004" s="3" t="s">
        <v>13</v>
      </c>
      <c r="G3004" s="3" t="s">
        <v>13</v>
      </c>
      <c r="H3004" s="3" t="s">
        <v>13</v>
      </c>
      <c r="I3004" s="3">
        <v>73973700</v>
      </c>
    </row>
    <row r="3005" spans="1:9" x14ac:dyDescent="0.35">
      <c r="A3005" t="str">
        <f>"60036"</f>
        <v>60036</v>
      </c>
      <c r="B3005" t="s">
        <v>9</v>
      </c>
      <c r="C3005" t="s">
        <v>1189</v>
      </c>
      <c r="D3005" s="5" t="s">
        <v>11</v>
      </c>
      <c r="E3005" s="5" t="s">
        <v>12</v>
      </c>
      <c r="F3005" s="3" t="s">
        <v>13</v>
      </c>
      <c r="G3005" s="3" t="s">
        <v>13</v>
      </c>
      <c r="H3005" s="3" t="s">
        <v>13</v>
      </c>
      <c r="I3005" s="3">
        <v>32066100</v>
      </c>
    </row>
    <row r="3006" spans="1:9" x14ac:dyDescent="0.35">
      <c r="A3006" t="str">
        <f>"60038"</f>
        <v>60038</v>
      </c>
      <c r="B3006" t="s">
        <v>9</v>
      </c>
      <c r="C3006" t="s">
        <v>1190</v>
      </c>
      <c r="D3006" s="5" t="s">
        <v>11</v>
      </c>
      <c r="E3006" s="5" t="s">
        <v>12</v>
      </c>
      <c r="F3006" s="3" t="s">
        <v>13</v>
      </c>
      <c r="G3006" s="3" t="s">
        <v>13</v>
      </c>
      <c r="H3006" s="3" t="s">
        <v>13</v>
      </c>
      <c r="I3006" s="3">
        <v>147948200</v>
      </c>
    </row>
    <row r="3007" spans="1:9" x14ac:dyDescent="0.35">
      <c r="A3007" t="str">
        <f>"60040"</f>
        <v>60040</v>
      </c>
      <c r="B3007" t="s">
        <v>9</v>
      </c>
      <c r="C3007" t="s">
        <v>158</v>
      </c>
      <c r="D3007" s="5" t="s">
        <v>11</v>
      </c>
      <c r="E3007" s="5" t="s">
        <v>12</v>
      </c>
      <c r="F3007" s="3" t="s">
        <v>13</v>
      </c>
      <c r="G3007" s="3" t="s">
        <v>13</v>
      </c>
      <c r="H3007" s="3" t="s">
        <v>13</v>
      </c>
      <c r="I3007" s="3">
        <v>66485000</v>
      </c>
    </row>
    <row r="3008" spans="1:9" x14ac:dyDescent="0.35">
      <c r="A3008" t="str">
        <f>"60042"</f>
        <v>60042</v>
      </c>
      <c r="B3008" t="s">
        <v>9</v>
      </c>
      <c r="C3008" t="s">
        <v>1191</v>
      </c>
      <c r="D3008" s="5" t="s">
        <v>11</v>
      </c>
      <c r="E3008" s="5" t="s">
        <v>12</v>
      </c>
      <c r="F3008" s="3" t="s">
        <v>13</v>
      </c>
      <c r="G3008" s="3" t="s">
        <v>13</v>
      </c>
      <c r="H3008" s="3" t="s">
        <v>13</v>
      </c>
      <c r="I3008" s="3">
        <v>64488300</v>
      </c>
    </row>
    <row r="3009" spans="1:9" x14ac:dyDescent="0.35">
      <c r="A3009" t="str">
        <f>"60044"</f>
        <v>60044</v>
      </c>
      <c r="B3009" t="s">
        <v>9</v>
      </c>
      <c r="C3009" t="s">
        <v>1192</v>
      </c>
      <c r="D3009" s="5" t="s">
        <v>11</v>
      </c>
      <c r="E3009" s="5" t="s">
        <v>12</v>
      </c>
      <c r="F3009" s="3" t="s">
        <v>13</v>
      </c>
      <c r="G3009" s="3" t="s">
        <v>13</v>
      </c>
      <c r="H3009" s="3" t="s">
        <v>13</v>
      </c>
      <c r="I3009" s="3">
        <v>109547300</v>
      </c>
    </row>
    <row r="3010" spans="1:9" x14ac:dyDescent="0.35">
      <c r="A3010" t="s">
        <v>30</v>
      </c>
      <c r="B3010" t="s">
        <v>31</v>
      </c>
      <c r="C3010" t="s">
        <v>32</v>
      </c>
      <c r="D3010" s="5" t="s">
        <v>11</v>
      </c>
      <c r="E3010" s="5" t="s">
        <v>12</v>
      </c>
      <c r="F3010" s="3" t="s">
        <v>13</v>
      </c>
      <c r="G3010" s="3" t="s">
        <v>13</v>
      </c>
      <c r="H3010" s="3" t="s">
        <v>13</v>
      </c>
      <c r="I3010" s="3">
        <v>1996330300</v>
      </c>
    </row>
    <row r="3011" spans="1:9" x14ac:dyDescent="0.35">
      <c r="A3011" t="str">
        <f>"60131"</f>
        <v>60131</v>
      </c>
      <c r="B3011" t="s">
        <v>33</v>
      </c>
      <c r="C3011" t="s">
        <v>936</v>
      </c>
      <c r="D3011" s="5" t="str">
        <f>"003"</f>
        <v>003</v>
      </c>
      <c r="E3011" s="5">
        <v>2023</v>
      </c>
      <c r="F3011" s="3">
        <v>3128600</v>
      </c>
      <c r="G3011" s="3">
        <v>3071200</v>
      </c>
      <c r="H3011" s="3">
        <v>0</v>
      </c>
    </row>
    <row r="3012" spans="1:9" x14ac:dyDescent="0.35">
      <c r="A3012" t="str">
        <f>"60131"</f>
        <v>60131</v>
      </c>
      <c r="B3012" t="s">
        <v>33</v>
      </c>
      <c r="C3012" t="s">
        <v>936</v>
      </c>
      <c r="D3012" s="5" t="s">
        <v>11</v>
      </c>
      <c r="E3012" s="5" t="s">
        <v>12</v>
      </c>
      <c r="F3012" s="3" t="s">
        <v>13</v>
      </c>
      <c r="G3012" s="3" t="s">
        <v>13</v>
      </c>
      <c r="H3012" s="3" t="s">
        <v>13</v>
      </c>
      <c r="I3012" s="3">
        <v>31995200</v>
      </c>
    </row>
    <row r="3013" spans="1:9" x14ac:dyDescent="0.35">
      <c r="A3013" t="str">
        <f>"60146"</f>
        <v>60146</v>
      </c>
      <c r="B3013" t="s">
        <v>33</v>
      </c>
      <c r="C3013" t="s">
        <v>1193</v>
      </c>
      <c r="D3013" s="5" t="s">
        <v>11</v>
      </c>
      <c r="E3013" s="5" t="s">
        <v>12</v>
      </c>
      <c r="F3013" s="3" t="s">
        <v>13</v>
      </c>
      <c r="G3013" s="3" t="s">
        <v>13</v>
      </c>
      <c r="H3013" s="3" t="s">
        <v>13</v>
      </c>
      <c r="I3013" s="3">
        <v>9304700</v>
      </c>
    </row>
    <row r="3014" spans="1:9" x14ac:dyDescent="0.35">
      <c r="A3014" t="str">
        <f>"60176"</f>
        <v>60176</v>
      </c>
      <c r="B3014" t="s">
        <v>33</v>
      </c>
      <c r="C3014" t="s">
        <v>1190</v>
      </c>
      <c r="D3014" s="5" t="s">
        <v>11</v>
      </c>
      <c r="E3014" s="5" t="s">
        <v>12</v>
      </c>
      <c r="F3014" s="3" t="s">
        <v>13</v>
      </c>
      <c r="G3014" s="3" t="s">
        <v>13</v>
      </c>
      <c r="H3014" s="3" t="s">
        <v>13</v>
      </c>
      <c r="I3014" s="3">
        <v>56879800</v>
      </c>
    </row>
    <row r="3015" spans="1:9" x14ac:dyDescent="0.35">
      <c r="A3015" t="str">
        <f>"60181"</f>
        <v>60181</v>
      </c>
      <c r="B3015" t="s">
        <v>33</v>
      </c>
      <c r="C3015" t="s">
        <v>1194</v>
      </c>
      <c r="D3015" s="5" t="str">
        <f>"001"</f>
        <v>001</v>
      </c>
      <c r="E3015" s="5">
        <v>2013</v>
      </c>
      <c r="F3015" s="3">
        <v>1003000</v>
      </c>
      <c r="G3015" s="3">
        <v>4355600</v>
      </c>
      <c r="H3015" s="3">
        <v>3352600</v>
      </c>
    </row>
    <row r="3016" spans="1:9" x14ac:dyDescent="0.35">
      <c r="A3016" t="str">
        <f>"60181"</f>
        <v>60181</v>
      </c>
      <c r="B3016" t="s">
        <v>33</v>
      </c>
      <c r="C3016" t="s">
        <v>1194</v>
      </c>
      <c r="D3016" s="5" t="s">
        <v>11</v>
      </c>
      <c r="E3016" s="5" t="s">
        <v>12</v>
      </c>
      <c r="F3016" s="3" t="s">
        <v>13</v>
      </c>
      <c r="G3016" s="3" t="s">
        <v>13</v>
      </c>
      <c r="H3016" s="3" t="s">
        <v>13</v>
      </c>
      <c r="I3016" s="3">
        <v>36531000</v>
      </c>
    </row>
    <row r="3017" spans="1:9" x14ac:dyDescent="0.35">
      <c r="A3017" t="s">
        <v>30</v>
      </c>
      <c r="B3017" t="s">
        <v>35</v>
      </c>
      <c r="C3017" t="s">
        <v>32</v>
      </c>
      <c r="D3017" s="5" t="s">
        <v>11</v>
      </c>
      <c r="E3017" s="5" t="s">
        <v>12</v>
      </c>
      <c r="F3017" s="3" t="s">
        <v>13</v>
      </c>
      <c r="G3017" s="3" t="s">
        <v>13</v>
      </c>
      <c r="H3017" s="3" t="s">
        <v>13</v>
      </c>
      <c r="I3017" s="3">
        <v>134710700</v>
      </c>
    </row>
    <row r="3018" spans="1:9" x14ac:dyDescent="0.35">
      <c r="A3018" t="str">
        <f>"60251"</f>
        <v>60251</v>
      </c>
      <c r="B3018" t="s">
        <v>36</v>
      </c>
      <c r="C3018" t="s">
        <v>1187</v>
      </c>
      <c r="D3018" s="5" t="str">
        <f>"007"</f>
        <v>007</v>
      </c>
      <c r="E3018" s="5">
        <v>1997</v>
      </c>
      <c r="F3018" s="3">
        <v>1488900</v>
      </c>
      <c r="G3018" s="3">
        <v>3430900</v>
      </c>
      <c r="H3018" s="3">
        <v>1942000</v>
      </c>
    </row>
    <row r="3019" spans="1:9" x14ac:dyDescent="0.35">
      <c r="A3019" t="str">
        <f>"60251"</f>
        <v>60251</v>
      </c>
      <c r="B3019" t="s">
        <v>36</v>
      </c>
      <c r="C3019" t="s">
        <v>1187</v>
      </c>
      <c r="D3019" s="5" t="str">
        <f>"010"</f>
        <v>010</v>
      </c>
      <c r="E3019" s="5">
        <v>1999</v>
      </c>
      <c r="F3019" s="3">
        <v>240200</v>
      </c>
      <c r="G3019" s="3">
        <v>3875100</v>
      </c>
      <c r="H3019" s="3">
        <v>3634900</v>
      </c>
    </row>
    <row r="3020" spans="1:9" x14ac:dyDescent="0.35">
      <c r="A3020" t="str">
        <f>"60251"</f>
        <v>60251</v>
      </c>
      <c r="B3020" t="s">
        <v>36</v>
      </c>
      <c r="C3020" t="s">
        <v>1187</v>
      </c>
      <c r="D3020" s="5" t="str">
        <f>"013"</f>
        <v>013</v>
      </c>
      <c r="E3020" s="5">
        <v>2005</v>
      </c>
      <c r="F3020" s="3">
        <v>3382000</v>
      </c>
      <c r="G3020" s="3">
        <v>23279700</v>
      </c>
      <c r="H3020" s="3">
        <v>19897700</v>
      </c>
    </row>
    <row r="3021" spans="1:9" x14ac:dyDescent="0.35">
      <c r="A3021" t="str">
        <f>"60251"</f>
        <v>60251</v>
      </c>
      <c r="B3021" t="s">
        <v>36</v>
      </c>
      <c r="C3021" t="s">
        <v>1187</v>
      </c>
      <c r="D3021" s="5" t="str">
        <f>"014"</f>
        <v>014</v>
      </c>
      <c r="E3021" s="5">
        <v>2022</v>
      </c>
      <c r="F3021" s="3">
        <v>16485800</v>
      </c>
      <c r="G3021" s="3">
        <v>29196900</v>
      </c>
      <c r="H3021" s="3">
        <v>12711100</v>
      </c>
    </row>
    <row r="3022" spans="1:9" x14ac:dyDescent="0.35">
      <c r="A3022" t="str">
        <f>"60251"</f>
        <v>60251</v>
      </c>
      <c r="B3022" t="s">
        <v>36</v>
      </c>
      <c r="C3022" t="s">
        <v>1187</v>
      </c>
      <c r="D3022" s="5" t="s">
        <v>11</v>
      </c>
      <c r="E3022" s="5" t="s">
        <v>12</v>
      </c>
      <c r="F3022" s="3" t="s">
        <v>13</v>
      </c>
      <c r="G3022" s="3" t="s">
        <v>13</v>
      </c>
      <c r="H3022" s="3" t="s">
        <v>13</v>
      </c>
      <c r="I3022" s="3">
        <v>462034600</v>
      </c>
    </row>
    <row r="3023" spans="1:9" x14ac:dyDescent="0.35">
      <c r="A3023" t="s">
        <v>30</v>
      </c>
      <c r="B3023" t="s">
        <v>38</v>
      </c>
      <c r="C3023" t="s">
        <v>32</v>
      </c>
      <c r="D3023" s="5" t="s">
        <v>11</v>
      </c>
      <c r="E3023" s="5" t="s">
        <v>12</v>
      </c>
      <c r="F3023" s="3" t="s">
        <v>13</v>
      </c>
      <c r="G3023" s="3" t="s">
        <v>13</v>
      </c>
      <c r="H3023" s="3" t="s">
        <v>13</v>
      </c>
      <c r="I3023" s="3">
        <v>462034600</v>
      </c>
    </row>
    <row r="3024" spans="1:9" x14ac:dyDescent="0.35">
      <c r="A3024" t="s">
        <v>30</v>
      </c>
      <c r="B3024" t="s">
        <v>39</v>
      </c>
      <c r="C3024" t="s">
        <v>600</v>
      </c>
      <c r="D3024" s="5" t="s">
        <v>11</v>
      </c>
      <c r="E3024" s="5" t="s">
        <v>12</v>
      </c>
      <c r="F3024" s="3" t="s">
        <v>13</v>
      </c>
      <c r="G3024" s="3" t="s">
        <v>13</v>
      </c>
      <c r="H3024" s="3" t="s">
        <v>13</v>
      </c>
      <c r="I3024" s="3">
        <v>2593075600</v>
      </c>
    </row>
    <row r="3025" spans="1:9" x14ac:dyDescent="0.35">
      <c r="A3025" t="str">
        <f>"61002"</f>
        <v>61002</v>
      </c>
      <c r="B3025" t="s">
        <v>9</v>
      </c>
      <c r="C3025" t="s">
        <v>300</v>
      </c>
      <c r="D3025" s="5" t="s">
        <v>11</v>
      </c>
      <c r="E3025" s="5" t="s">
        <v>12</v>
      </c>
      <c r="F3025" s="3" t="s">
        <v>13</v>
      </c>
      <c r="G3025" s="3" t="s">
        <v>13</v>
      </c>
      <c r="H3025" s="3" t="s">
        <v>13</v>
      </c>
      <c r="I3025" s="3">
        <v>108420000</v>
      </c>
    </row>
    <row r="3026" spans="1:9" x14ac:dyDescent="0.35">
      <c r="A3026" t="str">
        <f>"61004"</f>
        <v>61004</v>
      </c>
      <c r="B3026" t="s">
        <v>9</v>
      </c>
      <c r="C3026" t="s">
        <v>1195</v>
      </c>
      <c r="D3026" s="5" t="s">
        <v>11</v>
      </c>
      <c r="E3026" s="5" t="s">
        <v>12</v>
      </c>
      <c r="F3026" s="3" t="s">
        <v>13</v>
      </c>
      <c r="G3026" s="3" t="s">
        <v>13</v>
      </c>
      <c r="H3026" s="3" t="s">
        <v>13</v>
      </c>
      <c r="I3026" s="3">
        <v>299183500</v>
      </c>
    </row>
    <row r="3027" spans="1:9" x14ac:dyDescent="0.35">
      <c r="A3027" t="str">
        <f>"61006"</f>
        <v>61006</v>
      </c>
      <c r="B3027" t="s">
        <v>9</v>
      </c>
      <c r="C3027" t="s">
        <v>1196</v>
      </c>
      <c r="D3027" s="5" t="s">
        <v>11</v>
      </c>
      <c r="E3027" s="5" t="s">
        <v>12</v>
      </c>
      <c r="F3027" s="3" t="s">
        <v>13</v>
      </c>
      <c r="G3027" s="3" t="s">
        <v>13</v>
      </c>
      <c r="H3027" s="3" t="s">
        <v>13</v>
      </c>
      <c r="I3027" s="3">
        <v>76707200</v>
      </c>
    </row>
    <row r="3028" spans="1:9" x14ac:dyDescent="0.35">
      <c r="A3028" t="str">
        <f>"61008"</f>
        <v>61008</v>
      </c>
      <c r="B3028" t="s">
        <v>9</v>
      </c>
      <c r="C3028" t="s">
        <v>253</v>
      </c>
      <c r="D3028" s="5" t="s">
        <v>11</v>
      </c>
      <c r="E3028" s="5" t="s">
        <v>12</v>
      </c>
      <c r="F3028" s="3" t="s">
        <v>13</v>
      </c>
      <c r="G3028" s="3" t="s">
        <v>13</v>
      </c>
      <c r="H3028" s="3" t="s">
        <v>13</v>
      </c>
      <c r="I3028" s="3">
        <v>152213000</v>
      </c>
    </row>
    <row r="3029" spans="1:9" x14ac:dyDescent="0.35">
      <c r="A3029" t="str">
        <f>"61010"</f>
        <v>61010</v>
      </c>
      <c r="B3029" t="s">
        <v>9</v>
      </c>
      <c r="C3029" t="s">
        <v>1197</v>
      </c>
      <c r="D3029" s="5" t="s">
        <v>11</v>
      </c>
      <c r="E3029" s="5" t="s">
        <v>12</v>
      </c>
      <c r="F3029" s="3" t="s">
        <v>13</v>
      </c>
      <c r="G3029" s="3" t="s">
        <v>13</v>
      </c>
      <c r="H3029" s="3" t="s">
        <v>13</v>
      </c>
      <c r="I3029" s="3">
        <v>53969400</v>
      </c>
    </row>
    <row r="3030" spans="1:9" x14ac:dyDescent="0.35">
      <c r="A3030" t="str">
        <f>"61012"</f>
        <v>61012</v>
      </c>
      <c r="B3030" t="s">
        <v>9</v>
      </c>
      <c r="C3030" t="s">
        <v>379</v>
      </c>
      <c r="D3030" s="5" t="s">
        <v>11</v>
      </c>
      <c r="E3030" s="5" t="s">
        <v>12</v>
      </c>
      <c r="F3030" s="3" t="s">
        <v>13</v>
      </c>
      <c r="G3030" s="3" t="s">
        <v>13</v>
      </c>
      <c r="H3030" s="3" t="s">
        <v>13</v>
      </c>
      <c r="I3030" s="3">
        <v>62139700</v>
      </c>
    </row>
    <row r="3031" spans="1:9" x14ac:dyDescent="0.35">
      <c r="A3031" t="str">
        <f>"61014"</f>
        <v>61014</v>
      </c>
      <c r="B3031" t="s">
        <v>9</v>
      </c>
      <c r="C3031" t="s">
        <v>1198</v>
      </c>
      <c r="D3031" s="5" t="s">
        <v>11</v>
      </c>
      <c r="E3031" s="5" t="s">
        <v>12</v>
      </c>
      <c r="F3031" s="3" t="s">
        <v>13</v>
      </c>
      <c r="G3031" s="3" t="s">
        <v>13</v>
      </c>
      <c r="H3031" s="3" t="s">
        <v>13</v>
      </c>
      <c r="I3031" s="3">
        <v>255347000</v>
      </c>
    </row>
    <row r="3032" spans="1:9" x14ac:dyDescent="0.35">
      <c r="A3032" t="str">
        <f>"61016"</f>
        <v>61016</v>
      </c>
      <c r="B3032" t="s">
        <v>9</v>
      </c>
      <c r="C3032" t="s">
        <v>1199</v>
      </c>
      <c r="D3032" s="5" t="s">
        <v>11</v>
      </c>
      <c r="E3032" s="5" t="s">
        <v>12</v>
      </c>
      <c r="F3032" s="3" t="s">
        <v>13</v>
      </c>
      <c r="G3032" s="3" t="s">
        <v>13</v>
      </c>
      <c r="H3032" s="3" t="s">
        <v>13</v>
      </c>
      <c r="I3032" s="3">
        <v>323283000</v>
      </c>
    </row>
    <row r="3033" spans="1:9" x14ac:dyDescent="0.35">
      <c r="A3033" t="str">
        <f>"61018"</f>
        <v>61018</v>
      </c>
      <c r="B3033" t="s">
        <v>9</v>
      </c>
      <c r="C3033" t="s">
        <v>1200</v>
      </c>
      <c r="D3033" s="5" t="s">
        <v>11</v>
      </c>
      <c r="E3033" s="5" t="s">
        <v>12</v>
      </c>
      <c r="F3033" s="3" t="s">
        <v>13</v>
      </c>
      <c r="G3033" s="3" t="s">
        <v>13</v>
      </c>
      <c r="H3033" s="3" t="s">
        <v>13</v>
      </c>
      <c r="I3033" s="3">
        <v>174211900</v>
      </c>
    </row>
    <row r="3034" spans="1:9" x14ac:dyDescent="0.35">
      <c r="A3034" t="str">
        <f>"61020"</f>
        <v>61020</v>
      </c>
      <c r="B3034" t="s">
        <v>9</v>
      </c>
      <c r="C3034" t="s">
        <v>20</v>
      </c>
      <c r="D3034" s="5" t="s">
        <v>11</v>
      </c>
      <c r="E3034" s="5" t="s">
        <v>12</v>
      </c>
      <c r="F3034" s="3" t="s">
        <v>13</v>
      </c>
      <c r="G3034" s="3" t="s">
        <v>13</v>
      </c>
      <c r="H3034" s="3" t="s">
        <v>13</v>
      </c>
      <c r="I3034" s="3">
        <v>86694300</v>
      </c>
    </row>
    <row r="3035" spans="1:9" x14ac:dyDescent="0.35">
      <c r="A3035" t="str">
        <f>"61022"</f>
        <v>61022</v>
      </c>
      <c r="B3035" t="s">
        <v>9</v>
      </c>
      <c r="C3035" t="s">
        <v>1201</v>
      </c>
      <c r="D3035" s="5" t="s">
        <v>11</v>
      </c>
      <c r="E3035" s="5" t="s">
        <v>12</v>
      </c>
      <c r="F3035" s="3" t="s">
        <v>13</v>
      </c>
      <c r="G3035" s="3" t="s">
        <v>13</v>
      </c>
      <c r="H3035" s="3" t="s">
        <v>13</v>
      </c>
      <c r="I3035" s="3">
        <v>118546300</v>
      </c>
    </row>
    <row r="3036" spans="1:9" x14ac:dyDescent="0.35">
      <c r="A3036" t="str">
        <f>"61024"</f>
        <v>61024</v>
      </c>
      <c r="B3036" t="s">
        <v>9</v>
      </c>
      <c r="C3036" t="s">
        <v>24</v>
      </c>
      <c r="D3036" s="5" t="s">
        <v>11</v>
      </c>
      <c r="E3036" s="5" t="s">
        <v>12</v>
      </c>
      <c r="F3036" s="3" t="s">
        <v>13</v>
      </c>
      <c r="G3036" s="3" t="s">
        <v>13</v>
      </c>
      <c r="H3036" s="3" t="s">
        <v>13</v>
      </c>
      <c r="I3036" s="3">
        <v>162904100</v>
      </c>
    </row>
    <row r="3037" spans="1:9" x14ac:dyDescent="0.35">
      <c r="A3037" t="str">
        <f>"61026"</f>
        <v>61026</v>
      </c>
      <c r="B3037" t="s">
        <v>9</v>
      </c>
      <c r="C3037" t="s">
        <v>77</v>
      </c>
      <c r="D3037" s="5" t="s">
        <v>11</v>
      </c>
      <c r="E3037" s="5" t="s">
        <v>12</v>
      </c>
      <c r="F3037" s="3" t="s">
        <v>13</v>
      </c>
      <c r="G3037" s="3" t="s">
        <v>13</v>
      </c>
      <c r="H3037" s="3" t="s">
        <v>13</v>
      </c>
      <c r="I3037" s="3">
        <v>135611200</v>
      </c>
    </row>
    <row r="3038" spans="1:9" x14ac:dyDescent="0.35">
      <c r="A3038" t="str">
        <f>"61028"</f>
        <v>61028</v>
      </c>
      <c r="B3038" t="s">
        <v>9</v>
      </c>
      <c r="C3038" t="s">
        <v>1202</v>
      </c>
      <c r="D3038" s="5" t="s">
        <v>11</v>
      </c>
      <c r="E3038" s="5" t="s">
        <v>12</v>
      </c>
      <c r="F3038" s="3" t="s">
        <v>13</v>
      </c>
      <c r="G3038" s="3" t="s">
        <v>13</v>
      </c>
      <c r="H3038" s="3" t="s">
        <v>13</v>
      </c>
      <c r="I3038" s="3">
        <v>371649900</v>
      </c>
    </row>
    <row r="3039" spans="1:9" x14ac:dyDescent="0.35">
      <c r="A3039" t="str">
        <f>"61030"</f>
        <v>61030</v>
      </c>
      <c r="B3039" t="s">
        <v>9</v>
      </c>
      <c r="C3039" t="s">
        <v>238</v>
      </c>
      <c r="D3039" s="5" t="s">
        <v>11</v>
      </c>
      <c r="E3039" s="5" t="s">
        <v>12</v>
      </c>
      <c r="F3039" s="3" t="s">
        <v>13</v>
      </c>
      <c r="G3039" s="3" t="s">
        <v>13</v>
      </c>
      <c r="H3039" s="3" t="s">
        <v>13</v>
      </c>
      <c r="I3039" s="3">
        <v>91829300</v>
      </c>
    </row>
    <row r="3040" spans="1:9" x14ac:dyDescent="0.35">
      <c r="A3040" t="s">
        <v>30</v>
      </c>
      <c r="B3040" t="s">
        <v>31</v>
      </c>
      <c r="C3040" t="s">
        <v>32</v>
      </c>
      <c r="D3040" s="5" t="s">
        <v>11</v>
      </c>
      <c r="E3040" s="5" t="s">
        <v>12</v>
      </c>
      <c r="F3040" s="3" t="s">
        <v>13</v>
      </c>
      <c r="G3040" s="3" t="s">
        <v>13</v>
      </c>
      <c r="H3040" s="3" t="s">
        <v>13</v>
      </c>
      <c r="I3040" s="3">
        <v>2472709800</v>
      </c>
    </row>
    <row r="3041" spans="1:9" x14ac:dyDescent="0.35">
      <c r="A3041" t="str">
        <f>"61121"</f>
        <v>61121</v>
      </c>
      <c r="B3041" t="s">
        <v>33</v>
      </c>
      <c r="C3041" t="s">
        <v>1203</v>
      </c>
      <c r="D3041" s="5" t="s">
        <v>11</v>
      </c>
      <c r="E3041" s="5" t="s">
        <v>12</v>
      </c>
      <c r="F3041" s="3" t="s">
        <v>13</v>
      </c>
      <c r="G3041" s="3" t="s">
        <v>13</v>
      </c>
      <c r="H3041" s="3" t="s">
        <v>13</v>
      </c>
      <c r="I3041" s="3">
        <v>58400600</v>
      </c>
    </row>
    <row r="3042" spans="1:9" x14ac:dyDescent="0.35">
      <c r="A3042" t="str">
        <f>"61122"</f>
        <v>61122</v>
      </c>
      <c r="B3042" t="s">
        <v>33</v>
      </c>
      <c r="C3042" t="s">
        <v>1198</v>
      </c>
      <c r="D3042" s="5" t="s">
        <v>11</v>
      </c>
      <c r="E3042" s="5" t="s">
        <v>12</v>
      </c>
      <c r="F3042" s="3" t="s">
        <v>13</v>
      </c>
      <c r="G3042" s="3" t="s">
        <v>13</v>
      </c>
      <c r="H3042" s="3" t="s">
        <v>13</v>
      </c>
      <c r="I3042" s="3">
        <v>46504000</v>
      </c>
    </row>
    <row r="3043" spans="1:9" x14ac:dyDescent="0.35">
      <c r="A3043" t="str">
        <f>"61173"</f>
        <v>61173</v>
      </c>
      <c r="B3043" t="s">
        <v>33</v>
      </c>
      <c r="C3043" t="s">
        <v>1204</v>
      </c>
      <c r="D3043" s="5" t="s">
        <v>11</v>
      </c>
      <c r="E3043" s="5" t="s">
        <v>12</v>
      </c>
      <c r="F3043" s="3" t="s">
        <v>13</v>
      </c>
      <c r="G3043" s="3" t="s">
        <v>13</v>
      </c>
      <c r="H3043" s="3" t="s">
        <v>13</v>
      </c>
      <c r="I3043" s="3">
        <v>35099000</v>
      </c>
    </row>
    <row r="3044" spans="1:9" x14ac:dyDescent="0.35">
      <c r="A3044" t="str">
        <f>"61181"</f>
        <v>61181</v>
      </c>
      <c r="B3044" t="s">
        <v>33</v>
      </c>
      <c r="C3044" t="s">
        <v>1205</v>
      </c>
      <c r="D3044" s="5" t="str">
        <f>"001"</f>
        <v>001</v>
      </c>
      <c r="E3044" s="5">
        <v>2009</v>
      </c>
      <c r="F3044" s="3">
        <v>5600</v>
      </c>
      <c r="G3044" s="3">
        <v>100</v>
      </c>
      <c r="H3044" s="3">
        <v>0</v>
      </c>
    </row>
    <row r="3045" spans="1:9" x14ac:dyDescent="0.35">
      <c r="A3045" t="str">
        <f>"61181"</f>
        <v>61181</v>
      </c>
      <c r="B3045" t="s">
        <v>33</v>
      </c>
      <c r="C3045" t="s">
        <v>1205</v>
      </c>
      <c r="D3045" s="5" t="s">
        <v>11</v>
      </c>
      <c r="E3045" s="5" t="s">
        <v>12</v>
      </c>
      <c r="F3045" s="3" t="s">
        <v>13</v>
      </c>
      <c r="G3045" s="3" t="s">
        <v>13</v>
      </c>
      <c r="H3045" s="3" t="s">
        <v>13</v>
      </c>
      <c r="I3045" s="3">
        <v>108797200</v>
      </c>
    </row>
    <row r="3046" spans="1:9" x14ac:dyDescent="0.35">
      <c r="A3046" t="str">
        <f>"61186"</f>
        <v>61186</v>
      </c>
      <c r="B3046" t="s">
        <v>33</v>
      </c>
      <c r="C3046" t="s">
        <v>1202</v>
      </c>
      <c r="D3046" s="5" t="str">
        <f>"002"</f>
        <v>002</v>
      </c>
      <c r="E3046" s="5">
        <v>2022</v>
      </c>
      <c r="F3046" s="3">
        <v>9150600</v>
      </c>
      <c r="G3046" s="3">
        <v>13827500</v>
      </c>
      <c r="H3046" s="3">
        <v>4676900</v>
      </c>
    </row>
    <row r="3047" spans="1:9" x14ac:dyDescent="0.35">
      <c r="A3047" t="str">
        <f>"61186"</f>
        <v>61186</v>
      </c>
      <c r="B3047" t="s">
        <v>33</v>
      </c>
      <c r="C3047" t="s">
        <v>1202</v>
      </c>
      <c r="D3047" s="5" t="s">
        <v>11</v>
      </c>
      <c r="E3047" s="5" t="s">
        <v>12</v>
      </c>
      <c r="F3047" s="3" t="s">
        <v>13</v>
      </c>
      <c r="G3047" s="3" t="s">
        <v>13</v>
      </c>
      <c r="H3047" s="3" t="s">
        <v>13</v>
      </c>
      <c r="I3047" s="3">
        <v>237709200</v>
      </c>
    </row>
    <row r="3048" spans="1:9" x14ac:dyDescent="0.35">
      <c r="A3048" t="s">
        <v>30</v>
      </c>
      <c r="B3048" t="s">
        <v>35</v>
      </c>
      <c r="C3048" t="s">
        <v>32</v>
      </c>
      <c r="D3048" s="5" t="s">
        <v>11</v>
      </c>
      <c r="E3048" s="5" t="s">
        <v>12</v>
      </c>
      <c r="F3048" s="3" t="s">
        <v>13</v>
      </c>
      <c r="G3048" s="3" t="s">
        <v>13</v>
      </c>
      <c r="H3048" s="3" t="s">
        <v>13</v>
      </c>
      <c r="I3048" s="3">
        <v>486510000</v>
      </c>
    </row>
    <row r="3049" spans="1:9" x14ac:dyDescent="0.35">
      <c r="A3049" t="str">
        <f>"61201"</f>
        <v>61201</v>
      </c>
      <c r="B3049" t="s">
        <v>36</v>
      </c>
      <c r="C3049" t="s">
        <v>1195</v>
      </c>
      <c r="D3049" s="5" t="str">
        <f>"003"</f>
        <v>003</v>
      </c>
      <c r="E3049" s="5">
        <v>1994</v>
      </c>
      <c r="F3049" s="3">
        <v>180100</v>
      </c>
      <c r="G3049" s="3">
        <v>12121800</v>
      </c>
      <c r="H3049" s="3">
        <v>11941700</v>
      </c>
    </row>
    <row r="3050" spans="1:9" x14ac:dyDescent="0.35">
      <c r="A3050" t="str">
        <f>"61201"</f>
        <v>61201</v>
      </c>
      <c r="B3050" t="s">
        <v>36</v>
      </c>
      <c r="C3050" t="s">
        <v>1195</v>
      </c>
      <c r="D3050" s="5" t="s">
        <v>11</v>
      </c>
      <c r="E3050" s="5" t="s">
        <v>12</v>
      </c>
      <c r="F3050" s="3" t="s">
        <v>13</v>
      </c>
      <c r="G3050" s="3" t="s">
        <v>13</v>
      </c>
      <c r="H3050" s="3" t="s">
        <v>13</v>
      </c>
      <c r="I3050" s="3">
        <v>279170200</v>
      </c>
    </row>
    <row r="3051" spans="1:9" x14ac:dyDescent="0.35">
      <c r="A3051" t="str">
        <f>"61206"</f>
        <v>61206</v>
      </c>
      <c r="B3051" t="s">
        <v>36</v>
      </c>
      <c r="C3051" t="s">
        <v>1206</v>
      </c>
      <c r="D3051" s="5" t="str">
        <f>"004"</f>
        <v>004</v>
      </c>
      <c r="E3051" s="5">
        <v>2007</v>
      </c>
      <c r="F3051" s="3">
        <v>17900</v>
      </c>
      <c r="G3051" s="3">
        <v>5130400</v>
      </c>
      <c r="H3051" s="3">
        <v>5112500</v>
      </c>
    </row>
    <row r="3052" spans="1:9" x14ac:dyDescent="0.35">
      <c r="A3052" t="str">
        <f>"61206"</f>
        <v>61206</v>
      </c>
      <c r="B3052" t="s">
        <v>36</v>
      </c>
      <c r="C3052" t="s">
        <v>1206</v>
      </c>
      <c r="D3052" s="5" t="str">
        <f>"005"</f>
        <v>005</v>
      </c>
      <c r="E3052" s="5">
        <v>2008</v>
      </c>
      <c r="F3052" s="3">
        <v>54100</v>
      </c>
      <c r="G3052" s="3">
        <v>3447200</v>
      </c>
      <c r="H3052" s="3">
        <v>3393100</v>
      </c>
    </row>
    <row r="3053" spans="1:9" x14ac:dyDescent="0.35">
      <c r="A3053" t="str">
        <f>"61206"</f>
        <v>61206</v>
      </c>
      <c r="B3053" t="s">
        <v>36</v>
      </c>
      <c r="C3053" t="s">
        <v>1206</v>
      </c>
      <c r="D3053" s="5" t="str">
        <f>"006"</f>
        <v>006</v>
      </c>
      <c r="E3053" s="5">
        <v>2015</v>
      </c>
      <c r="F3053" s="3">
        <v>5467000</v>
      </c>
      <c r="G3053" s="3">
        <v>10264500</v>
      </c>
      <c r="H3053" s="3">
        <v>4797500</v>
      </c>
    </row>
    <row r="3054" spans="1:9" x14ac:dyDescent="0.35">
      <c r="A3054" t="str">
        <f>"61206"</f>
        <v>61206</v>
      </c>
      <c r="B3054" t="s">
        <v>36</v>
      </c>
      <c r="C3054" t="s">
        <v>1206</v>
      </c>
      <c r="D3054" s="5" t="str">
        <f>"007"</f>
        <v>007</v>
      </c>
      <c r="E3054" s="5">
        <v>2015</v>
      </c>
      <c r="F3054" s="3">
        <v>1664700</v>
      </c>
      <c r="G3054" s="3">
        <v>7270900</v>
      </c>
      <c r="H3054" s="3">
        <v>5606200</v>
      </c>
    </row>
    <row r="3055" spans="1:9" x14ac:dyDescent="0.35">
      <c r="A3055" t="str">
        <f>"61206"</f>
        <v>61206</v>
      </c>
      <c r="B3055" t="s">
        <v>36</v>
      </c>
      <c r="C3055" t="s">
        <v>1206</v>
      </c>
      <c r="D3055" s="5" t="s">
        <v>11</v>
      </c>
      <c r="E3055" s="5" t="s">
        <v>12</v>
      </c>
      <c r="F3055" s="3" t="s">
        <v>13</v>
      </c>
      <c r="G3055" s="3" t="s">
        <v>13</v>
      </c>
      <c r="H3055" s="3" t="s">
        <v>13</v>
      </c>
      <c r="I3055" s="3">
        <v>134322500</v>
      </c>
    </row>
    <row r="3056" spans="1:9" x14ac:dyDescent="0.35">
      <c r="A3056" t="str">
        <f>"61231"</f>
        <v>61231</v>
      </c>
      <c r="B3056" t="s">
        <v>36</v>
      </c>
      <c r="C3056" t="s">
        <v>1207</v>
      </c>
      <c r="D3056" s="5" t="s">
        <v>11</v>
      </c>
      <c r="E3056" s="5" t="s">
        <v>12</v>
      </c>
      <c r="F3056" s="3" t="s">
        <v>13</v>
      </c>
      <c r="G3056" s="3" t="s">
        <v>13</v>
      </c>
      <c r="H3056" s="3" t="s">
        <v>13</v>
      </c>
      <c r="I3056" s="3">
        <v>184430900</v>
      </c>
    </row>
    <row r="3057" spans="1:9" x14ac:dyDescent="0.35">
      <c r="A3057" t="str">
        <f>"61241"</f>
        <v>61241</v>
      </c>
      <c r="B3057" t="s">
        <v>36</v>
      </c>
      <c r="C3057" t="s">
        <v>1208</v>
      </c>
      <c r="D3057" s="5" t="str">
        <f>"002"</f>
        <v>002</v>
      </c>
      <c r="E3057" s="5">
        <v>2006</v>
      </c>
      <c r="F3057" s="3">
        <v>2007200</v>
      </c>
      <c r="G3057" s="3">
        <v>10404100</v>
      </c>
      <c r="H3057" s="3">
        <v>8396900</v>
      </c>
    </row>
    <row r="3058" spans="1:9" x14ac:dyDescent="0.35">
      <c r="A3058" t="str">
        <f>"61241"</f>
        <v>61241</v>
      </c>
      <c r="B3058" t="s">
        <v>36</v>
      </c>
      <c r="C3058" t="s">
        <v>1208</v>
      </c>
      <c r="D3058" s="5" t="str">
        <f>"003"</f>
        <v>003</v>
      </c>
      <c r="E3058" s="5">
        <v>2020</v>
      </c>
      <c r="F3058" s="3">
        <v>3783300</v>
      </c>
      <c r="G3058" s="3">
        <v>11771900</v>
      </c>
      <c r="H3058" s="3">
        <v>7988600</v>
      </c>
    </row>
    <row r="3059" spans="1:9" x14ac:dyDescent="0.35">
      <c r="A3059" t="str">
        <f>"61241"</f>
        <v>61241</v>
      </c>
      <c r="B3059" t="s">
        <v>36</v>
      </c>
      <c r="C3059" t="s">
        <v>1208</v>
      </c>
      <c r="D3059" s="5" t="s">
        <v>11</v>
      </c>
      <c r="E3059" s="5" t="s">
        <v>12</v>
      </c>
      <c r="F3059" s="3" t="s">
        <v>13</v>
      </c>
      <c r="G3059" s="3" t="s">
        <v>13</v>
      </c>
      <c r="H3059" s="3" t="s">
        <v>13</v>
      </c>
      <c r="I3059" s="3">
        <v>110890700</v>
      </c>
    </row>
    <row r="3060" spans="1:9" x14ac:dyDescent="0.35">
      <c r="A3060" t="str">
        <f>"61265"</f>
        <v>61265</v>
      </c>
      <c r="B3060" t="s">
        <v>36</v>
      </c>
      <c r="C3060" t="s">
        <v>1209</v>
      </c>
      <c r="D3060" s="5" t="str">
        <f>"003"</f>
        <v>003</v>
      </c>
      <c r="E3060" s="5">
        <v>2009</v>
      </c>
      <c r="F3060" s="3">
        <v>9620900</v>
      </c>
      <c r="G3060" s="3">
        <v>10113000</v>
      </c>
      <c r="H3060" s="3">
        <v>492100</v>
      </c>
    </row>
    <row r="3061" spans="1:9" x14ac:dyDescent="0.35">
      <c r="A3061" t="str">
        <f>"61265"</f>
        <v>61265</v>
      </c>
      <c r="B3061" t="s">
        <v>36</v>
      </c>
      <c r="C3061" t="s">
        <v>1209</v>
      </c>
      <c r="D3061" s="5" t="str">
        <f>"004"</f>
        <v>004</v>
      </c>
      <c r="E3061" s="5">
        <v>2024</v>
      </c>
      <c r="F3061" s="3">
        <v>24384800</v>
      </c>
      <c r="G3061" s="3">
        <v>27493000</v>
      </c>
      <c r="H3061" s="3">
        <v>3108200</v>
      </c>
    </row>
    <row r="3062" spans="1:9" x14ac:dyDescent="0.35">
      <c r="A3062" t="str">
        <f>"61265"</f>
        <v>61265</v>
      </c>
      <c r="B3062" t="s">
        <v>36</v>
      </c>
      <c r="C3062" t="s">
        <v>1209</v>
      </c>
      <c r="D3062" s="5" t="s">
        <v>11</v>
      </c>
      <c r="E3062" s="5" t="s">
        <v>12</v>
      </c>
      <c r="F3062" s="3" t="s">
        <v>13</v>
      </c>
      <c r="G3062" s="3" t="s">
        <v>13</v>
      </c>
      <c r="H3062" s="3" t="s">
        <v>13</v>
      </c>
      <c r="I3062" s="3">
        <v>250783400</v>
      </c>
    </row>
    <row r="3063" spans="1:9" x14ac:dyDescent="0.35">
      <c r="A3063" t="str">
        <f>"61291"</f>
        <v>61291</v>
      </c>
      <c r="B3063" t="s">
        <v>36</v>
      </c>
      <c r="C3063" t="s">
        <v>1210</v>
      </c>
      <c r="D3063" s="5" t="s">
        <v>11</v>
      </c>
      <c r="E3063" s="5" t="s">
        <v>12</v>
      </c>
      <c r="F3063" s="3" t="s">
        <v>13</v>
      </c>
      <c r="G3063" s="3" t="s">
        <v>13</v>
      </c>
      <c r="H3063" s="3" t="s">
        <v>13</v>
      </c>
      <c r="I3063" s="3">
        <v>140354500</v>
      </c>
    </row>
    <row r="3064" spans="1:9" x14ac:dyDescent="0.35">
      <c r="A3064" t="s">
        <v>30</v>
      </c>
      <c r="B3064" t="s">
        <v>38</v>
      </c>
      <c r="C3064" t="s">
        <v>32</v>
      </c>
      <c r="D3064" s="5" t="s">
        <v>11</v>
      </c>
      <c r="E3064" s="5" t="s">
        <v>12</v>
      </c>
      <c r="F3064" s="3" t="s">
        <v>13</v>
      </c>
      <c r="G3064" s="3" t="s">
        <v>13</v>
      </c>
      <c r="H3064" s="3" t="s">
        <v>13</v>
      </c>
      <c r="I3064" s="3">
        <v>1099952200</v>
      </c>
    </row>
    <row r="3065" spans="1:9" x14ac:dyDescent="0.35">
      <c r="A3065" t="s">
        <v>30</v>
      </c>
      <c r="B3065" t="s">
        <v>39</v>
      </c>
      <c r="C3065" t="s">
        <v>1202</v>
      </c>
      <c r="D3065" s="5" t="s">
        <v>11</v>
      </c>
      <c r="E3065" s="5" t="s">
        <v>12</v>
      </c>
      <c r="F3065" s="3" t="s">
        <v>13</v>
      </c>
      <c r="G3065" s="3" t="s">
        <v>13</v>
      </c>
      <c r="H3065" s="3" t="s">
        <v>13</v>
      </c>
      <c r="I3065" s="3">
        <v>4059172000</v>
      </c>
    </row>
    <row r="3066" spans="1:9" x14ac:dyDescent="0.35">
      <c r="A3066" t="str">
        <f>"62002"</f>
        <v>62002</v>
      </c>
      <c r="B3066" t="s">
        <v>9</v>
      </c>
      <c r="C3066" t="s">
        <v>738</v>
      </c>
      <c r="D3066" s="5" t="s">
        <v>11</v>
      </c>
      <c r="E3066" s="5" t="s">
        <v>12</v>
      </c>
      <c r="F3066" s="3" t="s">
        <v>13</v>
      </c>
      <c r="G3066" s="3" t="s">
        <v>13</v>
      </c>
      <c r="H3066" s="3" t="s">
        <v>13</v>
      </c>
      <c r="I3066" s="3">
        <v>248689200</v>
      </c>
    </row>
    <row r="3067" spans="1:9" x14ac:dyDescent="0.35">
      <c r="A3067" t="str">
        <f>"62004"</f>
        <v>62004</v>
      </c>
      <c r="B3067" t="s">
        <v>9</v>
      </c>
      <c r="C3067" t="s">
        <v>307</v>
      </c>
      <c r="D3067" s="5" t="s">
        <v>11</v>
      </c>
      <c r="E3067" s="5" t="s">
        <v>12</v>
      </c>
      <c r="F3067" s="3" t="s">
        <v>13</v>
      </c>
      <c r="G3067" s="3" t="s">
        <v>13</v>
      </c>
      <c r="H3067" s="3" t="s">
        <v>13</v>
      </c>
      <c r="I3067" s="3">
        <v>167481000</v>
      </c>
    </row>
    <row r="3068" spans="1:9" x14ac:dyDescent="0.35">
      <c r="A3068" t="str">
        <f>"62006"</f>
        <v>62006</v>
      </c>
      <c r="B3068" t="s">
        <v>9</v>
      </c>
      <c r="C3068" t="s">
        <v>61</v>
      </c>
      <c r="D3068" s="5" t="s">
        <v>11</v>
      </c>
      <c r="E3068" s="5" t="s">
        <v>12</v>
      </c>
      <c r="F3068" s="3" t="s">
        <v>13</v>
      </c>
      <c r="G3068" s="3" t="s">
        <v>13</v>
      </c>
      <c r="H3068" s="3" t="s">
        <v>13</v>
      </c>
      <c r="I3068" s="3">
        <v>125935300</v>
      </c>
    </row>
    <row r="3069" spans="1:9" x14ac:dyDescent="0.35">
      <c r="A3069" t="str">
        <f>"62008"</f>
        <v>62008</v>
      </c>
      <c r="B3069" t="s">
        <v>9</v>
      </c>
      <c r="C3069" t="s">
        <v>1211</v>
      </c>
      <c r="D3069" s="5" t="s">
        <v>11</v>
      </c>
      <c r="E3069" s="5" t="s">
        <v>12</v>
      </c>
      <c r="F3069" s="3" t="s">
        <v>13</v>
      </c>
      <c r="G3069" s="3" t="s">
        <v>13</v>
      </c>
      <c r="H3069" s="3" t="s">
        <v>13</v>
      </c>
      <c r="I3069" s="3">
        <v>156031200</v>
      </c>
    </row>
    <row r="3070" spans="1:9" x14ac:dyDescent="0.35">
      <c r="A3070" t="str">
        <f>"62010"</f>
        <v>62010</v>
      </c>
      <c r="B3070" t="s">
        <v>9</v>
      </c>
      <c r="C3070" t="s">
        <v>462</v>
      </c>
      <c r="D3070" s="5" t="s">
        <v>11</v>
      </c>
      <c r="E3070" s="5" t="s">
        <v>12</v>
      </c>
      <c r="F3070" s="3" t="s">
        <v>13</v>
      </c>
      <c r="G3070" s="3" t="s">
        <v>13</v>
      </c>
      <c r="H3070" s="3" t="s">
        <v>13</v>
      </c>
      <c r="I3070" s="3">
        <v>84156200</v>
      </c>
    </row>
    <row r="3071" spans="1:9" x14ac:dyDescent="0.35">
      <c r="A3071" t="str">
        <f>"62012"</f>
        <v>62012</v>
      </c>
      <c r="B3071" t="s">
        <v>9</v>
      </c>
      <c r="C3071" t="s">
        <v>588</v>
      </c>
      <c r="D3071" s="5" t="s">
        <v>11</v>
      </c>
      <c r="E3071" s="5" t="s">
        <v>12</v>
      </c>
      <c r="F3071" s="3" t="s">
        <v>13</v>
      </c>
      <c r="G3071" s="3" t="s">
        <v>13</v>
      </c>
      <c r="H3071" s="3" t="s">
        <v>13</v>
      </c>
      <c r="I3071" s="3">
        <v>181850300</v>
      </c>
    </row>
    <row r="3072" spans="1:9" x14ac:dyDescent="0.35">
      <c r="A3072" t="str">
        <f>"62014"</f>
        <v>62014</v>
      </c>
      <c r="B3072" t="s">
        <v>9</v>
      </c>
      <c r="C3072" t="s">
        <v>1212</v>
      </c>
      <c r="D3072" s="5" t="s">
        <v>11</v>
      </c>
      <c r="E3072" s="5" t="s">
        <v>12</v>
      </c>
      <c r="F3072" s="3" t="s">
        <v>13</v>
      </c>
      <c r="G3072" s="3" t="s">
        <v>13</v>
      </c>
      <c r="H3072" s="3" t="s">
        <v>13</v>
      </c>
      <c r="I3072" s="3">
        <v>127608800</v>
      </c>
    </row>
    <row r="3073" spans="1:9" x14ac:dyDescent="0.35">
      <c r="A3073" t="str">
        <f>"62016"</f>
        <v>62016</v>
      </c>
      <c r="B3073" t="s">
        <v>9</v>
      </c>
      <c r="C3073" t="s">
        <v>248</v>
      </c>
      <c r="D3073" s="5" t="s">
        <v>11</v>
      </c>
      <c r="E3073" s="5" t="s">
        <v>12</v>
      </c>
      <c r="F3073" s="3" t="s">
        <v>13</v>
      </c>
      <c r="G3073" s="3" t="s">
        <v>13</v>
      </c>
      <c r="H3073" s="3" t="s">
        <v>13</v>
      </c>
      <c r="I3073" s="3">
        <v>105626200</v>
      </c>
    </row>
    <row r="3074" spans="1:9" x14ac:dyDescent="0.35">
      <c r="A3074" t="str">
        <f>"62018"</f>
        <v>62018</v>
      </c>
      <c r="B3074" t="s">
        <v>9</v>
      </c>
      <c r="C3074" t="s">
        <v>750</v>
      </c>
      <c r="D3074" s="5" t="s">
        <v>11</v>
      </c>
      <c r="E3074" s="5" t="s">
        <v>12</v>
      </c>
      <c r="F3074" s="3" t="s">
        <v>13</v>
      </c>
      <c r="G3074" s="3" t="s">
        <v>13</v>
      </c>
      <c r="H3074" s="3" t="s">
        <v>13</v>
      </c>
      <c r="I3074" s="3">
        <v>166421300</v>
      </c>
    </row>
    <row r="3075" spans="1:9" x14ac:dyDescent="0.35">
      <c r="A3075" t="str">
        <f>"62020"</f>
        <v>62020</v>
      </c>
      <c r="B3075" t="s">
        <v>9</v>
      </c>
      <c r="C3075" t="s">
        <v>1000</v>
      </c>
      <c r="D3075" s="5" t="s">
        <v>11</v>
      </c>
      <c r="E3075" s="5" t="s">
        <v>12</v>
      </c>
      <c r="F3075" s="3" t="s">
        <v>13</v>
      </c>
      <c r="G3075" s="3" t="s">
        <v>13</v>
      </c>
      <c r="H3075" s="3" t="s">
        <v>13</v>
      </c>
      <c r="I3075" s="3">
        <v>142777100</v>
      </c>
    </row>
    <row r="3076" spans="1:9" x14ac:dyDescent="0.35">
      <c r="A3076" t="str">
        <f>"62022"</f>
        <v>62022</v>
      </c>
      <c r="B3076" t="s">
        <v>9</v>
      </c>
      <c r="C3076" t="s">
        <v>1213</v>
      </c>
      <c r="D3076" s="5" t="s">
        <v>11</v>
      </c>
      <c r="E3076" s="5" t="s">
        <v>12</v>
      </c>
      <c r="F3076" s="3" t="s">
        <v>13</v>
      </c>
      <c r="G3076" s="3" t="s">
        <v>13</v>
      </c>
      <c r="H3076" s="3" t="s">
        <v>13</v>
      </c>
      <c r="I3076" s="3">
        <v>121165500</v>
      </c>
    </row>
    <row r="3077" spans="1:9" x14ac:dyDescent="0.35">
      <c r="A3077" t="str">
        <f>"62024"</f>
        <v>62024</v>
      </c>
      <c r="B3077" t="s">
        <v>9</v>
      </c>
      <c r="C3077" t="s">
        <v>536</v>
      </c>
      <c r="D3077" s="5" t="s">
        <v>11</v>
      </c>
      <c r="E3077" s="5" t="s">
        <v>12</v>
      </c>
      <c r="F3077" s="3" t="s">
        <v>13</v>
      </c>
      <c r="G3077" s="3" t="s">
        <v>13</v>
      </c>
      <c r="H3077" s="3" t="s">
        <v>13</v>
      </c>
      <c r="I3077" s="3">
        <v>205381100</v>
      </c>
    </row>
    <row r="3078" spans="1:9" x14ac:dyDescent="0.35">
      <c r="A3078" t="str">
        <f>"62026"</f>
        <v>62026</v>
      </c>
      <c r="B3078" t="s">
        <v>9</v>
      </c>
      <c r="C3078" t="s">
        <v>1214</v>
      </c>
      <c r="D3078" s="5" t="s">
        <v>11</v>
      </c>
      <c r="E3078" s="5" t="s">
        <v>12</v>
      </c>
      <c r="F3078" s="3" t="s">
        <v>13</v>
      </c>
      <c r="G3078" s="3" t="s">
        <v>13</v>
      </c>
      <c r="H3078" s="3" t="s">
        <v>13</v>
      </c>
      <c r="I3078" s="3">
        <v>130033500</v>
      </c>
    </row>
    <row r="3079" spans="1:9" x14ac:dyDescent="0.35">
      <c r="A3079" t="str">
        <f>"62028"</f>
        <v>62028</v>
      </c>
      <c r="B3079" t="s">
        <v>9</v>
      </c>
      <c r="C3079" t="s">
        <v>503</v>
      </c>
      <c r="D3079" s="5" t="s">
        <v>11</v>
      </c>
      <c r="E3079" s="5" t="s">
        <v>12</v>
      </c>
      <c r="F3079" s="3" t="s">
        <v>13</v>
      </c>
      <c r="G3079" s="3" t="s">
        <v>13</v>
      </c>
      <c r="H3079" s="3" t="s">
        <v>13</v>
      </c>
      <c r="I3079" s="3">
        <v>75028100</v>
      </c>
    </row>
    <row r="3080" spans="1:9" x14ac:dyDescent="0.35">
      <c r="A3080" t="str">
        <f>"62030"</f>
        <v>62030</v>
      </c>
      <c r="B3080" t="s">
        <v>9</v>
      </c>
      <c r="C3080" t="s">
        <v>1215</v>
      </c>
      <c r="D3080" s="5" t="s">
        <v>11</v>
      </c>
      <c r="E3080" s="5" t="s">
        <v>12</v>
      </c>
      <c r="F3080" s="3" t="s">
        <v>13</v>
      </c>
      <c r="G3080" s="3" t="s">
        <v>13</v>
      </c>
      <c r="H3080" s="3" t="s">
        <v>13</v>
      </c>
      <c r="I3080" s="3">
        <v>80171200</v>
      </c>
    </row>
    <row r="3081" spans="1:9" x14ac:dyDescent="0.35">
      <c r="A3081" t="str">
        <f>"62032"</f>
        <v>62032</v>
      </c>
      <c r="B3081" t="s">
        <v>9</v>
      </c>
      <c r="C3081" t="s">
        <v>967</v>
      </c>
      <c r="D3081" s="5" t="s">
        <v>11</v>
      </c>
      <c r="E3081" s="5" t="s">
        <v>12</v>
      </c>
      <c r="F3081" s="3" t="s">
        <v>13</v>
      </c>
      <c r="G3081" s="3" t="s">
        <v>13</v>
      </c>
      <c r="H3081" s="3" t="s">
        <v>13</v>
      </c>
      <c r="I3081" s="3">
        <v>99963800</v>
      </c>
    </row>
    <row r="3082" spans="1:9" x14ac:dyDescent="0.35">
      <c r="A3082" t="str">
        <f>"62034"</f>
        <v>62034</v>
      </c>
      <c r="B3082" t="s">
        <v>9</v>
      </c>
      <c r="C3082" t="s">
        <v>164</v>
      </c>
      <c r="D3082" s="5" t="s">
        <v>11</v>
      </c>
      <c r="E3082" s="5" t="s">
        <v>12</v>
      </c>
      <c r="F3082" s="3" t="s">
        <v>13</v>
      </c>
      <c r="G3082" s="3" t="s">
        <v>13</v>
      </c>
      <c r="H3082" s="3" t="s">
        <v>13</v>
      </c>
      <c r="I3082" s="3">
        <v>89074600</v>
      </c>
    </row>
    <row r="3083" spans="1:9" x14ac:dyDescent="0.35">
      <c r="A3083" t="str">
        <f>"62036"</f>
        <v>62036</v>
      </c>
      <c r="B3083" t="s">
        <v>9</v>
      </c>
      <c r="C3083" t="s">
        <v>1216</v>
      </c>
      <c r="D3083" s="5" t="s">
        <v>11</v>
      </c>
      <c r="E3083" s="5" t="s">
        <v>12</v>
      </c>
      <c r="F3083" s="3" t="s">
        <v>13</v>
      </c>
      <c r="G3083" s="3" t="s">
        <v>13</v>
      </c>
      <c r="H3083" s="3" t="s">
        <v>13</v>
      </c>
      <c r="I3083" s="3">
        <v>317708100</v>
      </c>
    </row>
    <row r="3084" spans="1:9" x14ac:dyDescent="0.35">
      <c r="A3084" t="str">
        <f>"62038"</f>
        <v>62038</v>
      </c>
      <c r="B3084" t="s">
        <v>9</v>
      </c>
      <c r="C3084" t="s">
        <v>168</v>
      </c>
      <c r="D3084" s="5" t="s">
        <v>11</v>
      </c>
      <c r="E3084" s="5" t="s">
        <v>12</v>
      </c>
      <c r="F3084" s="3" t="s">
        <v>13</v>
      </c>
      <c r="G3084" s="3" t="s">
        <v>13</v>
      </c>
      <c r="H3084" s="3" t="s">
        <v>13</v>
      </c>
      <c r="I3084" s="3">
        <v>139209700</v>
      </c>
    </row>
    <row r="3085" spans="1:9" x14ac:dyDescent="0.35">
      <c r="A3085" t="str">
        <f>"62040"</f>
        <v>62040</v>
      </c>
      <c r="B3085" t="s">
        <v>9</v>
      </c>
      <c r="C3085" t="s">
        <v>643</v>
      </c>
      <c r="D3085" s="5" t="s">
        <v>11</v>
      </c>
      <c r="E3085" s="5" t="s">
        <v>12</v>
      </c>
      <c r="F3085" s="3" t="s">
        <v>13</v>
      </c>
      <c r="G3085" s="3" t="s">
        <v>13</v>
      </c>
      <c r="H3085" s="3" t="s">
        <v>13</v>
      </c>
      <c r="I3085" s="3">
        <v>153019100</v>
      </c>
    </row>
    <row r="3086" spans="1:9" x14ac:dyDescent="0.35">
      <c r="A3086" t="str">
        <f>"62042"</f>
        <v>62042</v>
      </c>
      <c r="B3086" t="s">
        <v>9</v>
      </c>
      <c r="C3086" t="s">
        <v>1217</v>
      </c>
      <c r="D3086" s="5" t="s">
        <v>11</v>
      </c>
      <c r="E3086" s="5" t="s">
        <v>12</v>
      </c>
      <c r="F3086" s="3" t="s">
        <v>13</v>
      </c>
      <c r="G3086" s="3" t="s">
        <v>13</v>
      </c>
      <c r="H3086" s="3" t="s">
        <v>13</v>
      </c>
      <c r="I3086" s="3">
        <v>92569500</v>
      </c>
    </row>
    <row r="3087" spans="1:9" x14ac:dyDescent="0.35">
      <c r="A3087" t="s">
        <v>30</v>
      </c>
      <c r="B3087" t="s">
        <v>31</v>
      </c>
      <c r="C3087" t="s">
        <v>32</v>
      </c>
      <c r="D3087" s="5" t="s">
        <v>11</v>
      </c>
      <c r="E3087" s="5" t="s">
        <v>12</v>
      </c>
      <c r="F3087" s="3" t="s">
        <v>13</v>
      </c>
      <c r="G3087" s="3" t="s">
        <v>13</v>
      </c>
      <c r="H3087" s="3" t="s">
        <v>13</v>
      </c>
      <c r="I3087" s="3">
        <v>3009900800</v>
      </c>
    </row>
    <row r="3088" spans="1:9" x14ac:dyDescent="0.35">
      <c r="A3088" t="str">
        <f>"62111"</f>
        <v>62111</v>
      </c>
      <c r="B3088" t="s">
        <v>33</v>
      </c>
      <c r="C3088" t="s">
        <v>1218</v>
      </c>
      <c r="D3088" s="5" t="s">
        <v>11</v>
      </c>
      <c r="E3088" s="5" t="s">
        <v>12</v>
      </c>
      <c r="F3088" s="3" t="s">
        <v>13</v>
      </c>
      <c r="G3088" s="3" t="s">
        <v>13</v>
      </c>
      <c r="H3088" s="3" t="s">
        <v>13</v>
      </c>
      <c r="I3088" s="3">
        <v>29480800</v>
      </c>
    </row>
    <row r="3089" spans="1:9" x14ac:dyDescent="0.35">
      <c r="A3089" t="str">
        <f>"62112"</f>
        <v>62112</v>
      </c>
      <c r="B3089" t="s">
        <v>33</v>
      </c>
      <c r="C3089" t="s">
        <v>1219</v>
      </c>
      <c r="D3089" s="5" t="s">
        <v>11</v>
      </c>
      <c r="E3089" s="5" t="s">
        <v>12</v>
      </c>
      <c r="F3089" s="3" t="s">
        <v>13</v>
      </c>
      <c r="G3089" s="3" t="s">
        <v>13</v>
      </c>
      <c r="H3089" s="3" t="s">
        <v>13</v>
      </c>
      <c r="I3089" s="3">
        <v>92654400</v>
      </c>
    </row>
    <row r="3090" spans="1:9" x14ac:dyDescent="0.35">
      <c r="A3090" t="str">
        <f>"62116"</f>
        <v>62116</v>
      </c>
      <c r="B3090" t="s">
        <v>33</v>
      </c>
      <c r="C3090" t="s">
        <v>292</v>
      </c>
      <c r="D3090" s="5" t="str">
        <f>"002"</f>
        <v>002</v>
      </c>
      <c r="E3090" s="5">
        <v>2025</v>
      </c>
      <c r="F3090" s="3">
        <v>2424300</v>
      </c>
      <c r="G3090" s="3">
        <v>2647000</v>
      </c>
      <c r="H3090" s="3">
        <v>222700</v>
      </c>
    </row>
    <row r="3091" spans="1:9" x14ac:dyDescent="0.35">
      <c r="A3091" t="str">
        <f>"62116"</f>
        <v>62116</v>
      </c>
      <c r="B3091" t="s">
        <v>33</v>
      </c>
      <c r="C3091" t="s">
        <v>292</v>
      </c>
      <c r="D3091" s="5" t="s">
        <v>11</v>
      </c>
      <c r="E3091" s="5" t="s">
        <v>12</v>
      </c>
      <c r="F3091" s="3" t="s">
        <v>13</v>
      </c>
      <c r="G3091" s="3" t="s">
        <v>13</v>
      </c>
      <c r="H3091" s="3" t="s">
        <v>13</v>
      </c>
      <c r="I3091" s="3">
        <v>32417700</v>
      </c>
    </row>
    <row r="3092" spans="1:9" x14ac:dyDescent="0.35">
      <c r="A3092" t="str">
        <f>"62131"</f>
        <v>62131</v>
      </c>
      <c r="B3092" t="s">
        <v>33</v>
      </c>
      <c r="C3092" t="s">
        <v>1212</v>
      </c>
      <c r="D3092" s="5" t="s">
        <v>11</v>
      </c>
      <c r="E3092" s="5" t="s">
        <v>12</v>
      </c>
      <c r="F3092" s="3" t="s">
        <v>13</v>
      </c>
      <c r="G3092" s="3" t="s">
        <v>13</v>
      </c>
      <c r="H3092" s="3" t="s">
        <v>13</v>
      </c>
      <c r="I3092" s="3">
        <v>25972200</v>
      </c>
    </row>
    <row r="3093" spans="1:9" x14ac:dyDescent="0.35">
      <c r="A3093" t="str">
        <f>"62146"</f>
        <v>62146</v>
      </c>
      <c r="B3093" t="s">
        <v>33</v>
      </c>
      <c r="C3093" t="s">
        <v>1220</v>
      </c>
      <c r="D3093" s="5" t="s">
        <v>11</v>
      </c>
      <c r="E3093" s="5" t="s">
        <v>12</v>
      </c>
      <c r="F3093" s="3" t="s">
        <v>13</v>
      </c>
      <c r="G3093" s="3" t="s">
        <v>13</v>
      </c>
      <c r="H3093" s="3" t="s">
        <v>13</v>
      </c>
      <c r="I3093" s="3">
        <v>68428800</v>
      </c>
    </row>
    <row r="3094" spans="1:9" x14ac:dyDescent="0.35">
      <c r="A3094" t="str">
        <f>"62165"</f>
        <v>62165</v>
      </c>
      <c r="B3094" t="s">
        <v>33</v>
      </c>
      <c r="C3094" t="s">
        <v>846</v>
      </c>
      <c r="D3094" s="5" t="str">
        <f>"002"</f>
        <v>002</v>
      </c>
      <c r="E3094" s="5">
        <v>2020</v>
      </c>
      <c r="F3094" s="3">
        <v>668000</v>
      </c>
      <c r="G3094" s="3">
        <v>5151200</v>
      </c>
      <c r="H3094" s="3">
        <v>4483200</v>
      </c>
    </row>
    <row r="3095" spans="1:9" x14ac:dyDescent="0.35">
      <c r="A3095" t="str">
        <f>"62165"</f>
        <v>62165</v>
      </c>
      <c r="B3095" t="s">
        <v>33</v>
      </c>
      <c r="C3095" t="s">
        <v>846</v>
      </c>
      <c r="D3095" s="5" t="s">
        <v>11</v>
      </c>
      <c r="E3095" s="5" t="s">
        <v>12</v>
      </c>
      <c r="F3095" s="3" t="s">
        <v>13</v>
      </c>
      <c r="G3095" s="3" t="s">
        <v>13</v>
      </c>
      <c r="H3095" s="3" t="s">
        <v>13</v>
      </c>
      <c r="I3095" s="3">
        <v>35764800</v>
      </c>
    </row>
    <row r="3096" spans="1:9" x14ac:dyDescent="0.35">
      <c r="A3096" t="str">
        <f>"62176"</f>
        <v>62176</v>
      </c>
      <c r="B3096" t="s">
        <v>33</v>
      </c>
      <c r="C3096" t="s">
        <v>1221</v>
      </c>
      <c r="D3096" s="5" t="s">
        <v>11</v>
      </c>
      <c r="E3096" s="5" t="s">
        <v>12</v>
      </c>
      <c r="F3096" s="3" t="s">
        <v>13</v>
      </c>
      <c r="G3096" s="3" t="s">
        <v>13</v>
      </c>
      <c r="H3096" s="3" t="s">
        <v>13</v>
      </c>
      <c r="I3096" s="3">
        <v>33543600</v>
      </c>
    </row>
    <row r="3097" spans="1:9" x14ac:dyDescent="0.35">
      <c r="A3097" t="str">
        <f>"62181"</f>
        <v>62181</v>
      </c>
      <c r="B3097" t="s">
        <v>33</v>
      </c>
      <c r="C3097" t="s">
        <v>1222</v>
      </c>
      <c r="D3097" s="5" t="s">
        <v>11</v>
      </c>
      <c r="E3097" s="5" t="s">
        <v>12</v>
      </c>
      <c r="F3097" s="3" t="s">
        <v>13</v>
      </c>
      <c r="G3097" s="3" t="s">
        <v>13</v>
      </c>
      <c r="H3097" s="3" t="s">
        <v>13</v>
      </c>
      <c r="I3097" s="3">
        <v>107684800</v>
      </c>
    </row>
    <row r="3098" spans="1:9" x14ac:dyDescent="0.35">
      <c r="A3098" t="str">
        <f>"62186"</f>
        <v>62186</v>
      </c>
      <c r="B3098" t="s">
        <v>33</v>
      </c>
      <c r="C3098" t="s">
        <v>1037</v>
      </c>
      <c r="D3098" s="5" t="str">
        <f>"004"</f>
        <v>004</v>
      </c>
      <c r="E3098" s="5">
        <v>2007</v>
      </c>
      <c r="F3098" s="3">
        <v>319500</v>
      </c>
      <c r="G3098" s="3">
        <v>7064400</v>
      </c>
      <c r="H3098" s="3">
        <v>6744900</v>
      </c>
    </row>
    <row r="3099" spans="1:9" x14ac:dyDescent="0.35">
      <c r="A3099" t="str">
        <f>"62186"</f>
        <v>62186</v>
      </c>
      <c r="B3099" t="s">
        <v>33</v>
      </c>
      <c r="C3099" t="s">
        <v>1037</v>
      </c>
      <c r="D3099" s="5" t="str">
        <f>"005"</f>
        <v>005</v>
      </c>
      <c r="E3099" s="5">
        <v>2019</v>
      </c>
      <c r="F3099" s="3">
        <v>1059900</v>
      </c>
      <c r="G3099" s="3">
        <v>9137600</v>
      </c>
      <c r="H3099" s="3">
        <v>8077700</v>
      </c>
    </row>
    <row r="3100" spans="1:9" x14ac:dyDescent="0.35">
      <c r="A3100" t="str">
        <f>"62186"</f>
        <v>62186</v>
      </c>
      <c r="B3100" t="s">
        <v>33</v>
      </c>
      <c r="C3100" t="s">
        <v>1037</v>
      </c>
      <c r="D3100" s="5" t="s">
        <v>11</v>
      </c>
      <c r="E3100" s="5" t="s">
        <v>12</v>
      </c>
      <c r="F3100" s="3" t="s">
        <v>13</v>
      </c>
      <c r="G3100" s="3" t="s">
        <v>13</v>
      </c>
      <c r="H3100" s="3" t="s">
        <v>13</v>
      </c>
      <c r="I3100" s="3">
        <v>9313800</v>
      </c>
    </row>
    <row r="3101" spans="1:9" x14ac:dyDescent="0.35">
      <c r="A3101" t="s">
        <v>30</v>
      </c>
      <c r="B3101" t="s">
        <v>35</v>
      </c>
      <c r="C3101" t="s">
        <v>32</v>
      </c>
      <c r="D3101" s="5" t="s">
        <v>11</v>
      </c>
      <c r="E3101" s="5" t="s">
        <v>12</v>
      </c>
      <c r="F3101" s="3" t="s">
        <v>13</v>
      </c>
      <c r="G3101" s="3" t="s">
        <v>13</v>
      </c>
      <c r="H3101" s="3" t="s">
        <v>13</v>
      </c>
      <c r="I3101" s="3">
        <v>435260900</v>
      </c>
    </row>
    <row r="3102" spans="1:9" x14ac:dyDescent="0.35">
      <c r="A3102" t="str">
        <f>"62236"</f>
        <v>62236</v>
      </c>
      <c r="B3102" t="s">
        <v>36</v>
      </c>
      <c r="C3102" t="s">
        <v>1213</v>
      </c>
      <c r="D3102" s="5" t="str">
        <f>"004"</f>
        <v>004</v>
      </c>
      <c r="E3102" s="5">
        <v>1998</v>
      </c>
      <c r="F3102" s="3">
        <v>973700</v>
      </c>
      <c r="G3102" s="3">
        <v>6183700</v>
      </c>
      <c r="H3102" s="3">
        <v>5210000</v>
      </c>
    </row>
    <row r="3103" spans="1:9" x14ac:dyDescent="0.35">
      <c r="A3103" t="str">
        <f>"62236"</f>
        <v>62236</v>
      </c>
      <c r="B3103" t="s">
        <v>36</v>
      </c>
      <c r="C3103" t="s">
        <v>1213</v>
      </c>
      <c r="D3103" s="5" t="str">
        <f>"005"</f>
        <v>005</v>
      </c>
      <c r="E3103" s="5">
        <v>2024</v>
      </c>
      <c r="F3103" s="3">
        <v>2420800</v>
      </c>
      <c r="G3103" s="3">
        <v>3415000</v>
      </c>
      <c r="H3103" s="3">
        <v>994200</v>
      </c>
    </row>
    <row r="3104" spans="1:9" x14ac:dyDescent="0.35">
      <c r="A3104" t="str">
        <f>"62236"</f>
        <v>62236</v>
      </c>
      <c r="B3104" t="s">
        <v>36</v>
      </c>
      <c r="C3104" t="s">
        <v>1213</v>
      </c>
      <c r="D3104" s="5" t="s">
        <v>11</v>
      </c>
      <c r="E3104" s="5" t="s">
        <v>12</v>
      </c>
      <c r="F3104" s="3" t="s">
        <v>13</v>
      </c>
      <c r="G3104" s="3" t="s">
        <v>13</v>
      </c>
      <c r="H3104" s="3" t="s">
        <v>13</v>
      </c>
      <c r="I3104" s="3">
        <v>124547900</v>
      </c>
    </row>
    <row r="3105" spans="1:9" x14ac:dyDescent="0.35">
      <c r="A3105" t="str">
        <f>"62286"</f>
        <v>62286</v>
      </c>
      <c r="B3105" t="s">
        <v>36</v>
      </c>
      <c r="C3105" t="s">
        <v>1216</v>
      </c>
      <c r="D3105" s="5" t="str">
        <f>"004"</f>
        <v>004</v>
      </c>
      <c r="E3105" s="5">
        <v>1999</v>
      </c>
      <c r="F3105" s="3">
        <v>288800</v>
      </c>
      <c r="G3105" s="3">
        <v>5706600</v>
      </c>
      <c r="H3105" s="3">
        <v>5417800</v>
      </c>
    </row>
    <row r="3106" spans="1:9" x14ac:dyDescent="0.35">
      <c r="A3106" t="str">
        <f>"62286"</f>
        <v>62286</v>
      </c>
      <c r="B3106" t="s">
        <v>36</v>
      </c>
      <c r="C3106" t="s">
        <v>1216</v>
      </c>
      <c r="D3106" s="5" t="str">
        <f>"005"</f>
        <v>005</v>
      </c>
      <c r="E3106" s="5">
        <v>2006</v>
      </c>
      <c r="F3106" s="3">
        <v>279600</v>
      </c>
      <c r="G3106" s="3">
        <v>3146700</v>
      </c>
      <c r="H3106" s="3">
        <v>2867100</v>
      </c>
    </row>
    <row r="3107" spans="1:9" x14ac:dyDescent="0.35">
      <c r="A3107" t="str">
        <f>"62286"</f>
        <v>62286</v>
      </c>
      <c r="B3107" t="s">
        <v>36</v>
      </c>
      <c r="C3107" t="s">
        <v>1216</v>
      </c>
      <c r="D3107" s="5" t="str">
        <f>"006"</f>
        <v>006</v>
      </c>
      <c r="E3107" s="5">
        <v>2015</v>
      </c>
      <c r="F3107" s="3">
        <v>11722200</v>
      </c>
      <c r="G3107" s="3">
        <v>32154900</v>
      </c>
      <c r="H3107" s="3">
        <v>20432700</v>
      </c>
    </row>
    <row r="3108" spans="1:9" x14ac:dyDescent="0.35">
      <c r="A3108" t="str">
        <f>"62286"</f>
        <v>62286</v>
      </c>
      <c r="B3108" t="s">
        <v>36</v>
      </c>
      <c r="C3108" t="s">
        <v>1216</v>
      </c>
      <c r="D3108" s="5" t="str">
        <f>"007"</f>
        <v>007</v>
      </c>
      <c r="E3108" s="5">
        <v>2019</v>
      </c>
      <c r="F3108" s="3">
        <v>9170900</v>
      </c>
      <c r="G3108" s="3">
        <v>32839400</v>
      </c>
      <c r="H3108" s="3">
        <v>23668500</v>
      </c>
    </row>
    <row r="3109" spans="1:9" x14ac:dyDescent="0.35">
      <c r="A3109" t="str">
        <f>"62286"</f>
        <v>62286</v>
      </c>
      <c r="B3109" t="s">
        <v>36</v>
      </c>
      <c r="C3109" t="s">
        <v>1216</v>
      </c>
      <c r="D3109" s="5" t="s">
        <v>11</v>
      </c>
      <c r="E3109" s="5" t="s">
        <v>12</v>
      </c>
      <c r="F3109" s="3" t="s">
        <v>13</v>
      </c>
      <c r="G3109" s="3" t="s">
        <v>13</v>
      </c>
      <c r="H3109" s="3" t="s">
        <v>13</v>
      </c>
      <c r="I3109" s="3">
        <v>487977400</v>
      </c>
    </row>
    <row r="3110" spans="1:9" x14ac:dyDescent="0.35">
      <c r="A3110" t="str">
        <f>"62291"</f>
        <v>62291</v>
      </c>
      <c r="B3110" t="s">
        <v>36</v>
      </c>
      <c r="C3110" t="s">
        <v>1223</v>
      </c>
      <c r="D3110" s="5" t="str">
        <f>"002"</f>
        <v>002</v>
      </c>
      <c r="E3110" s="5">
        <v>2007</v>
      </c>
      <c r="F3110" s="3">
        <v>6023900</v>
      </c>
      <c r="G3110" s="3">
        <v>35108600</v>
      </c>
      <c r="H3110" s="3">
        <v>29084700</v>
      </c>
    </row>
    <row r="3111" spans="1:9" x14ac:dyDescent="0.35">
      <c r="A3111" t="str">
        <f>"62291"</f>
        <v>62291</v>
      </c>
      <c r="B3111" t="s">
        <v>36</v>
      </c>
      <c r="C3111" t="s">
        <v>1223</v>
      </c>
      <c r="D3111" s="5" t="str">
        <f>"003"</f>
        <v>003</v>
      </c>
      <c r="E3111" s="5">
        <v>2008</v>
      </c>
      <c r="F3111" s="3">
        <v>6533200</v>
      </c>
      <c r="G3111" s="3">
        <v>27665300</v>
      </c>
      <c r="H3111" s="3">
        <v>21132100</v>
      </c>
    </row>
    <row r="3112" spans="1:9" x14ac:dyDescent="0.35">
      <c r="A3112" t="str">
        <f>"62291"</f>
        <v>62291</v>
      </c>
      <c r="B3112" t="s">
        <v>36</v>
      </c>
      <c r="C3112" t="s">
        <v>1223</v>
      </c>
      <c r="D3112" s="5" t="s">
        <v>11</v>
      </c>
      <c r="E3112" s="5" t="s">
        <v>12</v>
      </c>
      <c r="F3112" s="3" t="s">
        <v>13</v>
      </c>
      <c r="G3112" s="3" t="s">
        <v>13</v>
      </c>
      <c r="H3112" s="3" t="s">
        <v>13</v>
      </c>
      <c r="I3112" s="3">
        <v>200795900</v>
      </c>
    </row>
    <row r="3113" spans="1:9" x14ac:dyDescent="0.35">
      <c r="A3113" t="s">
        <v>30</v>
      </c>
      <c r="B3113" t="s">
        <v>38</v>
      </c>
      <c r="C3113" t="s">
        <v>32</v>
      </c>
      <c r="D3113" s="5" t="s">
        <v>11</v>
      </c>
      <c r="E3113" s="5" t="s">
        <v>12</v>
      </c>
      <c r="F3113" s="3" t="s">
        <v>13</v>
      </c>
      <c r="G3113" s="3" t="s">
        <v>13</v>
      </c>
      <c r="H3113" s="3" t="s">
        <v>13</v>
      </c>
      <c r="I3113" s="3">
        <v>813321200</v>
      </c>
    </row>
    <row r="3114" spans="1:9" x14ac:dyDescent="0.35">
      <c r="A3114" t="s">
        <v>30</v>
      </c>
      <c r="B3114" t="s">
        <v>39</v>
      </c>
      <c r="C3114" t="s">
        <v>1224</v>
      </c>
      <c r="D3114" s="5" t="s">
        <v>11</v>
      </c>
      <c r="E3114" s="5" t="s">
        <v>12</v>
      </c>
      <c r="F3114" s="3" t="s">
        <v>13</v>
      </c>
      <c r="G3114" s="3" t="s">
        <v>13</v>
      </c>
      <c r="H3114" s="3" t="s">
        <v>13</v>
      </c>
      <c r="I3114" s="3">
        <v>4258482900</v>
      </c>
    </row>
    <row r="3115" spans="1:9" x14ac:dyDescent="0.35">
      <c r="A3115" t="str">
        <f>"63002"</f>
        <v>63002</v>
      </c>
      <c r="B3115" t="s">
        <v>9</v>
      </c>
      <c r="C3115" t="s">
        <v>1225</v>
      </c>
      <c r="D3115" s="5" t="s">
        <v>11</v>
      </c>
      <c r="E3115" s="5" t="s">
        <v>12</v>
      </c>
      <c r="F3115" s="3" t="s">
        <v>13</v>
      </c>
      <c r="G3115" s="3" t="s">
        <v>13</v>
      </c>
      <c r="H3115" s="3" t="s">
        <v>13</v>
      </c>
      <c r="I3115" s="3">
        <v>1090232200</v>
      </c>
    </row>
    <row r="3116" spans="1:9" x14ac:dyDescent="0.35">
      <c r="A3116" t="str">
        <f>"63004"</f>
        <v>63004</v>
      </c>
      <c r="B3116" t="s">
        <v>9</v>
      </c>
      <c r="C3116" t="s">
        <v>1226</v>
      </c>
      <c r="D3116" s="5" t="s">
        <v>11</v>
      </c>
      <c r="E3116" s="5" t="s">
        <v>12</v>
      </c>
      <c r="F3116" s="3" t="s">
        <v>13</v>
      </c>
      <c r="G3116" s="3" t="s">
        <v>13</v>
      </c>
      <c r="H3116" s="3" t="s">
        <v>13</v>
      </c>
      <c r="I3116" s="3">
        <v>926883600</v>
      </c>
    </row>
    <row r="3117" spans="1:9" x14ac:dyDescent="0.35">
      <c r="A3117" t="str">
        <f>"63006"</f>
        <v>63006</v>
      </c>
      <c r="B3117" t="s">
        <v>9</v>
      </c>
      <c r="C3117" t="s">
        <v>399</v>
      </c>
      <c r="D3117" s="5" t="s">
        <v>11</v>
      </c>
      <c r="E3117" s="5" t="s">
        <v>12</v>
      </c>
      <c r="F3117" s="3" t="s">
        <v>13</v>
      </c>
      <c r="G3117" s="3" t="s">
        <v>13</v>
      </c>
      <c r="H3117" s="3" t="s">
        <v>13</v>
      </c>
      <c r="I3117" s="3">
        <v>560975700</v>
      </c>
    </row>
    <row r="3118" spans="1:9" x14ac:dyDescent="0.35">
      <c r="A3118" t="str">
        <f>"63008"</f>
        <v>63008</v>
      </c>
      <c r="B3118" t="s">
        <v>9</v>
      </c>
      <c r="C3118" t="s">
        <v>1227</v>
      </c>
      <c r="D3118" s="5" t="s">
        <v>11</v>
      </c>
      <c r="E3118" s="5" t="s">
        <v>12</v>
      </c>
      <c r="F3118" s="3" t="s">
        <v>13</v>
      </c>
      <c r="G3118" s="3" t="s">
        <v>13</v>
      </c>
      <c r="H3118" s="3" t="s">
        <v>13</v>
      </c>
      <c r="I3118" s="3">
        <v>719260200</v>
      </c>
    </row>
    <row r="3119" spans="1:9" x14ac:dyDescent="0.35">
      <c r="A3119" t="str">
        <f>"63010"</f>
        <v>63010</v>
      </c>
      <c r="B3119" t="s">
        <v>9</v>
      </c>
      <c r="C3119" t="s">
        <v>1228</v>
      </c>
      <c r="D3119" s="5" t="s">
        <v>11</v>
      </c>
      <c r="E3119" s="5" t="s">
        <v>12</v>
      </c>
      <c r="F3119" s="3" t="s">
        <v>13</v>
      </c>
      <c r="G3119" s="3" t="s">
        <v>13</v>
      </c>
      <c r="H3119" s="3" t="s">
        <v>13</v>
      </c>
      <c r="I3119" s="3">
        <v>1788906800</v>
      </c>
    </row>
    <row r="3120" spans="1:9" x14ac:dyDescent="0.35">
      <c r="A3120" t="str">
        <f>"63012"</f>
        <v>63012</v>
      </c>
      <c r="B3120" t="s">
        <v>9</v>
      </c>
      <c r="C3120" t="s">
        <v>1229</v>
      </c>
      <c r="D3120" s="5" t="s">
        <v>11</v>
      </c>
      <c r="E3120" s="5" t="s">
        <v>12</v>
      </c>
      <c r="F3120" s="3" t="s">
        <v>13</v>
      </c>
      <c r="G3120" s="3" t="s">
        <v>13</v>
      </c>
      <c r="H3120" s="3" t="s">
        <v>13</v>
      </c>
      <c r="I3120" s="3">
        <v>748432600</v>
      </c>
    </row>
    <row r="3121" spans="1:9" x14ac:dyDescent="0.35">
      <c r="A3121" t="str">
        <f>"63014"</f>
        <v>63014</v>
      </c>
      <c r="B3121" t="s">
        <v>9</v>
      </c>
      <c r="C3121" t="s">
        <v>20</v>
      </c>
      <c r="D3121" s="5" t="s">
        <v>11</v>
      </c>
      <c r="E3121" s="5" t="s">
        <v>12</v>
      </c>
      <c r="F3121" s="3" t="s">
        <v>13</v>
      </c>
      <c r="G3121" s="3" t="s">
        <v>13</v>
      </c>
      <c r="H3121" s="3" t="s">
        <v>13</v>
      </c>
      <c r="I3121" s="3">
        <v>1245331700</v>
      </c>
    </row>
    <row r="3122" spans="1:9" x14ac:dyDescent="0.35">
      <c r="A3122" t="str">
        <f>"63016"</f>
        <v>63016</v>
      </c>
      <c r="B3122" t="s">
        <v>9</v>
      </c>
      <c r="C3122" t="s">
        <v>1230</v>
      </c>
      <c r="D3122" s="5" t="s">
        <v>11</v>
      </c>
      <c r="E3122" s="5" t="s">
        <v>12</v>
      </c>
      <c r="F3122" s="3" t="s">
        <v>13</v>
      </c>
      <c r="G3122" s="3" t="s">
        <v>13</v>
      </c>
      <c r="H3122" s="3" t="s">
        <v>13</v>
      </c>
      <c r="I3122" s="3">
        <v>1247251000</v>
      </c>
    </row>
    <row r="3123" spans="1:9" x14ac:dyDescent="0.35">
      <c r="A3123" t="str">
        <f>"63018"</f>
        <v>63018</v>
      </c>
      <c r="B3123" t="s">
        <v>9</v>
      </c>
      <c r="C3123" t="s">
        <v>1231</v>
      </c>
      <c r="D3123" s="5" t="s">
        <v>11</v>
      </c>
      <c r="E3123" s="5" t="s">
        <v>12</v>
      </c>
      <c r="F3123" s="3" t="s">
        <v>13</v>
      </c>
      <c r="G3123" s="3" t="s">
        <v>13</v>
      </c>
      <c r="H3123" s="3" t="s">
        <v>13</v>
      </c>
      <c r="I3123" s="3">
        <v>862614200</v>
      </c>
    </row>
    <row r="3124" spans="1:9" x14ac:dyDescent="0.35">
      <c r="A3124" t="str">
        <f>"63020"</f>
        <v>63020</v>
      </c>
      <c r="B3124" t="s">
        <v>9</v>
      </c>
      <c r="C3124" t="s">
        <v>1232</v>
      </c>
      <c r="D3124" s="5" t="s">
        <v>11</v>
      </c>
      <c r="E3124" s="5" t="s">
        <v>12</v>
      </c>
      <c r="F3124" s="3" t="s">
        <v>13</v>
      </c>
      <c r="G3124" s="3" t="s">
        <v>13</v>
      </c>
      <c r="H3124" s="3" t="s">
        <v>13</v>
      </c>
      <c r="I3124" s="3">
        <v>538656500</v>
      </c>
    </row>
    <row r="3125" spans="1:9" x14ac:dyDescent="0.35">
      <c r="A3125" t="str">
        <f>"63022"</f>
        <v>63022</v>
      </c>
      <c r="B3125" t="s">
        <v>9</v>
      </c>
      <c r="C3125" t="s">
        <v>1233</v>
      </c>
      <c r="D3125" s="5" t="s">
        <v>11</v>
      </c>
      <c r="E3125" s="5" t="s">
        <v>12</v>
      </c>
      <c r="F3125" s="3" t="s">
        <v>13</v>
      </c>
      <c r="G3125" s="3" t="s">
        <v>13</v>
      </c>
      <c r="H3125" s="3" t="s">
        <v>13</v>
      </c>
      <c r="I3125" s="3">
        <v>969166300</v>
      </c>
    </row>
    <row r="3126" spans="1:9" x14ac:dyDescent="0.35">
      <c r="A3126" t="str">
        <f>"63024"</f>
        <v>63024</v>
      </c>
      <c r="B3126" t="s">
        <v>9</v>
      </c>
      <c r="C3126" t="s">
        <v>1234</v>
      </c>
      <c r="D3126" s="5" t="s">
        <v>11</v>
      </c>
      <c r="E3126" s="5" t="s">
        <v>12</v>
      </c>
      <c r="F3126" s="3" t="s">
        <v>13</v>
      </c>
      <c r="G3126" s="3" t="s">
        <v>13</v>
      </c>
      <c r="H3126" s="3" t="s">
        <v>13</v>
      </c>
      <c r="I3126" s="3">
        <v>1280782200</v>
      </c>
    </row>
    <row r="3127" spans="1:9" x14ac:dyDescent="0.35">
      <c r="A3127" t="str">
        <f>"63026"</f>
        <v>63026</v>
      </c>
      <c r="B3127" t="s">
        <v>9</v>
      </c>
      <c r="C3127" t="s">
        <v>392</v>
      </c>
      <c r="D3127" s="5" t="s">
        <v>11</v>
      </c>
      <c r="E3127" s="5" t="s">
        <v>12</v>
      </c>
      <c r="F3127" s="3" t="s">
        <v>13</v>
      </c>
      <c r="G3127" s="3" t="s">
        <v>13</v>
      </c>
      <c r="H3127" s="3" t="s">
        <v>13</v>
      </c>
      <c r="I3127" s="3">
        <v>1249109000</v>
      </c>
    </row>
    <row r="3128" spans="1:9" x14ac:dyDescent="0.35">
      <c r="A3128" t="str">
        <f>"63028"</f>
        <v>63028</v>
      </c>
      <c r="B3128" t="s">
        <v>9</v>
      </c>
      <c r="C3128" t="s">
        <v>1235</v>
      </c>
      <c r="D3128" s="5" t="s">
        <v>11</v>
      </c>
      <c r="E3128" s="5" t="s">
        <v>12</v>
      </c>
      <c r="F3128" s="3" t="s">
        <v>13</v>
      </c>
      <c r="G3128" s="3" t="s">
        <v>13</v>
      </c>
      <c r="H3128" s="3" t="s">
        <v>13</v>
      </c>
      <c r="I3128" s="3">
        <v>572681200</v>
      </c>
    </row>
    <row r="3129" spans="1:9" x14ac:dyDescent="0.35">
      <c r="A3129" t="s">
        <v>30</v>
      </c>
      <c r="B3129" t="s">
        <v>31</v>
      </c>
      <c r="C3129" t="s">
        <v>32</v>
      </c>
      <c r="D3129" s="5" t="s">
        <v>11</v>
      </c>
      <c r="E3129" s="5" t="s">
        <v>12</v>
      </c>
      <c r="F3129" s="3" t="s">
        <v>13</v>
      </c>
      <c r="G3129" s="3" t="s">
        <v>13</v>
      </c>
      <c r="H3129" s="3" t="s">
        <v>13</v>
      </c>
      <c r="I3129" s="3">
        <v>13800283200</v>
      </c>
    </row>
    <row r="3130" spans="1:9" x14ac:dyDescent="0.35">
      <c r="A3130" t="str">
        <f>"63221"</f>
        <v>63221</v>
      </c>
      <c r="B3130" t="s">
        <v>36</v>
      </c>
      <c r="C3130" t="s">
        <v>1236</v>
      </c>
      <c r="D3130" s="5" t="str">
        <f>"002"</f>
        <v>002</v>
      </c>
      <c r="E3130" s="5">
        <v>2007</v>
      </c>
      <c r="F3130" s="3">
        <v>3976300</v>
      </c>
      <c r="G3130" s="3">
        <v>23658200</v>
      </c>
      <c r="H3130" s="3">
        <v>19681900</v>
      </c>
    </row>
    <row r="3131" spans="1:9" x14ac:dyDescent="0.35">
      <c r="A3131" t="str">
        <f>"63221"</f>
        <v>63221</v>
      </c>
      <c r="B3131" t="s">
        <v>36</v>
      </c>
      <c r="C3131" t="s">
        <v>1236</v>
      </c>
      <c r="D3131" s="5" t="str">
        <f>"003"</f>
        <v>003</v>
      </c>
      <c r="E3131" s="5">
        <v>2007</v>
      </c>
      <c r="F3131" s="3">
        <v>7753200</v>
      </c>
      <c r="G3131" s="3">
        <v>50646200</v>
      </c>
      <c r="H3131" s="3">
        <v>42893000</v>
      </c>
    </row>
    <row r="3132" spans="1:9" x14ac:dyDescent="0.35">
      <c r="A3132" t="str">
        <f>"63221"</f>
        <v>63221</v>
      </c>
      <c r="B3132" t="s">
        <v>36</v>
      </c>
      <c r="C3132" t="s">
        <v>1236</v>
      </c>
      <c r="D3132" s="5" t="s">
        <v>11</v>
      </c>
      <c r="E3132" s="5" t="s">
        <v>12</v>
      </c>
      <c r="F3132" s="3" t="s">
        <v>13</v>
      </c>
      <c r="G3132" s="3" t="s">
        <v>13</v>
      </c>
      <c r="H3132" s="3" t="s">
        <v>13</v>
      </c>
      <c r="I3132" s="3">
        <v>324793400</v>
      </c>
    </row>
    <row r="3133" spans="1:9" x14ac:dyDescent="0.35">
      <c r="A3133" t="s">
        <v>30</v>
      </c>
      <c r="B3133" t="s">
        <v>38</v>
      </c>
      <c r="C3133" t="s">
        <v>32</v>
      </c>
      <c r="D3133" s="5" t="s">
        <v>11</v>
      </c>
      <c r="E3133" s="5" t="s">
        <v>12</v>
      </c>
      <c r="F3133" s="3" t="s">
        <v>13</v>
      </c>
      <c r="G3133" s="3" t="s">
        <v>13</v>
      </c>
      <c r="H3133" s="3" t="s">
        <v>13</v>
      </c>
      <c r="I3133" s="3">
        <v>324793400</v>
      </c>
    </row>
    <row r="3134" spans="1:9" x14ac:dyDescent="0.35">
      <c r="A3134" t="s">
        <v>30</v>
      </c>
      <c r="B3134" t="s">
        <v>39</v>
      </c>
      <c r="C3134" t="s">
        <v>703</v>
      </c>
      <c r="D3134" s="5" t="s">
        <v>11</v>
      </c>
      <c r="E3134" s="5" t="s">
        <v>12</v>
      </c>
      <c r="F3134" s="3" t="s">
        <v>13</v>
      </c>
      <c r="G3134" s="3" t="s">
        <v>13</v>
      </c>
      <c r="H3134" s="3" t="s">
        <v>13</v>
      </c>
      <c r="I3134" s="3">
        <v>14125076600</v>
      </c>
    </row>
    <row r="3135" spans="1:9" x14ac:dyDescent="0.35">
      <c r="A3135" t="str">
        <f>"64002"</f>
        <v>64002</v>
      </c>
      <c r="B3135" t="s">
        <v>9</v>
      </c>
      <c r="C3135" t="s">
        <v>1237</v>
      </c>
      <c r="D3135" s="5" t="s">
        <v>11</v>
      </c>
      <c r="E3135" s="5" t="s">
        <v>12</v>
      </c>
      <c r="F3135" s="3" t="s">
        <v>13</v>
      </c>
      <c r="G3135" s="3" t="s">
        <v>13</v>
      </c>
      <c r="H3135" s="3" t="s">
        <v>13</v>
      </c>
      <c r="I3135" s="3">
        <v>23475400</v>
      </c>
    </row>
    <row r="3136" spans="1:9" x14ac:dyDescent="0.35">
      <c r="A3136" t="str">
        <f>"64004"</f>
        <v>64004</v>
      </c>
      <c r="B3136" t="s">
        <v>9</v>
      </c>
      <c r="C3136" t="s">
        <v>1238</v>
      </c>
      <c r="D3136" s="5" t="s">
        <v>11</v>
      </c>
      <c r="E3136" s="5" t="s">
        <v>12</v>
      </c>
      <c r="F3136" s="3" t="s">
        <v>13</v>
      </c>
      <c r="G3136" s="3" t="s">
        <v>13</v>
      </c>
      <c r="H3136" s="3" t="s">
        <v>13</v>
      </c>
      <c r="I3136" s="3">
        <v>374105300</v>
      </c>
    </row>
    <row r="3137" spans="1:9" x14ac:dyDescent="0.35">
      <c r="A3137" t="str">
        <f>"64006"</f>
        <v>64006</v>
      </c>
      <c r="B3137" t="s">
        <v>9</v>
      </c>
      <c r="C3137" t="s">
        <v>1239</v>
      </c>
      <c r="D3137" s="5" t="s">
        <v>11</v>
      </c>
      <c r="E3137" s="5" t="s">
        <v>12</v>
      </c>
      <c r="F3137" s="3" t="s">
        <v>13</v>
      </c>
      <c r="G3137" s="3" t="s">
        <v>13</v>
      </c>
      <c r="H3137" s="3" t="s">
        <v>13</v>
      </c>
      <c r="I3137" s="3">
        <v>2044254500</v>
      </c>
    </row>
    <row r="3138" spans="1:9" x14ac:dyDescent="0.35">
      <c r="A3138" t="str">
        <f>"64008"</f>
        <v>64008</v>
      </c>
      <c r="B3138" t="s">
        <v>9</v>
      </c>
      <c r="C3138" t="s">
        <v>1240</v>
      </c>
      <c r="D3138" s="5" t="s">
        <v>11</v>
      </c>
      <c r="E3138" s="5" t="s">
        <v>12</v>
      </c>
      <c r="F3138" s="3" t="s">
        <v>13</v>
      </c>
      <c r="G3138" s="3" t="s">
        <v>13</v>
      </c>
      <c r="H3138" s="3" t="s">
        <v>13</v>
      </c>
      <c r="I3138" s="3">
        <v>1553470000</v>
      </c>
    </row>
    <row r="3139" spans="1:9" x14ac:dyDescent="0.35">
      <c r="A3139" t="str">
        <f>"64010"</f>
        <v>64010</v>
      </c>
      <c r="B3139" t="s">
        <v>9</v>
      </c>
      <c r="C3139" t="s">
        <v>1241</v>
      </c>
      <c r="D3139" s="5" t="s">
        <v>11</v>
      </c>
      <c r="E3139" s="5" t="s">
        <v>12</v>
      </c>
      <c r="F3139" s="3" t="s">
        <v>13</v>
      </c>
      <c r="G3139" s="3" t="s">
        <v>13</v>
      </c>
      <c r="H3139" s="3" t="s">
        <v>13</v>
      </c>
      <c r="I3139" s="3">
        <v>2067370700</v>
      </c>
    </row>
    <row r="3140" spans="1:9" x14ac:dyDescent="0.35">
      <c r="A3140" t="str">
        <f>"64012"</f>
        <v>64012</v>
      </c>
      <c r="B3140" t="s">
        <v>9</v>
      </c>
      <c r="C3140" t="s">
        <v>830</v>
      </c>
      <c r="D3140" s="5" t="s">
        <v>11</v>
      </c>
      <c r="E3140" s="5" t="s">
        <v>12</v>
      </c>
      <c r="F3140" s="3" t="s">
        <v>13</v>
      </c>
      <c r="G3140" s="3" t="s">
        <v>13</v>
      </c>
      <c r="H3140" s="3" t="s">
        <v>13</v>
      </c>
      <c r="I3140" s="3">
        <v>542736900</v>
      </c>
    </row>
    <row r="3141" spans="1:9" x14ac:dyDescent="0.35">
      <c r="A3141" t="str">
        <f>"64014"</f>
        <v>64014</v>
      </c>
      <c r="B3141" t="s">
        <v>9</v>
      </c>
      <c r="C3141" t="s">
        <v>831</v>
      </c>
      <c r="D3141" s="5" t="s">
        <v>11</v>
      </c>
      <c r="E3141" s="5" t="s">
        <v>12</v>
      </c>
      <c r="F3141" s="3" t="s">
        <v>13</v>
      </c>
      <c r="G3141" s="3" t="s">
        <v>13</v>
      </c>
      <c r="H3141" s="3" t="s">
        <v>13</v>
      </c>
      <c r="I3141" s="3">
        <v>1612528200</v>
      </c>
    </row>
    <row r="3142" spans="1:9" x14ac:dyDescent="0.35">
      <c r="A3142" t="str">
        <f>"64016"</f>
        <v>64016</v>
      </c>
      <c r="B3142" t="s">
        <v>9</v>
      </c>
      <c r="C3142" t="s">
        <v>1242</v>
      </c>
      <c r="D3142" s="5" t="s">
        <v>11</v>
      </c>
      <c r="E3142" s="5" t="s">
        <v>12</v>
      </c>
      <c r="F3142" s="3" t="s">
        <v>13</v>
      </c>
      <c r="G3142" s="3" t="s">
        <v>13</v>
      </c>
      <c r="H3142" s="3" t="s">
        <v>13</v>
      </c>
      <c r="I3142" s="3">
        <v>4357590300</v>
      </c>
    </row>
    <row r="3143" spans="1:9" x14ac:dyDescent="0.35">
      <c r="A3143" t="str">
        <f>"64018"</f>
        <v>64018</v>
      </c>
      <c r="B3143" t="s">
        <v>9</v>
      </c>
      <c r="C3143" t="s">
        <v>1243</v>
      </c>
      <c r="D3143" s="5" t="s">
        <v>11</v>
      </c>
      <c r="E3143" s="5" t="s">
        <v>12</v>
      </c>
      <c r="F3143" s="3" t="s">
        <v>13</v>
      </c>
      <c r="G3143" s="3" t="s">
        <v>13</v>
      </c>
      <c r="H3143" s="3" t="s">
        <v>13</v>
      </c>
      <c r="I3143" s="3">
        <v>873314500</v>
      </c>
    </row>
    <row r="3144" spans="1:9" x14ac:dyDescent="0.35">
      <c r="A3144" t="str">
        <f>"64020"</f>
        <v>64020</v>
      </c>
      <c r="B3144" t="s">
        <v>9</v>
      </c>
      <c r="C3144" t="s">
        <v>1084</v>
      </c>
      <c r="D3144" s="5" t="s">
        <v>11</v>
      </c>
      <c r="E3144" s="5" t="s">
        <v>12</v>
      </c>
      <c r="F3144" s="3" t="s">
        <v>13</v>
      </c>
      <c r="G3144" s="3" t="s">
        <v>13</v>
      </c>
      <c r="H3144" s="3" t="s">
        <v>13</v>
      </c>
      <c r="I3144" s="3">
        <v>521719400</v>
      </c>
    </row>
    <row r="3145" spans="1:9" x14ac:dyDescent="0.35">
      <c r="A3145" t="str">
        <f>"64022"</f>
        <v>64022</v>
      </c>
      <c r="B3145" t="s">
        <v>9</v>
      </c>
      <c r="C3145" t="s">
        <v>983</v>
      </c>
      <c r="D3145" s="5" t="s">
        <v>11</v>
      </c>
      <c r="E3145" s="5" t="s">
        <v>12</v>
      </c>
      <c r="F3145" s="3" t="s">
        <v>13</v>
      </c>
      <c r="G3145" s="3" t="s">
        <v>13</v>
      </c>
      <c r="H3145" s="3" t="s">
        <v>13</v>
      </c>
      <c r="I3145" s="3">
        <v>151341400</v>
      </c>
    </row>
    <row r="3146" spans="1:9" x14ac:dyDescent="0.35">
      <c r="A3146" t="str">
        <f>"64024"</f>
        <v>64024</v>
      </c>
      <c r="B3146" t="s">
        <v>9</v>
      </c>
      <c r="C3146" t="s">
        <v>1244</v>
      </c>
      <c r="D3146" s="5" t="s">
        <v>11</v>
      </c>
      <c r="E3146" s="5" t="s">
        <v>12</v>
      </c>
      <c r="F3146" s="3" t="s">
        <v>13</v>
      </c>
      <c r="G3146" s="3" t="s">
        <v>13</v>
      </c>
      <c r="H3146" s="3" t="s">
        <v>13</v>
      </c>
      <c r="I3146" s="3">
        <v>565671300</v>
      </c>
    </row>
    <row r="3147" spans="1:9" x14ac:dyDescent="0.35">
      <c r="A3147" t="str">
        <f>"64026"</f>
        <v>64026</v>
      </c>
      <c r="B3147" t="s">
        <v>9</v>
      </c>
      <c r="C3147" t="s">
        <v>1245</v>
      </c>
      <c r="D3147" s="5" t="s">
        <v>11</v>
      </c>
      <c r="E3147" s="5" t="s">
        <v>12</v>
      </c>
      <c r="F3147" s="3" t="s">
        <v>13</v>
      </c>
      <c r="G3147" s="3" t="s">
        <v>13</v>
      </c>
      <c r="H3147" s="3" t="s">
        <v>13</v>
      </c>
      <c r="I3147" s="3">
        <v>762360900</v>
      </c>
    </row>
    <row r="3148" spans="1:9" x14ac:dyDescent="0.35">
      <c r="A3148" t="str">
        <f>"64028"</f>
        <v>64028</v>
      </c>
      <c r="B3148" t="s">
        <v>9</v>
      </c>
      <c r="C3148" t="s">
        <v>1089</v>
      </c>
      <c r="D3148" s="5" t="s">
        <v>11</v>
      </c>
      <c r="E3148" s="5" t="s">
        <v>12</v>
      </c>
      <c r="F3148" s="3" t="s">
        <v>13</v>
      </c>
      <c r="G3148" s="3" t="s">
        <v>13</v>
      </c>
      <c r="H3148" s="3" t="s">
        <v>13</v>
      </c>
      <c r="I3148" s="3">
        <v>568718400</v>
      </c>
    </row>
    <row r="3149" spans="1:9" x14ac:dyDescent="0.35">
      <c r="A3149" t="str">
        <f>"64030"</f>
        <v>64030</v>
      </c>
      <c r="B3149" t="s">
        <v>9</v>
      </c>
      <c r="C3149" t="s">
        <v>1246</v>
      </c>
      <c r="D3149" s="5" t="s">
        <v>11</v>
      </c>
      <c r="E3149" s="5" t="s">
        <v>12</v>
      </c>
      <c r="F3149" s="3" t="s">
        <v>13</v>
      </c>
      <c r="G3149" s="3" t="s">
        <v>13</v>
      </c>
      <c r="H3149" s="3" t="s">
        <v>13</v>
      </c>
      <c r="I3149" s="3">
        <v>494197000</v>
      </c>
    </row>
    <row r="3150" spans="1:9" x14ac:dyDescent="0.35">
      <c r="A3150" t="str">
        <f>"64032"</f>
        <v>64032</v>
      </c>
      <c r="B3150" t="s">
        <v>9</v>
      </c>
      <c r="C3150" t="s">
        <v>616</v>
      </c>
      <c r="D3150" s="5" t="s">
        <v>11</v>
      </c>
      <c r="E3150" s="5" t="s">
        <v>12</v>
      </c>
      <c r="F3150" s="3" t="s">
        <v>13</v>
      </c>
      <c r="G3150" s="3" t="s">
        <v>13</v>
      </c>
      <c r="H3150" s="3" t="s">
        <v>13</v>
      </c>
      <c r="I3150" s="3">
        <v>624006100</v>
      </c>
    </row>
    <row r="3151" spans="1:9" x14ac:dyDescent="0.35">
      <c r="A3151" t="s">
        <v>30</v>
      </c>
      <c r="B3151" t="s">
        <v>31</v>
      </c>
      <c r="C3151" t="s">
        <v>32</v>
      </c>
      <c r="D3151" s="5" t="s">
        <v>11</v>
      </c>
      <c r="E3151" s="5" t="s">
        <v>12</v>
      </c>
      <c r="F3151" s="3" t="s">
        <v>13</v>
      </c>
      <c r="G3151" s="3" t="s">
        <v>13</v>
      </c>
      <c r="H3151" s="3" t="s">
        <v>13</v>
      </c>
      <c r="I3151" s="3">
        <v>17136860300</v>
      </c>
    </row>
    <row r="3152" spans="1:9" x14ac:dyDescent="0.35">
      <c r="A3152" t="str">
        <f>"64115"</f>
        <v>64115</v>
      </c>
      <c r="B3152" t="s">
        <v>33</v>
      </c>
      <c r="C3152" t="s">
        <v>1237</v>
      </c>
      <c r="D3152" s="5" t="str">
        <f>"001"</f>
        <v>001</v>
      </c>
      <c r="E3152" s="5">
        <v>2020</v>
      </c>
      <c r="F3152" s="3">
        <v>202800</v>
      </c>
      <c r="G3152" s="3">
        <v>2925400</v>
      </c>
      <c r="H3152" s="3">
        <v>2722600</v>
      </c>
    </row>
    <row r="3153" spans="1:9" x14ac:dyDescent="0.35">
      <c r="A3153" t="str">
        <f>"64115"</f>
        <v>64115</v>
      </c>
      <c r="B3153" t="s">
        <v>33</v>
      </c>
      <c r="C3153" t="s">
        <v>1237</v>
      </c>
      <c r="D3153" s="5" t="s">
        <v>11</v>
      </c>
      <c r="E3153" s="5" t="s">
        <v>12</v>
      </c>
      <c r="F3153" s="3" t="s">
        <v>13</v>
      </c>
      <c r="G3153" s="3" t="s">
        <v>13</v>
      </c>
      <c r="H3153" s="3" t="s">
        <v>13</v>
      </c>
      <c r="I3153" s="3">
        <v>1041436400</v>
      </c>
    </row>
    <row r="3154" spans="1:9" x14ac:dyDescent="0.35">
      <c r="A3154" t="str">
        <f>"64116"</f>
        <v>64116</v>
      </c>
      <c r="B3154" t="s">
        <v>33</v>
      </c>
      <c r="C3154" t="s">
        <v>1238</v>
      </c>
      <c r="D3154" s="5" t="str">
        <f>"003"</f>
        <v>003</v>
      </c>
      <c r="E3154" s="5">
        <v>2015</v>
      </c>
      <c r="F3154" s="3">
        <v>2174600</v>
      </c>
      <c r="G3154" s="3">
        <v>14941300</v>
      </c>
      <c r="H3154" s="3">
        <v>12766700</v>
      </c>
    </row>
    <row r="3155" spans="1:9" x14ac:dyDescent="0.35">
      <c r="A3155" t="str">
        <f>"64116"</f>
        <v>64116</v>
      </c>
      <c r="B3155" t="s">
        <v>33</v>
      </c>
      <c r="C3155" t="s">
        <v>1238</v>
      </c>
      <c r="D3155" s="5" t="str">
        <f>"004"</f>
        <v>004</v>
      </c>
      <c r="E3155" s="5">
        <v>2022</v>
      </c>
      <c r="F3155" s="3">
        <v>52500</v>
      </c>
      <c r="G3155" s="3">
        <v>57800</v>
      </c>
      <c r="H3155" s="3">
        <v>5300</v>
      </c>
    </row>
    <row r="3156" spans="1:9" x14ac:dyDescent="0.35">
      <c r="A3156" t="str">
        <f>"64116"</f>
        <v>64116</v>
      </c>
      <c r="B3156" t="s">
        <v>33</v>
      </c>
      <c r="C3156" t="s">
        <v>1238</v>
      </c>
      <c r="D3156" s="5" t="s">
        <v>11</v>
      </c>
      <c r="E3156" s="5" t="s">
        <v>12</v>
      </c>
      <c r="F3156" s="3" t="s">
        <v>13</v>
      </c>
      <c r="G3156" s="3" t="s">
        <v>13</v>
      </c>
      <c r="H3156" s="3" t="s">
        <v>13</v>
      </c>
      <c r="I3156" s="3">
        <v>237763900</v>
      </c>
    </row>
    <row r="3157" spans="1:9" x14ac:dyDescent="0.35">
      <c r="A3157" t="str">
        <f>"64121"</f>
        <v>64121</v>
      </c>
      <c r="B3157" t="s">
        <v>33</v>
      </c>
      <c r="C3157" t="s">
        <v>1240</v>
      </c>
      <c r="D3157" s="5" t="str">
        <f>"004"</f>
        <v>004</v>
      </c>
      <c r="E3157" s="5">
        <v>2018</v>
      </c>
      <c r="F3157" s="3">
        <v>5590700</v>
      </c>
      <c r="G3157" s="3">
        <v>52435800</v>
      </c>
      <c r="H3157" s="3">
        <v>46845100</v>
      </c>
    </row>
    <row r="3158" spans="1:9" x14ac:dyDescent="0.35">
      <c r="A3158" t="str">
        <f>"64121"</f>
        <v>64121</v>
      </c>
      <c r="B3158" t="s">
        <v>33</v>
      </c>
      <c r="C3158" t="s">
        <v>1240</v>
      </c>
      <c r="D3158" s="5" t="str">
        <f>"005"</f>
        <v>005</v>
      </c>
      <c r="E3158" s="5">
        <v>2025</v>
      </c>
      <c r="F3158" s="3">
        <v>5847400</v>
      </c>
      <c r="G3158" s="3">
        <v>14919700</v>
      </c>
      <c r="H3158" s="3">
        <v>9072300</v>
      </c>
    </row>
    <row r="3159" spans="1:9" x14ac:dyDescent="0.35">
      <c r="A3159" t="str">
        <f>"64121"</f>
        <v>64121</v>
      </c>
      <c r="B3159" t="s">
        <v>33</v>
      </c>
      <c r="C3159" t="s">
        <v>1240</v>
      </c>
      <c r="D3159" s="5" t="s">
        <v>11</v>
      </c>
      <c r="E3159" s="5" t="s">
        <v>12</v>
      </c>
      <c r="F3159" s="3" t="s">
        <v>13</v>
      </c>
      <c r="G3159" s="3" t="s">
        <v>13</v>
      </c>
      <c r="H3159" s="3" t="s">
        <v>13</v>
      </c>
      <c r="I3159" s="3">
        <v>670682000</v>
      </c>
    </row>
    <row r="3160" spans="1:9" x14ac:dyDescent="0.35">
      <c r="A3160" t="str">
        <f>"64126"</f>
        <v>64126</v>
      </c>
      <c r="B3160" t="s">
        <v>33</v>
      </c>
      <c r="C3160" t="s">
        <v>1247</v>
      </c>
      <c r="D3160" s="5" t="str">
        <f>"001"</f>
        <v>001</v>
      </c>
      <c r="E3160" s="5">
        <v>2001</v>
      </c>
      <c r="F3160" s="3">
        <v>27480500</v>
      </c>
      <c r="G3160" s="3">
        <v>261366900</v>
      </c>
      <c r="H3160" s="3">
        <v>233886400</v>
      </c>
    </row>
    <row r="3161" spans="1:9" x14ac:dyDescent="0.35">
      <c r="A3161" t="str">
        <f>"64126"</f>
        <v>64126</v>
      </c>
      <c r="B3161" t="s">
        <v>33</v>
      </c>
      <c r="C3161" t="s">
        <v>1247</v>
      </c>
      <c r="D3161" s="5" t="s">
        <v>11</v>
      </c>
      <c r="E3161" s="5" t="s">
        <v>12</v>
      </c>
      <c r="F3161" s="3" t="s">
        <v>13</v>
      </c>
      <c r="G3161" s="3" t="s">
        <v>13</v>
      </c>
      <c r="H3161" s="3" t="s">
        <v>13</v>
      </c>
      <c r="I3161" s="3">
        <v>2583710600</v>
      </c>
    </row>
    <row r="3162" spans="1:9" x14ac:dyDescent="0.35">
      <c r="A3162" t="str">
        <f>"64131"</f>
        <v>64131</v>
      </c>
      <c r="B3162" t="s">
        <v>33</v>
      </c>
      <c r="C3162" t="s">
        <v>644</v>
      </c>
      <c r="D3162" s="5" t="s">
        <v>11</v>
      </c>
      <c r="E3162" s="5" t="s">
        <v>12</v>
      </c>
      <c r="F3162" s="3" t="s">
        <v>13</v>
      </c>
      <c r="G3162" s="3" t="s">
        <v>13</v>
      </c>
      <c r="H3162" s="3" t="s">
        <v>13</v>
      </c>
      <c r="I3162" s="3">
        <v>385635200</v>
      </c>
    </row>
    <row r="3163" spans="1:9" x14ac:dyDescent="0.35">
      <c r="A3163" t="str">
        <f>"64153"</f>
        <v>64153</v>
      </c>
      <c r="B3163" t="s">
        <v>33</v>
      </c>
      <c r="C3163" t="s">
        <v>1248</v>
      </c>
      <c r="D3163" s="5" t="str">
        <f>"005"</f>
        <v>005</v>
      </c>
      <c r="E3163" s="5">
        <v>2018</v>
      </c>
      <c r="F3163" s="3">
        <v>315200</v>
      </c>
      <c r="G3163" s="3">
        <v>81606200</v>
      </c>
      <c r="H3163" s="3">
        <v>81291000</v>
      </c>
    </row>
    <row r="3164" spans="1:9" x14ac:dyDescent="0.35">
      <c r="A3164" t="str">
        <f>"64153"</f>
        <v>64153</v>
      </c>
      <c r="B3164" t="s">
        <v>33</v>
      </c>
      <c r="C3164" t="s">
        <v>1248</v>
      </c>
      <c r="D3164" s="5" t="s">
        <v>11</v>
      </c>
      <c r="E3164" s="5" t="s">
        <v>12</v>
      </c>
      <c r="F3164" s="3" t="s">
        <v>13</v>
      </c>
      <c r="G3164" s="3" t="s">
        <v>13</v>
      </c>
      <c r="H3164" s="3" t="s">
        <v>13</v>
      </c>
      <c r="I3164" s="3">
        <v>34310400</v>
      </c>
    </row>
    <row r="3165" spans="1:9" x14ac:dyDescent="0.35">
      <c r="A3165" t="str">
        <f>"64181"</f>
        <v>64181</v>
      </c>
      <c r="B3165" t="s">
        <v>33</v>
      </c>
      <c r="C3165" t="s">
        <v>983</v>
      </c>
      <c r="D3165" s="5" t="str">
        <f>"004"</f>
        <v>004</v>
      </c>
      <c r="E3165" s="5">
        <v>2007</v>
      </c>
      <c r="F3165" s="3">
        <v>1067100</v>
      </c>
      <c r="G3165" s="3">
        <v>1317700</v>
      </c>
      <c r="H3165" s="3">
        <v>250600</v>
      </c>
    </row>
    <row r="3166" spans="1:9" x14ac:dyDescent="0.35">
      <c r="A3166" t="str">
        <f>"64181"</f>
        <v>64181</v>
      </c>
      <c r="B3166" t="s">
        <v>33</v>
      </c>
      <c r="C3166" t="s">
        <v>983</v>
      </c>
      <c r="D3166" s="5" t="str">
        <f>"005"</f>
        <v>005</v>
      </c>
      <c r="E3166" s="5">
        <v>2021</v>
      </c>
      <c r="F3166" s="3">
        <v>1317500</v>
      </c>
      <c r="G3166" s="3">
        <v>15615400</v>
      </c>
      <c r="H3166" s="3">
        <v>14297900</v>
      </c>
    </row>
    <row r="3167" spans="1:9" x14ac:dyDescent="0.35">
      <c r="A3167" t="str">
        <f>"64181"</f>
        <v>64181</v>
      </c>
      <c r="B3167" t="s">
        <v>33</v>
      </c>
      <c r="C3167" t="s">
        <v>983</v>
      </c>
      <c r="D3167" s="5" t="s">
        <v>11</v>
      </c>
      <c r="E3167" s="5" t="s">
        <v>12</v>
      </c>
      <c r="F3167" s="3" t="s">
        <v>13</v>
      </c>
      <c r="G3167" s="3" t="s">
        <v>13</v>
      </c>
      <c r="H3167" s="3" t="s">
        <v>13</v>
      </c>
      <c r="I3167" s="3">
        <v>131500200</v>
      </c>
    </row>
    <row r="3168" spans="1:9" x14ac:dyDescent="0.35">
      <c r="A3168" t="str">
        <f>"64191"</f>
        <v>64191</v>
      </c>
      <c r="B3168" t="s">
        <v>33</v>
      </c>
      <c r="C3168" t="s">
        <v>1246</v>
      </c>
      <c r="D3168" s="5" t="str">
        <f>"001"</f>
        <v>001</v>
      </c>
      <c r="E3168" s="5">
        <v>2011</v>
      </c>
      <c r="F3168" s="3">
        <v>6963900</v>
      </c>
      <c r="G3168" s="3">
        <v>12736100</v>
      </c>
      <c r="H3168" s="3">
        <v>5772200</v>
      </c>
    </row>
    <row r="3169" spans="1:9" x14ac:dyDescent="0.35">
      <c r="A3169" t="str">
        <f>"64191"</f>
        <v>64191</v>
      </c>
      <c r="B3169" t="s">
        <v>33</v>
      </c>
      <c r="C3169" t="s">
        <v>1246</v>
      </c>
      <c r="D3169" s="5" t="s">
        <v>11</v>
      </c>
      <c r="E3169" s="5" t="s">
        <v>12</v>
      </c>
      <c r="F3169" s="3" t="s">
        <v>13</v>
      </c>
      <c r="G3169" s="3" t="s">
        <v>13</v>
      </c>
      <c r="H3169" s="3" t="s">
        <v>13</v>
      </c>
      <c r="I3169" s="3">
        <v>421898400</v>
      </c>
    </row>
    <row r="3170" spans="1:9" x14ac:dyDescent="0.35">
      <c r="A3170" t="str">
        <f>"64192"</f>
        <v>64192</v>
      </c>
      <c r="B3170" t="s">
        <v>33</v>
      </c>
      <c r="C3170" t="s">
        <v>1249</v>
      </c>
      <c r="D3170" s="5" t="str">
        <f>"001"</f>
        <v>001</v>
      </c>
      <c r="E3170" s="5">
        <v>2024</v>
      </c>
      <c r="F3170" s="3">
        <v>716100</v>
      </c>
      <c r="G3170" s="3">
        <v>20118400</v>
      </c>
      <c r="H3170" s="3">
        <v>19402300</v>
      </c>
    </row>
    <row r="3171" spans="1:9" x14ac:dyDescent="0.35">
      <c r="A3171" t="str">
        <f>"64192"</f>
        <v>64192</v>
      </c>
      <c r="B3171" t="s">
        <v>33</v>
      </c>
      <c r="C3171" t="s">
        <v>1249</v>
      </c>
      <c r="D3171" s="5" t="s">
        <v>11</v>
      </c>
      <c r="E3171" s="5" t="s">
        <v>12</v>
      </c>
      <c r="F3171" s="3" t="s">
        <v>13</v>
      </c>
      <c r="G3171" s="3" t="s">
        <v>13</v>
      </c>
      <c r="H3171" s="3" t="s">
        <v>13</v>
      </c>
      <c r="I3171" s="3">
        <v>1867697600</v>
      </c>
    </row>
    <row r="3172" spans="1:9" x14ac:dyDescent="0.35">
      <c r="A3172" t="s">
        <v>30</v>
      </c>
      <c r="B3172" t="s">
        <v>35</v>
      </c>
      <c r="C3172" t="s">
        <v>32</v>
      </c>
      <c r="D3172" s="5" t="s">
        <v>11</v>
      </c>
      <c r="E3172" s="5" t="s">
        <v>12</v>
      </c>
      <c r="F3172" s="3" t="s">
        <v>13</v>
      </c>
      <c r="G3172" s="3" t="s">
        <v>13</v>
      </c>
      <c r="H3172" s="3" t="s">
        <v>13</v>
      </c>
      <c r="I3172" s="3">
        <v>7374634700</v>
      </c>
    </row>
    <row r="3173" spans="1:9" x14ac:dyDescent="0.35">
      <c r="A3173" t="str">
        <f>"64206"</f>
        <v>64206</v>
      </c>
      <c r="B3173" t="s">
        <v>36</v>
      </c>
      <c r="C3173" t="s">
        <v>1010</v>
      </c>
      <c r="D3173" s="5" t="s">
        <v>11</v>
      </c>
      <c r="E3173" s="5" t="s">
        <v>12</v>
      </c>
      <c r="F3173" s="3" t="s">
        <v>13</v>
      </c>
      <c r="G3173" s="3" t="s">
        <v>13</v>
      </c>
      <c r="H3173" s="3" t="s">
        <v>13</v>
      </c>
      <c r="I3173" s="3">
        <v>16276900</v>
      </c>
    </row>
    <row r="3174" spans="1:9" x14ac:dyDescent="0.35">
      <c r="A3174" t="str">
        <f>"64216"</f>
        <v>64216</v>
      </c>
      <c r="B3174" t="s">
        <v>36</v>
      </c>
      <c r="C3174" t="s">
        <v>1239</v>
      </c>
      <c r="D3174" s="5" t="str">
        <f>"004"</f>
        <v>004</v>
      </c>
      <c r="E3174" s="5">
        <v>2003</v>
      </c>
      <c r="F3174" s="3">
        <v>22997800</v>
      </c>
      <c r="G3174" s="3">
        <v>163321400</v>
      </c>
      <c r="H3174" s="3">
        <v>140323600</v>
      </c>
    </row>
    <row r="3175" spans="1:9" x14ac:dyDescent="0.35">
      <c r="A3175" t="str">
        <f>"64216"</f>
        <v>64216</v>
      </c>
      <c r="B3175" t="s">
        <v>36</v>
      </c>
      <c r="C3175" t="s">
        <v>1239</v>
      </c>
      <c r="D3175" s="5" t="str">
        <f>"005"</f>
        <v>005</v>
      </c>
      <c r="E3175" s="5">
        <v>2012</v>
      </c>
      <c r="F3175" s="3">
        <v>21830800</v>
      </c>
      <c r="G3175" s="3">
        <v>47764400</v>
      </c>
      <c r="H3175" s="3">
        <v>25933600</v>
      </c>
    </row>
    <row r="3176" spans="1:9" x14ac:dyDescent="0.35">
      <c r="A3176" t="str">
        <f>"64216"</f>
        <v>64216</v>
      </c>
      <c r="B3176" t="s">
        <v>36</v>
      </c>
      <c r="C3176" t="s">
        <v>1239</v>
      </c>
      <c r="D3176" s="5" t="str">
        <f>"006"</f>
        <v>006</v>
      </c>
      <c r="E3176" s="5">
        <v>2022</v>
      </c>
      <c r="F3176" s="3">
        <v>4988800</v>
      </c>
      <c r="G3176" s="3">
        <v>19150500</v>
      </c>
      <c r="H3176" s="3">
        <v>14161700</v>
      </c>
    </row>
    <row r="3177" spans="1:9" x14ac:dyDescent="0.35">
      <c r="A3177" t="str">
        <f>"64216"</f>
        <v>64216</v>
      </c>
      <c r="B3177" t="s">
        <v>36</v>
      </c>
      <c r="C3177" t="s">
        <v>1239</v>
      </c>
      <c r="D3177" s="5" t="s">
        <v>11</v>
      </c>
      <c r="E3177" s="5" t="s">
        <v>12</v>
      </c>
      <c r="F3177" s="3" t="s">
        <v>13</v>
      </c>
      <c r="G3177" s="3" t="s">
        <v>13</v>
      </c>
      <c r="H3177" s="3" t="s">
        <v>13</v>
      </c>
      <c r="I3177" s="3">
        <v>1128383300</v>
      </c>
    </row>
    <row r="3178" spans="1:9" x14ac:dyDescent="0.35">
      <c r="A3178" t="str">
        <f>"64221"</f>
        <v>64221</v>
      </c>
      <c r="B3178" t="s">
        <v>36</v>
      </c>
      <c r="C3178" t="s">
        <v>1250</v>
      </c>
      <c r="D3178" s="5" t="str">
        <f>"004"</f>
        <v>004</v>
      </c>
      <c r="E3178" s="5">
        <v>2017</v>
      </c>
      <c r="F3178" s="3">
        <v>4566000</v>
      </c>
      <c r="G3178" s="3">
        <v>25356500</v>
      </c>
      <c r="H3178" s="3">
        <v>20790500</v>
      </c>
    </row>
    <row r="3179" spans="1:9" x14ac:dyDescent="0.35">
      <c r="A3179" t="str">
        <f>"64221"</f>
        <v>64221</v>
      </c>
      <c r="B3179" t="s">
        <v>36</v>
      </c>
      <c r="C3179" t="s">
        <v>1250</v>
      </c>
      <c r="D3179" s="5" t="str">
        <f>"005"</f>
        <v>005</v>
      </c>
      <c r="E3179" s="5">
        <v>2025</v>
      </c>
      <c r="F3179" s="3">
        <v>110533100</v>
      </c>
      <c r="G3179" s="3">
        <v>114369500</v>
      </c>
      <c r="H3179" s="3">
        <v>3836400</v>
      </c>
    </row>
    <row r="3180" spans="1:9" x14ac:dyDescent="0.35">
      <c r="A3180" t="str">
        <f>"64221"</f>
        <v>64221</v>
      </c>
      <c r="B3180" t="s">
        <v>36</v>
      </c>
      <c r="C3180" t="s">
        <v>1250</v>
      </c>
      <c r="D3180" s="5" t="s">
        <v>11</v>
      </c>
      <c r="E3180" s="5" t="s">
        <v>12</v>
      </c>
      <c r="F3180" s="3" t="s">
        <v>13</v>
      </c>
      <c r="G3180" s="3" t="s">
        <v>13</v>
      </c>
      <c r="H3180" s="3" t="s">
        <v>13</v>
      </c>
      <c r="I3180" s="3">
        <v>1390041500</v>
      </c>
    </row>
    <row r="3181" spans="1:9" x14ac:dyDescent="0.35">
      <c r="A3181" t="str">
        <f>"64246"</f>
        <v>64246</v>
      </c>
      <c r="B3181" t="s">
        <v>36</v>
      </c>
      <c r="C3181" t="s">
        <v>1251</v>
      </c>
      <c r="D3181" s="5" t="s">
        <v>11</v>
      </c>
      <c r="E3181" s="5" t="s">
        <v>12</v>
      </c>
      <c r="F3181" s="3" t="s">
        <v>13</v>
      </c>
      <c r="G3181" s="3" t="s">
        <v>13</v>
      </c>
      <c r="H3181" s="3" t="s">
        <v>13</v>
      </c>
      <c r="I3181" s="3">
        <v>2845277800</v>
      </c>
    </row>
    <row r="3182" spans="1:9" x14ac:dyDescent="0.35">
      <c r="A3182" t="str">
        <f t="shared" ref="A3182:A3187" si="72">"64291"</f>
        <v>64291</v>
      </c>
      <c r="B3182" t="s">
        <v>36</v>
      </c>
      <c r="C3182" t="s">
        <v>616</v>
      </c>
      <c r="D3182" s="5" t="str">
        <f>"010"</f>
        <v>010</v>
      </c>
      <c r="E3182" s="5">
        <v>2021</v>
      </c>
      <c r="F3182" s="3">
        <v>45859100</v>
      </c>
      <c r="G3182" s="3">
        <v>56170000</v>
      </c>
      <c r="H3182" s="3">
        <v>10310900</v>
      </c>
    </row>
    <row r="3183" spans="1:9" x14ac:dyDescent="0.35">
      <c r="A3183" t="str">
        <f t="shared" si="72"/>
        <v>64291</v>
      </c>
      <c r="B3183" t="s">
        <v>36</v>
      </c>
      <c r="C3183" t="s">
        <v>616</v>
      </c>
      <c r="D3183" s="5" t="str">
        <f>"011"</f>
        <v>011</v>
      </c>
      <c r="E3183" s="5">
        <v>2021</v>
      </c>
      <c r="F3183" s="3">
        <v>4507000</v>
      </c>
      <c r="G3183" s="3">
        <v>10205500</v>
      </c>
      <c r="H3183" s="3">
        <v>5698500</v>
      </c>
    </row>
    <row r="3184" spans="1:9" x14ac:dyDescent="0.35">
      <c r="A3184" t="str">
        <f t="shared" si="72"/>
        <v>64291</v>
      </c>
      <c r="B3184" t="s">
        <v>36</v>
      </c>
      <c r="C3184" t="s">
        <v>616</v>
      </c>
      <c r="D3184" s="5" t="str">
        <f>"012"</f>
        <v>012</v>
      </c>
      <c r="E3184" s="5">
        <v>2021</v>
      </c>
      <c r="F3184" s="3">
        <v>19007800</v>
      </c>
      <c r="G3184" s="3">
        <v>27905800</v>
      </c>
      <c r="H3184" s="3">
        <v>8898000</v>
      </c>
    </row>
    <row r="3185" spans="1:9" x14ac:dyDescent="0.35">
      <c r="A3185" t="str">
        <f t="shared" si="72"/>
        <v>64291</v>
      </c>
      <c r="B3185" t="s">
        <v>36</v>
      </c>
      <c r="C3185" t="s">
        <v>616</v>
      </c>
      <c r="D3185" s="5" t="str">
        <f>"013"</f>
        <v>013</v>
      </c>
      <c r="E3185" s="5">
        <v>2021</v>
      </c>
      <c r="F3185" s="3">
        <v>6156200</v>
      </c>
      <c r="G3185" s="3">
        <v>11749100</v>
      </c>
      <c r="H3185" s="3">
        <v>5592900</v>
      </c>
    </row>
    <row r="3186" spans="1:9" x14ac:dyDescent="0.35">
      <c r="A3186" t="str">
        <f t="shared" si="72"/>
        <v>64291</v>
      </c>
      <c r="B3186" t="s">
        <v>36</v>
      </c>
      <c r="C3186" t="s">
        <v>616</v>
      </c>
      <c r="D3186" s="5" t="str">
        <f>"014"</f>
        <v>014</v>
      </c>
      <c r="E3186" s="5">
        <v>2021</v>
      </c>
      <c r="F3186" s="3">
        <v>16586900</v>
      </c>
      <c r="G3186" s="3">
        <v>41289700</v>
      </c>
      <c r="H3186" s="3">
        <v>24702800</v>
      </c>
    </row>
    <row r="3187" spans="1:9" x14ac:dyDescent="0.35">
      <c r="A3187" t="str">
        <f t="shared" si="72"/>
        <v>64291</v>
      </c>
      <c r="B3187" t="s">
        <v>36</v>
      </c>
      <c r="C3187" t="s">
        <v>616</v>
      </c>
      <c r="D3187" s="5" t="s">
        <v>11</v>
      </c>
      <c r="E3187" s="5" t="s">
        <v>12</v>
      </c>
      <c r="F3187" s="3" t="s">
        <v>13</v>
      </c>
      <c r="G3187" s="3" t="s">
        <v>13</v>
      </c>
      <c r="H3187" s="3" t="s">
        <v>13</v>
      </c>
      <c r="I3187" s="3">
        <v>962898300</v>
      </c>
    </row>
    <row r="3188" spans="1:9" x14ac:dyDescent="0.35">
      <c r="A3188" t="s">
        <v>30</v>
      </c>
      <c r="B3188" t="s">
        <v>38</v>
      </c>
      <c r="C3188" t="s">
        <v>32</v>
      </c>
      <c r="D3188" s="5" t="s">
        <v>11</v>
      </c>
      <c r="E3188" s="5" t="s">
        <v>12</v>
      </c>
      <c r="F3188" s="3" t="s">
        <v>13</v>
      </c>
      <c r="G3188" s="3" t="s">
        <v>13</v>
      </c>
      <c r="H3188" s="3" t="s">
        <v>13</v>
      </c>
      <c r="I3188" s="3">
        <v>6342877800</v>
      </c>
    </row>
    <row r="3189" spans="1:9" x14ac:dyDescent="0.35">
      <c r="A3189" t="s">
        <v>30</v>
      </c>
      <c r="B3189" t="s">
        <v>39</v>
      </c>
      <c r="C3189" t="s">
        <v>1246</v>
      </c>
      <c r="D3189" s="5" t="s">
        <v>11</v>
      </c>
      <c r="E3189" s="5" t="s">
        <v>12</v>
      </c>
      <c r="F3189" s="3" t="s">
        <v>13</v>
      </c>
      <c r="G3189" s="3" t="s">
        <v>13</v>
      </c>
      <c r="H3189" s="3" t="s">
        <v>13</v>
      </c>
      <c r="I3189" s="3">
        <v>30854372800</v>
      </c>
    </row>
    <row r="3190" spans="1:9" x14ac:dyDescent="0.35">
      <c r="A3190" t="str">
        <f>"65002"</f>
        <v>65002</v>
      </c>
      <c r="B3190" t="s">
        <v>9</v>
      </c>
      <c r="C3190" t="s">
        <v>1252</v>
      </c>
      <c r="D3190" s="5" t="s">
        <v>11</v>
      </c>
      <c r="E3190" s="5" t="s">
        <v>12</v>
      </c>
      <c r="F3190" s="3" t="s">
        <v>13</v>
      </c>
      <c r="G3190" s="3" t="s">
        <v>13</v>
      </c>
      <c r="H3190" s="3" t="s">
        <v>13</v>
      </c>
      <c r="I3190" s="3">
        <v>87439500</v>
      </c>
    </row>
    <row r="3191" spans="1:9" x14ac:dyDescent="0.35">
      <c r="A3191" t="str">
        <f>"65004"</f>
        <v>65004</v>
      </c>
      <c r="B3191" t="s">
        <v>9</v>
      </c>
      <c r="C3191" t="s">
        <v>1253</v>
      </c>
      <c r="D3191" s="5" t="s">
        <v>11</v>
      </c>
      <c r="E3191" s="5" t="s">
        <v>12</v>
      </c>
      <c r="F3191" s="3" t="s">
        <v>13</v>
      </c>
      <c r="G3191" s="3" t="s">
        <v>13</v>
      </c>
      <c r="H3191" s="3" t="s">
        <v>13</v>
      </c>
      <c r="I3191" s="3">
        <v>190082400</v>
      </c>
    </row>
    <row r="3192" spans="1:9" x14ac:dyDescent="0.35">
      <c r="A3192" t="str">
        <f>"65006"</f>
        <v>65006</v>
      </c>
      <c r="B3192" t="s">
        <v>9</v>
      </c>
      <c r="C3192" t="s">
        <v>1121</v>
      </c>
      <c r="D3192" s="5" t="s">
        <v>11</v>
      </c>
      <c r="E3192" s="5" t="s">
        <v>12</v>
      </c>
      <c r="F3192" s="3" t="s">
        <v>13</v>
      </c>
      <c r="G3192" s="3" t="s">
        <v>13</v>
      </c>
      <c r="H3192" s="3" t="s">
        <v>13</v>
      </c>
      <c r="I3192" s="3">
        <v>135987200</v>
      </c>
    </row>
    <row r="3193" spans="1:9" x14ac:dyDescent="0.35">
      <c r="A3193" t="str">
        <f>"65008"</f>
        <v>65008</v>
      </c>
      <c r="B3193" t="s">
        <v>9</v>
      </c>
      <c r="C3193" t="s">
        <v>1254</v>
      </c>
      <c r="D3193" s="5" t="s">
        <v>11</v>
      </c>
      <c r="E3193" s="5" t="s">
        <v>12</v>
      </c>
      <c r="F3193" s="3" t="s">
        <v>13</v>
      </c>
      <c r="G3193" s="3" t="s">
        <v>13</v>
      </c>
      <c r="H3193" s="3" t="s">
        <v>13</v>
      </c>
      <c r="I3193" s="3">
        <v>121325300</v>
      </c>
    </row>
    <row r="3194" spans="1:9" x14ac:dyDescent="0.35">
      <c r="A3194" t="str">
        <f>"65010"</f>
        <v>65010</v>
      </c>
      <c r="B3194" t="s">
        <v>9</v>
      </c>
      <c r="C3194" t="s">
        <v>1255</v>
      </c>
      <c r="D3194" s="5" t="s">
        <v>11</v>
      </c>
      <c r="E3194" s="5" t="s">
        <v>12</v>
      </c>
      <c r="F3194" s="3" t="s">
        <v>13</v>
      </c>
      <c r="G3194" s="3" t="s">
        <v>13</v>
      </c>
      <c r="H3194" s="3" t="s">
        <v>13</v>
      </c>
      <c r="I3194" s="3">
        <v>450007900</v>
      </c>
    </row>
    <row r="3195" spans="1:9" x14ac:dyDescent="0.35">
      <c r="A3195" t="str">
        <f>"65012"</f>
        <v>65012</v>
      </c>
      <c r="B3195" t="s">
        <v>9</v>
      </c>
      <c r="C3195" t="s">
        <v>332</v>
      </c>
      <c r="D3195" s="5" t="s">
        <v>11</v>
      </c>
      <c r="E3195" s="5" t="s">
        <v>12</v>
      </c>
      <c r="F3195" s="3" t="s">
        <v>13</v>
      </c>
      <c r="G3195" s="3" t="s">
        <v>13</v>
      </c>
      <c r="H3195" s="3" t="s">
        <v>13</v>
      </c>
      <c r="I3195" s="3">
        <v>83334800</v>
      </c>
    </row>
    <row r="3196" spans="1:9" x14ac:dyDescent="0.35">
      <c r="A3196" t="str">
        <f>"65014"</f>
        <v>65014</v>
      </c>
      <c r="B3196" t="s">
        <v>9</v>
      </c>
      <c r="C3196" t="s">
        <v>1256</v>
      </c>
      <c r="D3196" s="5" t="s">
        <v>11</v>
      </c>
      <c r="E3196" s="5" t="s">
        <v>12</v>
      </c>
      <c r="F3196" s="3" t="s">
        <v>13</v>
      </c>
      <c r="G3196" s="3" t="s">
        <v>13</v>
      </c>
      <c r="H3196" s="3" t="s">
        <v>13</v>
      </c>
      <c r="I3196" s="3">
        <v>371103500</v>
      </c>
    </row>
    <row r="3197" spans="1:9" x14ac:dyDescent="0.35">
      <c r="A3197" t="str">
        <f>"65016"</f>
        <v>65016</v>
      </c>
      <c r="B3197" t="s">
        <v>9</v>
      </c>
      <c r="C3197" t="s">
        <v>1257</v>
      </c>
      <c r="D3197" s="5" t="s">
        <v>11</v>
      </c>
      <c r="E3197" s="5" t="s">
        <v>12</v>
      </c>
      <c r="F3197" s="3" t="s">
        <v>13</v>
      </c>
      <c r="G3197" s="3" t="s">
        <v>13</v>
      </c>
      <c r="H3197" s="3" t="s">
        <v>13</v>
      </c>
      <c r="I3197" s="3">
        <v>211136000</v>
      </c>
    </row>
    <row r="3198" spans="1:9" x14ac:dyDescent="0.35">
      <c r="A3198" t="str">
        <f>"65018"</f>
        <v>65018</v>
      </c>
      <c r="B3198" t="s">
        <v>9</v>
      </c>
      <c r="C3198" t="s">
        <v>1258</v>
      </c>
      <c r="D3198" s="5" t="s">
        <v>11</v>
      </c>
      <c r="E3198" s="5" t="s">
        <v>12</v>
      </c>
      <c r="F3198" s="3" t="s">
        <v>13</v>
      </c>
      <c r="G3198" s="3" t="s">
        <v>13</v>
      </c>
      <c r="H3198" s="3" t="s">
        <v>13</v>
      </c>
      <c r="I3198" s="3">
        <v>96014600</v>
      </c>
    </row>
    <row r="3199" spans="1:9" x14ac:dyDescent="0.35">
      <c r="A3199" t="str">
        <f>"65020"</f>
        <v>65020</v>
      </c>
      <c r="B3199" t="s">
        <v>9</v>
      </c>
      <c r="C3199" t="s">
        <v>693</v>
      </c>
      <c r="D3199" s="5" t="s">
        <v>11</v>
      </c>
      <c r="E3199" s="5" t="s">
        <v>12</v>
      </c>
      <c r="F3199" s="3" t="s">
        <v>13</v>
      </c>
      <c r="G3199" s="3" t="s">
        <v>13</v>
      </c>
      <c r="H3199" s="3" t="s">
        <v>13</v>
      </c>
      <c r="I3199" s="3">
        <v>213795900</v>
      </c>
    </row>
    <row r="3200" spans="1:9" x14ac:dyDescent="0.35">
      <c r="A3200" t="str">
        <f>"65022"</f>
        <v>65022</v>
      </c>
      <c r="B3200" t="s">
        <v>9</v>
      </c>
      <c r="C3200" t="s">
        <v>1259</v>
      </c>
      <c r="D3200" s="5" t="s">
        <v>11</v>
      </c>
      <c r="E3200" s="5" t="s">
        <v>12</v>
      </c>
      <c r="F3200" s="3" t="s">
        <v>13</v>
      </c>
      <c r="G3200" s="3" t="s">
        <v>13</v>
      </c>
      <c r="H3200" s="3" t="s">
        <v>13</v>
      </c>
      <c r="I3200" s="3">
        <v>28397600</v>
      </c>
    </row>
    <row r="3201" spans="1:9" x14ac:dyDescent="0.35">
      <c r="A3201" t="str">
        <f>"65024"</f>
        <v>65024</v>
      </c>
      <c r="B3201" t="s">
        <v>9</v>
      </c>
      <c r="C3201" t="s">
        <v>1260</v>
      </c>
      <c r="D3201" s="5" t="s">
        <v>11</v>
      </c>
      <c r="E3201" s="5" t="s">
        <v>12</v>
      </c>
      <c r="F3201" s="3" t="s">
        <v>13</v>
      </c>
      <c r="G3201" s="3" t="s">
        <v>13</v>
      </c>
      <c r="H3201" s="3" t="s">
        <v>13</v>
      </c>
      <c r="I3201" s="3">
        <v>81245800</v>
      </c>
    </row>
    <row r="3202" spans="1:9" x14ac:dyDescent="0.35">
      <c r="A3202" t="str">
        <f>"65026"</f>
        <v>65026</v>
      </c>
      <c r="B3202" t="s">
        <v>9</v>
      </c>
      <c r="C3202" t="s">
        <v>453</v>
      </c>
      <c r="D3202" s="5" t="s">
        <v>11</v>
      </c>
      <c r="E3202" s="5" t="s">
        <v>12</v>
      </c>
      <c r="F3202" s="3" t="s">
        <v>13</v>
      </c>
      <c r="G3202" s="3" t="s">
        <v>13</v>
      </c>
      <c r="H3202" s="3" t="s">
        <v>13</v>
      </c>
      <c r="I3202" s="3">
        <v>442867700</v>
      </c>
    </row>
    <row r="3203" spans="1:9" x14ac:dyDescent="0.35">
      <c r="A3203" t="str">
        <f>"65028"</f>
        <v>65028</v>
      </c>
      <c r="B3203" t="s">
        <v>9</v>
      </c>
      <c r="C3203" t="s">
        <v>1261</v>
      </c>
      <c r="D3203" s="5" t="s">
        <v>11</v>
      </c>
      <c r="E3203" s="5" t="s">
        <v>12</v>
      </c>
      <c r="F3203" s="3" t="s">
        <v>13</v>
      </c>
      <c r="G3203" s="3" t="s">
        <v>13</v>
      </c>
      <c r="H3203" s="3" t="s">
        <v>13</v>
      </c>
      <c r="I3203" s="3">
        <v>274933800</v>
      </c>
    </row>
    <row r="3204" spans="1:9" x14ac:dyDescent="0.35">
      <c r="A3204" t="str">
        <f>"65030"</f>
        <v>65030</v>
      </c>
      <c r="B3204" t="s">
        <v>9</v>
      </c>
      <c r="C3204" t="s">
        <v>1262</v>
      </c>
      <c r="D3204" s="5" t="s">
        <v>11</v>
      </c>
      <c r="E3204" s="5" t="s">
        <v>12</v>
      </c>
      <c r="F3204" s="3" t="s">
        <v>13</v>
      </c>
      <c r="G3204" s="3" t="s">
        <v>13</v>
      </c>
      <c r="H3204" s="3" t="s">
        <v>13</v>
      </c>
      <c r="I3204" s="3">
        <v>719541400</v>
      </c>
    </row>
    <row r="3205" spans="1:9" x14ac:dyDescent="0.35">
      <c r="A3205" t="str">
        <f>"65032"</f>
        <v>65032</v>
      </c>
      <c r="B3205" t="s">
        <v>9</v>
      </c>
      <c r="C3205" t="s">
        <v>1263</v>
      </c>
      <c r="D3205" s="5" t="s">
        <v>11</v>
      </c>
      <c r="E3205" s="5" t="s">
        <v>12</v>
      </c>
      <c r="F3205" s="3" t="s">
        <v>13</v>
      </c>
      <c r="G3205" s="3" t="s">
        <v>13</v>
      </c>
      <c r="H3205" s="3" t="s">
        <v>13</v>
      </c>
      <c r="I3205" s="3">
        <v>119199100</v>
      </c>
    </row>
    <row r="3206" spans="1:9" x14ac:dyDescent="0.35">
      <c r="A3206" t="str">
        <f>"65034"</f>
        <v>65034</v>
      </c>
      <c r="B3206" t="s">
        <v>9</v>
      </c>
      <c r="C3206" t="s">
        <v>1264</v>
      </c>
      <c r="D3206" s="5" t="s">
        <v>11</v>
      </c>
      <c r="E3206" s="5" t="s">
        <v>12</v>
      </c>
      <c r="F3206" s="3" t="s">
        <v>13</v>
      </c>
      <c r="G3206" s="3" t="s">
        <v>13</v>
      </c>
      <c r="H3206" s="3" t="s">
        <v>13</v>
      </c>
      <c r="I3206" s="3">
        <v>211121700</v>
      </c>
    </row>
    <row r="3207" spans="1:9" x14ac:dyDescent="0.35">
      <c r="A3207" t="str">
        <f>"65036"</f>
        <v>65036</v>
      </c>
      <c r="B3207" t="s">
        <v>9</v>
      </c>
      <c r="C3207" t="s">
        <v>1265</v>
      </c>
      <c r="D3207" s="5" t="s">
        <v>11</v>
      </c>
      <c r="E3207" s="5" t="s">
        <v>12</v>
      </c>
      <c r="F3207" s="3" t="s">
        <v>13</v>
      </c>
      <c r="G3207" s="3" t="s">
        <v>13</v>
      </c>
      <c r="H3207" s="3" t="s">
        <v>13</v>
      </c>
      <c r="I3207" s="3">
        <v>87348700</v>
      </c>
    </row>
    <row r="3208" spans="1:9" x14ac:dyDescent="0.35">
      <c r="A3208" t="str">
        <f>"65038"</f>
        <v>65038</v>
      </c>
      <c r="B3208" t="s">
        <v>9</v>
      </c>
      <c r="C3208" t="s">
        <v>1266</v>
      </c>
      <c r="D3208" s="5" t="s">
        <v>11</v>
      </c>
      <c r="E3208" s="5" t="s">
        <v>12</v>
      </c>
      <c r="F3208" s="3" t="s">
        <v>13</v>
      </c>
      <c r="G3208" s="3" t="s">
        <v>13</v>
      </c>
      <c r="H3208" s="3" t="s">
        <v>13</v>
      </c>
      <c r="I3208" s="3">
        <v>40458400</v>
      </c>
    </row>
    <row r="3209" spans="1:9" x14ac:dyDescent="0.35">
      <c r="A3209" t="str">
        <f>"65040"</f>
        <v>65040</v>
      </c>
      <c r="B3209" t="s">
        <v>9</v>
      </c>
      <c r="C3209" t="s">
        <v>1267</v>
      </c>
      <c r="D3209" s="5" t="s">
        <v>11</v>
      </c>
      <c r="E3209" s="5" t="s">
        <v>12</v>
      </c>
      <c r="F3209" s="3" t="s">
        <v>13</v>
      </c>
      <c r="G3209" s="3" t="s">
        <v>13</v>
      </c>
      <c r="H3209" s="3" t="s">
        <v>13</v>
      </c>
      <c r="I3209" s="3">
        <v>155804200</v>
      </c>
    </row>
    <row r="3210" spans="1:9" x14ac:dyDescent="0.35">
      <c r="A3210" t="str">
        <f>"65042"</f>
        <v>65042</v>
      </c>
      <c r="B3210" t="s">
        <v>9</v>
      </c>
      <c r="C3210" t="s">
        <v>1268</v>
      </c>
      <c r="D3210" s="5" t="s">
        <v>11</v>
      </c>
      <c r="E3210" s="5" t="s">
        <v>12</v>
      </c>
      <c r="F3210" s="3" t="s">
        <v>13</v>
      </c>
      <c r="G3210" s="3" t="s">
        <v>13</v>
      </c>
      <c r="H3210" s="3" t="s">
        <v>13</v>
      </c>
      <c r="I3210" s="3">
        <v>293219300</v>
      </c>
    </row>
    <row r="3211" spans="1:9" x14ac:dyDescent="0.35">
      <c r="A3211" t="s">
        <v>30</v>
      </c>
      <c r="B3211" t="s">
        <v>31</v>
      </c>
      <c r="C3211" t="s">
        <v>32</v>
      </c>
      <c r="D3211" s="5" t="s">
        <v>11</v>
      </c>
      <c r="E3211" s="5" t="s">
        <v>12</v>
      </c>
      <c r="F3211" s="3" t="s">
        <v>13</v>
      </c>
      <c r="G3211" s="3" t="s">
        <v>13</v>
      </c>
      <c r="H3211" s="3" t="s">
        <v>13</v>
      </c>
      <c r="I3211" s="3">
        <v>4414364800</v>
      </c>
    </row>
    <row r="3212" spans="1:9" x14ac:dyDescent="0.35">
      <c r="A3212" t="str">
        <f>"65106"</f>
        <v>65106</v>
      </c>
      <c r="B3212" t="s">
        <v>33</v>
      </c>
      <c r="C3212" t="s">
        <v>1255</v>
      </c>
      <c r="D3212" s="5" t="str">
        <f>"001"</f>
        <v>001</v>
      </c>
      <c r="E3212" s="5">
        <v>2004</v>
      </c>
      <c r="F3212" s="3">
        <v>1766800</v>
      </c>
      <c r="G3212" s="3">
        <v>6390800</v>
      </c>
      <c r="H3212" s="3">
        <v>4624000</v>
      </c>
    </row>
    <row r="3213" spans="1:9" x14ac:dyDescent="0.35">
      <c r="A3213" t="str">
        <f>"65106"</f>
        <v>65106</v>
      </c>
      <c r="B3213" t="s">
        <v>33</v>
      </c>
      <c r="C3213" t="s">
        <v>1255</v>
      </c>
      <c r="D3213" s="5" t="s">
        <v>11</v>
      </c>
      <c r="E3213" s="5" t="s">
        <v>12</v>
      </c>
      <c r="F3213" s="3" t="s">
        <v>13</v>
      </c>
      <c r="G3213" s="3" t="s">
        <v>13</v>
      </c>
      <c r="H3213" s="3" t="s">
        <v>13</v>
      </c>
      <c r="I3213" s="3">
        <v>72854900</v>
      </c>
    </row>
    <row r="3214" spans="1:9" x14ac:dyDescent="0.35">
      <c r="A3214" t="str">
        <f>"65151"</f>
        <v>65151</v>
      </c>
      <c r="B3214" t="s">
        <v>33</v>
      </c>
      <c r="C3214" t="s">
        <v>1262</v>
      </c>
      <c r="D3214" s="5" t="str">
        <f>"003"</f>
        <v>003</v>
      </c>
      <c r="E3214" s="5">
        <v>2010</v>
      </c>
      <c r="F3214" s="3">
        <v>84900</v>
      </c>
      <c r="G3214" s="3">
        <v>1432000</v>
      </c>
      <c r="H3214" s="3">
        <v>1347100</v>
      </c>
    </row>
    <row r="3215" spans="1:9" x14ac:dyDescent="0.35">
      <c r="A3215" t="str">
        <f>"65151"</f>
        <v>65151</v>
      </c>
      <c r="B3215" t="s">
        <v>33</v>
      </c>
      <c r="C3215" t="s">
        <v>1262</v>
      </c>
      <c r="D3215" s="5" t="str">
        <f>"004"</f>
        <v>004</v>
      </c>
      <c r="E3215" s="5">
        <v>2019</v>
      </c>
      <c r="F3215" s="3">
        <v>933000</v>
      </c>
      <c r="G3215" s="3">
        <v>3045500</v>
      </c>
      <c r="H3215" s="3">
        <v>2112500</v>
      </c>
    </row>
    <row r="3216" spans="1:9" x14ac:dyDescent="0.35">
      <c r="A3216" t="str">
        <f>"65151"</f>
        <v>65151</v>
      </c>
      <c r="B3216" t="s">
        <v>33</v>
      </c>
      <c r="C3216" t="s">
        <v>1262</v>
      </c>
      <c r="D3216" s="5" t="s">
        <v>11</v>
      </c>
      <c r="E3216" s="5" t="s">
        <v>12</v>
      </c>
      <c r="F3216" s="3" t="s">
        <v>13</v>
      </c>
      <c r="G3216" s="3" t="s">
        <v>13</v>
      </c>
      <c r="H3216" s="3" t="s">
        <v>13</v>
      </c>
      <c r="I3216" s="3">
        <v>62842500</v>
      </c>
    </row>
    <row r="3217" spans="1:9" x14ac:dyDescent="0.35">
      <c r="A3217" t="s">
        <v>30</v>
      </c>
      <c r="B3217" t="s">
        <v>35</v>
      </c>
      <c r="C3217" t="s">
        <v>32</v>
      </c>
      <c r="D3217" s="5" t="s">
        <v>11</v>
      </c>
      <c r="E3217" s="5" t="s">
        <v>12</v>
      </c>
      <c r="F3217" s="3" t="s">
        <v>13</v>
      </c>
      <c r="G3217" s="3" t="s">
        <v>13</v>
      </c>
      <c r="H3217" s="3" t="s">
        <v>13</v>
      </c>
      <c r="I3217" s="3">
        <v>135697400</v>
      </c>
    </row>
    <row r="3218" spans="1:9" x14ac:dyDescent="0.35">
      <c r="A3218" t="str">
        <f>"65281"</f>
        <v>65281</v>
      </c>
      <c r="B3218" t="s">
        <v>36</v>
      </c>
      <c r="C3218" t="s">
        <v>1264</v>
      </c>
      <c r="D3218" s="5" t="s">
        <v>11</v>
      </c>
      <c r="E3218" s="5" t="s">
        <v>12</v>
      </c>
      <c r="F3218" s="3" t="s">
        <v>13</v>
      </c>
      <c r="G3218" s="3" t="s">
        <v>13</v>
      </c>
      <c r="H3218" s="3" t="s">
        <v>13</v>
      </c>
      <c r="I3218" s="3">
        <v>278077300</v>
      </c>
    </row>
    <row r="3219" spans="1:9" x14ac:dyDescent="0.35">
      <c r="A3219" t="str">
        <f>"65282"</f>
        <v>65282</v>
      </c>
      <c r="B3219" t="s">
        <v>36</v>
      </c>
      <c r="C3219" t="s">
        <v>1269</v>
      </c>
      <c r="D3219" s="5" t="s">
        <v>11</v>
      </c>
      <c r="E3219" s="5" t="s">
        <v>12</v>
      </c>
      <c r="F3219" s="3" t="s">
        <v>13</v>
      </c>
      <c r="G3219" s="3" t="s">
        <v>13</v>
      </c>
      <c r="H3219" s="3" t="s">
        <v>13</v>
      </c>
      <c r="I3219" s="3">
        <v>472950700</v>
      </c>
    </row>
    <row r="3220" spans="1:9" x14ac:dyDescent="0.35">
      <c r="A3220" t="s">
        <v>30</v>
      </c>
      <c r="B3220" t="s">
        <v>38</v>
      </c>
      <c r="C3220" t="s">
        <v>32</v>
      </c>
      <c r="D3220" s="5" t="s">
        <v>11</v>
      </c>
      <c r="E3220" s="5" t="s">
        <v>12</v>
      </c>
      <c r="F3220" s="3" t="s">
        <v>13</v>
      </c>
      <c r="G3220" s="3" t="s">
        <v>13</v>
      </c>
      <c r="H3220" s="3" t="s">
        <v>13</v>
      </c>
      <c r="I3220" s="3">
        <v>751028000</v>
      </c>
    </row>
    <row r="3221" spans="1:9" x14ac:dyDescent="0.35">
      <c r="A3221" t="s">
        <v>30</v>
      </c>
      <c r="B3221" t="s">
        <v>39</v>
      </c>
      <c r="C3221" t="s">
        <v>106</v>
      </c>
      <c r="D3221" s="5" t="s">
        <v>11</v>
      </c>
      <c r="E3221" s="5" t="s">
        <v>12</v>
      </c>
      <c r="F3221" s="3" t="s">
        <v>13</v>
      </c>
      <c r="G3221" s="3" t="s">
        <v>13</v>
      </c>
      <c r="H3221" s="3" t="s">
        <v>13</v>
      </c>
      <c r="I3221" s="3">
        <v>5301090200</v>
      </c>
    </row>
    <row r="3222" spans="1:9" x14ac:dyDescent="0.35">
      <c r="A3222" t="str">
        <f>"66002"</f>
        <v>66002</v>
      </c>
      <c r="B3222" t="s">
        <v>9</v>
      </c>
      <c r="C3222" t="s">
        <v>1270</v>
      </c>
      <c r="D3222" s="5" t="s">
        <v>11</v>
      </c>
      <c r="E3222" s="5" t="s">
        <v>12</v>
      </c>
      <c r="F3222" s="3" t="s">
        <v>13</v>
      </c>
      <c r="G3222" s="3" t="s">
        <v>13</v>
      </c>
      <c r="H3222" s="3" t="s">
        <v>13</v>
      </c>
      <c r="I3222" s="3">
        <v>659284300</v>
      </c>
    </row>
    <row r="3223" spans="1:9" x14ac:dyDescent="0.35">
      <c r="A3223" t="str">
        <f>"66004"</f>
        <v>66004</v>
      </c>
      <c r="B3223" t="s">
        <v>9</v>
      </c>
      <c r="C3223" t="s">
        <v>1271</v>
      </c>
      <c r="D3223" s="5" t="s">
        <v>11</v>
      </c>
      <c r="E3223" s="5" t="s">
        <v>12</v>
      </c>
      <c r="F3223" s="3" t="s">
        <v>13</v>
      </c>
      <c r="G3223" s="3" t="s">
        <v>13</v>
      </c>
      <c r="H3223" s="3" t="s">
        <v>13</v>
      </c>
      <c r="I3223" s="3">
        <v>630193200</v>
      </c>
    </row>
    <row r="3224" spans="1:9" x14ac:dyDescent="0.35">
      <c r="A3224" t="str">
        <f>"66006"</f>
        <v>66006</v>
      </c>
      <c r="B3224" t="s">
        <v>9</v>
      </c>
      <c r="C3224" t="s">
        <v>1272</v>
      </c>
      <c r="D3224" s="5" t="s">
        <v>11</v>
      </c>
      <c r="E3224" s="5" t="s">
        <v>12</v>
      </c>
      <c r="F3224" s="3" t="s">
        <v>13</v>
      </c>
      <c r="G3224" s="3" t="s">
        <v>13</v>
      </c>
      <c r="H3224" s="3" t="s">
        <v>13</v>
      </c>
      <c r="I3224" s="3">
        <v>1211425200</v>
      </c>
    </row>
    <row r="3225" spans="1:9" x14ac:dyDescent="0.35">
      <c r="A3225" t="str">
        <f>"66008"</f>
        <v>66008</v>
      </c>
      <c r="B3225" t="s">
        <v>9</v>
      </c>
      <c r="C3225" t="s">
        <v>605</v>
      </c>
      <c r="D3225" s="5" t="s">
        <v>11</v>
      </c>
      <c r="E3225" s="5" t="s">
        <v>12</v>
      </c>
      <c r="F3225" s="3" t="s">
        <v>13</v>
      </c>
      <c r="G3225" s="3" t="s">
        <v>13</v>
      </c>
      <c r="H3225" s="3" t="s">
        <v>13</v>
      </c>
      <c r="I3225" s="3">
        <v>775933400</v>
      </c>
    </row>
    <row r="3226" spans="1:9" x14ac:dyDescent="0.35">
      <c r="A3226" t="str">
        <f>"66010"</f>
        <v>66010</v>
      </c>
      <c r="B3226" t="s">
        <v>9</v>
      </c>
      <c r="C3226" t="s">
        <v>622</v>
      </c>
      <c r="D3226" s="5" t="s">
        <v>11</v>
      </c>
      <c r="E3226" s="5" t="s">
        <v>12</v>
      </c>
      <c r="F3226" s="3" t="s">
        <v>13</v>
      </c>
      <c r="G3226" s="3" t="s">
        <v>13</v>
      </c>
      <c r="H3226" s="3" t="s">
        <v>13</v>
      </c>
      <c r="I3226" s="3">
        <v>48737900</v>
      </c>
    </row>
    <row r="3227" spans="1:9" x14ac:dyDescent="0.35">
      <c r="A3227" t="str">
        <f>"66012"</f>
        <v>66012</v>
      </c>
      <c r="B3227" t="s">
        <v>9</v>
      </c>
      <c r="C3227" t="s">
        <v>374</v>
      </c>
      <c r="D3227" s="5" t="s">
        <v>11</v>
      </c>
      <c r="E3227" s="5" t="s">
        <v>12</v>
      </c>
      <c r="F3227" s="3" t="s">
        <v>13</v>
      </c>
      <c r="G3227" s="3" t="s">
        <v>13</v>
      </c>
      <c r="H3227" s="3" t="s">
        <v>13</v>
      </c>
      <c r="I3227" s="3">
        <v>720665500</v>
      </c>
    </row>
    <row r="3228" spans="1:9" x14ac:dyDescent="0.35">
      <c r="A3228" t="str">
        <f>"66014"</f>
        <v>66014</v>
      </c>
      <c r="B3228" t="s">
        <v>9</v>
      </c>
      <c r="C3228" t="s">
        <v>18</v>
      </c>
      <c r="D3228" s="5" t="s">
        <v>11</v>
      </c>
      <c r="E3228" s="5" t="s">
        <v>12</v>
      </c>
      <c r="F3228" s="3" t="s">
        <v>13</v>
      </c>
      <c r="G3228" s="3" t="s">
        <v>13</v>
      </c>
      <c r="H3228" s="3" t="s">
        <v>13</v>
      </c>
      <c r="I3228" s="3">
        <v>890332300</v>
      </c>
    </row>
    <row r="3229" spans="1:9" x14ac:dyDescent="0.35">
      <c r="A3229" t="str">
        <f>"66016"</f>
        <v>66016</v>
      </c>
      <c r="B3229" t="s">
        <v>9</v>
      </c>
      <c r="C3229" t="s">
        <v>474</v>
      </c>
      <c r="D3229" s="5" t="s">
        <v>11</v>
      </c>
      <c r="E3229" s="5" t="s">
        <v>12</v>
      </c>
      <c r="F3229" s="3" t="s">
        <v>13</v>
      </c>
      <c r="G3229" s="3" t="s">
        <v>13</v>
      </c>
      <c r="H3229" s="3" t="s">
        <v>13</v>
      </c>
      <c r="I3229" s="3">
        <v>249492800</v>
      </c>
    </row>
    <row r="3230" spans="1:9" x14ac:dyDescent="0.35">
      <c r="A3230" t="str">
        <f>"66018"</f>
        <v>66018</v>
      </c>
      <c r="B3230" t="s">
        <v>9</v>
      </c>
      <c r="C3230" t="s">
        <v>973</v>
      </c>
      <c r="D3230" s="5" t="s">
        <v>11</v>
      </c>
      <c r="E3230" s="5" t="s">
        <v>12</v>
      </c>
      <c r="F3230" s="3" t="s">
        <v>13</v>
      </c>
      <c r="G3230" s="3" t="s">
        <v>13</v>
      </c>
      <c r="H3230" s="3" t="s">
        <v>13</v>
      </c>
      <c r="I3230" s="3">
        <v>1288822500</v>
      </c>
    </row>
    <row r="3231" spans="1:9" x14ac:dyDescent="0.35">
      <c r="A3231" t="str">
        <f>"66022"</f>
        <v>66022</v>
      </c>
      <c r="B3231" t="s">
        <v>9</v>
      </c>
      <c r="C3231" t="s">
        <v>367</v>
      </c>
      <c r="D3231" s="5" t="s">
        <v>11</v>
      </c>
      <c r="E3231" s="5" t="s">
        <v>12</v>
      </c>
      <c r="F3231" s="3" t="s">
        <v>13</v>
      </c>
      <c r="G3231" s="3" t="s">
        <v>13</v>
      </c>
      <c r="H3231" s="3" t="s">
        <v>13</v>
      </c>
      <c r="I3231" s="3">
        <v>972981300</v>
      </c>
    </row>
    <row r="3232" spans="1:9" x14ac:dyDescent="0.35">
      <c r="A3232" t="str">
        <f>"66024"</f>
        <v>66024</v>
      </c>
      <c r="B3232" t="s">
        <v>9</v>
      </c>
      <c r="C3232" t="s">
        <v>684</v>
      </c>
      <c r="D3232" s="5" t="s">
        <v>11</v>
      </c>
      <c r="E3232" s="5" t="s">
        <v>12</v>
      </c>
      <c r="F3232" s="3" t="s">
        <v>13</v>
      </c>
      <c r="G3232" s="3" t="s">
        <v>13</v>
      </c>
      <c r="H3232" s="3" t="s">
        <v>13</v>
      </c>
      <c r="I3232" s="3">
        <v>480512900</v>
      </c>
    </row>
    <row r="3233" spans="1:9" x14ac:dyDescent="0.35">
      <c r="A3233" t="str">
        <f>"66026"</f>
        <v>66026</v>
      </c>
      <c r="B3233" t="s">
        <v>9</v>
      </c>
      <c r="C3233" t="s">
        <v>1273</v>
      </c>
      <c r="D3233" s="5" t="s">
        <v>11</v>
      </c>
      <c r="E3233" s="5" t="s">
        <v>12</v>
      </c>
      <c r="F3233" s="3" t="s">
        <v>13</v>
      </c>
      <c r="G3233" s="3" t="s">
        <v>13</v>
      </c>
      <c r="H3233" s="3" t="s">
        <v>13</v>
      </c>
      <c r="I3233" s="3">
        <v>1890183800</v>
      </c>
    </row>
    <row r="3234" spans="1:9" x14ac:dyDescent="0.35">
      <c r="A3234" t="s">
        <v>30</v>
      </c>
      <c r="B3234" t="s">
        <v>31</v>
      </c>
      <c r="C3234" t="s">
        <v>32</v>
      </c>
      <c r="D3234" s="5" t="s">
        <v>11</v>
      </c>
      <c r="E3234" s="5" t="s">
        <v>12</v>
      </c>
      <c r="F3234" s="3" t="s">
        <v>13</v>
      </c>
      <c r="G3234" s="3" t="s">
        <v>13</v>
      </c>
      <c r="H3234" s="3" t="s">
        <v>13</v>
      </c>
      <c r="I3234" s="3">
        <v>9818565100</v>
      </c>
    </row>
    <row r="3235" spans="1:9" x14ac:dyDescent="0.35">
      <c r="A3235" t="str">
        <f>"66131"</f>
        <v>66131</v>
      </c>
      <c r="B3235" t="s">
        <v>33</v>
      </c>
      <c r="C3235" t="s">
        <v>622</v>
      </c>
      <c r="D3235" s="5" t="str">
        <f>"006"</f>
        <v>006</v>
      </c>
      <c r="E3235" s="5">
        <v>2014</v>
      </c>
      <c r="F3235" s="3">
        <v>2796400</v>
      </c>
      <c r="G3235" s="3">
        <v>65605900</v>
      </c>
      <c r="H3235" s="3">
        <v>62809500</v>
      </c>
    </row>
    <row r="3236" spans="1:9" x14ac:dyDescent="0.35">
      <c r="A3236" t="str">
        <f>"66131"</f>
        <v>66131</v>
      </c>
      <c r="B3236" t="s">
        <v>33</v>
      </c>
      <c r="C3236" t="s">
        <v>622</v>
      </c>
      <c r="D3236" s="5" t="str">
        <f>"007"</f>
        <v>007</v>
      </c>
      <c r="E3236" s="5">
        <v>2018</v>
      </c>
      <c r="F3236" s="3">
        <v>9892300</v>
      </c>
      <c r="G3236" s="3">
        <v>91823700</v>
      </c>
      <c r="H3236" s="3">
        <v>81931400</v>
      </c>
    </row>
    <row r="3237" spans="1:9" x14ac:dyDescent="0.35">
      <c r="A3237" t="str">
        <f>"66131"</f>
        <v>66131</v>
      </c>
      <c r="B3237" t="s">
        <v>33</v>
      </c>
      <c r="C3237" t="s">
        <v>622</v>
      </c>
      <c r="D3237" s="5" t="str">
        <f>"008"</f>
        <v>008</v>
      </c>
      <c r="E3237" s="5">
        <v>2018</v>
      </c>
      <c r="F3237" s="3">
        <v>640700</v>
      </c>
      <c r="G3237" s="3">
        <v>268443100</v>
      </c>
      <c r="H3237" s="3">
        <v>267802400</v>
      </c>
    </row>
    <row r="3238" spans="1:9" x14ac:dyDescent="0.35">
      <c r="A3238" t="str">
        <f>"66131"</f>
        <v>66131</v>
      </c>
      <c r="B3238" t="s">
        <v>33</v>
      </c>
      <c r="C3238" t="s">
        <v>622</v>
      </c>
      <c r="D3238" s="5" t="str">
        <f>"009"</f>
        <v>009</v>
      </c>
      <c r="E3238" s="5">
        <v>2022</v>
      </c>
      <c r="F3238" s="3">
        <v>21361400</v>
      </c>
      <c r="G3238" s="3">
        <v>52972700</v>
      </c>
      <c r="H3238" s="3">
        <v>31611300</v>
      </c>
    </row>
    <row r="3239" spans="1:9" x14ac:dyDescent="0.35">
      <c r="A3239" t="str">
        <f>"66131"</f>
        <v>66131</v>
      </c>
      <c r="B3239" t="s">
        <v>33</v>
      </c>
      <c r="C3239" t="s">
        <v>622</v>
      </c>
      <c r="D3239" s="5" t="s">
        <v>11</v>
      </c>
      <c r="E3239" s="5" t="s">
        <v>12</v>
      </c>
      <c r="F3239" s="3" t="s">
        <v>13</v>
      </c>
      <c r="G3239" s="3" t="s">
        <v>13</v>
      </c>
      <c r="H3239" s="3" t="s">
        <v>13</v>
      </c>
      <c r="I3239" s="3">
        <v>4313357200</v>
      </c>
    </row>
    <row r="3240" spans="1:9" x14ac:dyDescent="0.35">
      <c r="A3240" t="str">
        <f>"66141"</f>
        <v>66141</v>
      </c>
      <c r="B3240" t="s">
        <v>33</v>
      </c>
      <c r="C3240" t="s">
        <v>18</v>
      </c>
      <c r="D3240" s="5" t="str">
        <f>"005"</f>
        <v>005</v>
      </c>
      <c r="E3240" s="5">
        <v>2014</v>
      </c>
      <c r="F3240" s="3">
        <v>933100</v>
      </c>
      <c r="G3240" s="3">
        <v>8305300</v>
      </c>
      <c r="H3240" s="3">
        <v>7372200</v>
      </c>
    </row>
    <row r="3241" spans="1:9" x14ac:dyDescent="0.35">
      <c r="A3241" t="str">
        <f>"66141"</f>
        <v>66141</v>
      </c>
      <c r="B3241" t="s">
        <v>33</v>
      </c>
      <c r="C3241" t="s">
        <v>18</v>
      </c>
      <c r="D3241" s="5" t="str">
        <f>"006"</f>
        <v>006</v>
      </c>
      <c r="E3241" s="5">
        <v>2018</v>
      </c>
      <c r="F3241" s="3">
        <v>474900</v>
      </c>
      <c r="G3241" s="3">
        <v>39534300</v>
      </c>
      <c r="H3241" s="3">
        <v>39059400</v>
      </c>
    </row>
    <row r="3242" spans="1:9" x14ac:dyDescent="0.35">
      <c r="A3242" t="str">
        <f>"66141"</f>
        <v>66141</v>
      </c>
      <c r="B3242" t="s">
        <v>33</v>
      </c>
      <c r="C3242" t="s">
        <v>18</v>
      </c>
      <c r="D3242" s="5" t="str">
        <f>"007"</f>
        <v>007</v>
      </c>
      <c r="E3242" s="5">
        <v>2019</v>
      </c>
      <c r="F3242" s="3">
        <v>8854300</v>
      </c>
      <c r="G3242" s="3">
        <v>37263600</v>
      </c>
      <c r="H3242" s="3">
        <v>28409300</v>
      </c>
    </row>
    <row r="3243" spans="1:9" x14ac:dyDescent="0.35">
      <c r="A3243" t="str">
        <f>"66141"</f>
        <v>66141</v>
      </c>
      <c r="B3243" t="s">
        <v>33</v>
      </c>
      <c r="C3243" t="s">
        <v>18</v>
      </c>
      <c r="D3243" s="5" t="s">
        <v>11</v>
      </c>
      <c r="E3243" s="5" t="s">
        <v>12</v>
      </c>
      <c r="F3243" s="3" t="s">
        <v>13</v>
      </c>
      <c r="G3243" s="3" t="s">
        <v>13</v>
      </c>
      <c r="H3243" s="3" t="s">
        <v>13</v>
      </c>
      <c r="I3243" s="3">
        <v>1470166900</v>
      </c>
    </row>
    <row r="3244" spans="1:9" x14ac:dyDescent="0.35">
      <c r="A3244" t="str">
        <f t="shared" ref="A3244:A3249" si="73">"66142"</f>
        <v>66142</v>
      </c>
      <c r="B3244" t="s">
        <v>33</v>
      </c>
      <c r="C3244" t="s">
        <v>474</v>
      </c>
      <c r="D3244" s="5" t="str">
        <f>"002"</f>
        <v>002</v>
      </c>
      <c r="E3244" s="5">
        <v>2005</v>
      </c>
      <c r="F3244" s="3">
        <v>1785700</v>
      </c>
      <c r="G3244" s="3">
        <v>47322400</v>
      </c>
      <c r="H3244" s="3">
        <v>45536700</v>
      </c>
    </row>
    <row r="3245" spans="1:9" x14ac:dyDescent="0.35">
      <c r="A3245" t="str">
        <f t="shared" si="73"/>
        <v>66142</v>
      </c>
      <c r="B3245" t="s">
        <v>33</v>
      </c>
      <c r="C3245" t="s">
        <v>474</v>
      </c>
      <c r="D3245" s="5" t="str">
        <f>"003"</f>
        <v>003</v>
      </c>
      <c r="E3245" s="5">
        <v>2021</v>
      </c>
      <c r="F3245" s="3">
        <v>4141200</v>
      </c>
      <c r="G3245" s="3">
        <v>10862600</v>
      </c>
      <c r="H3245" s="3">
        <v>6721400</v>
      </c>
    </row>
    <row r="3246" spans="1:9" x14ac:dyDescent="0.35">
      <c r="A3246" t="str">
        <f t="shared" si="73"/>
        <v>66142</v>
      </c>
      <c r="B3246" t="s">
        <v>33</v>
      </c>
      <c r="C3246" t="s">
        <v>474</v>
      </c>
      <c r="D3246" s="5" t="str">
        <f>"004"</f>
        <v>004</v>
      </c>
      <c r="E3246" s="5">
        <v>2023</v>
      </c>
      <c r="F3246" s="3">
        <v>334500</v>
      </c>
      <c r="G3246" s="3">
        <v>26598100</v>
      </c>
      <c r="H3246" s="3">
        <v>26263600</v>
      </c>
    </row>
    <row r="3247" spans="1:9" x14ac:dyDescent="0.35">
      <c r="A3247" t="str">
        <f t="shared" si="73"/>
        <v>66142</v>
      </c>
      <c r="B3247" t="s">
        <v>33</v>
      </c>
      <c r="C3247" t="s">
        <v>474</v>
      </c>
      <c r="D3247" s="5" t="str">
        <f>"005"</f>
        <v>005</v>
      </c>
      <c r="E3247" s="5">
        <v>2025</v>
      </c>
      <c r="F3247" s="3">
        <v>251100</v>
      </c>
      <c r="G3247" s="3">
        <v>3603600</v>
      </c>
      <c r="H3247" s="3">
        <v>3352500</v>
      </c>
    </row>
    <row r="3248" spans="1:9" x14ac:dyDescent="0.35">
      <c r="A3248" t="str">
        <f t="shared" si="73"/>
        <v>66142</v>
      </c>
      <c r="B3248" t="s">
        <v>33</v>
      </c>
      <c r="C3248" t="s">
        <v>474</v>
      </c>
      <c r="D3248" s="5" t="str">
        <f>"006"</f>
        <v>006</v>
      </c>
      <c r="E3248" s="5">
        <v>2025</v>
      </c>
      <c r="F3248" s="3">
        <v>21674400</v>
      </c>
      <c r="G3248" s="3">
        <v>22074300</v>
      </c>
      <c r="H3248" s="3">
        <v>399900</v>
      </c>
    </row>
    <row r="3249" spans="1:9" x14ac:dyDescent="0.35">
      <c r="A3249" t="str">
        <f t="shared" si="73"/>
        <v>66142</v>
      </c>
      <c r="B3249" t="s">
        <v>33</v>
      </c>
      <c r="C3249" t="s">
        <v>474</v>
      </c>
      <c r="D3249" s="5" t="s">
        <v>11</v>
      </c>
      <c r="E3249" s="5" t="s">
        <v>12</v>
      </c>
      <c r="F3249" s="3" t="s">
        <v>13</v>
      </c>
      <c r="G3249" s="3" t="s">
        <v>13</v>
      </c>
      <c r="H3249" s="3" t="s">
        <v>13</v>
      </c>
      <c r="I3249" s="3">
        <v>567487500</v>
      </c>
    </row>
    <row r="3250" spans="1:9" x14ac:dyDescent="0.35">
      <c r="A3250" t="str">
        <f>"66161"</f>
        <v>66161</v>
      </c>
      <c r="B3250" t="s">
        <v>33</v>
      </c>
      <c r="C3250" t="s">
        <v>924</v>
      </c>
      <c r="D3250" s="5" t="s">
        <v>11</v>
      </c>
      <c r="E3250" s="5" t="s">
        <v>12</v>
      </c>
      <c r="F3250" s="3" t="s">
        <v>13</v>
      </c>
      <c r="G3250" s="3" t="s">
        <v>13</v>
      </c>
      <c r="H3250" s="3" t="s">
        <v>13</v>
      </c>
      <c r="I3250" s="3">
        <v>150945700</v>
      </c>
    </row>
    <row r="3251" spans="1:9" x14ac:dyDescent="0.35">
      <c r="A3251" t="str">
        <f>"66166"</f>
        <v>66166</v>
      </c>
      <c r="B3251" t="s">
        <v>33</v>
      </c>
      <c r="C3251" t="s">
        <v>26</v>
      </c>
      <c r="D3251" s="5" t="str">
        <f>"001"</f>
        <v>001</v>
      </c>
      <c r="E3251" s="5">
        <v>2021</v>
      </c>
      <c r="F3251" s="3">
        <v>644900</v>
      </c>
      <c r="G3251" s="3">
        <v>7584400</v>
      </c>
      <c r="H3251" s="3">
        <v>6939500</v>
      </c>
    </row>
    <row r="3252" spans="1:9" x14ac:dyDescent="0.35">
      <c r="A3252" t="str">
        <f>"66166"</f>
        <v>66166</v>
      </c>
      <c r="B3252" t="s">
        <v>33</v>
      </c>
      <c r="C3252" t="s">
        <v>26</v>
      </c>
      <c r="D3252" s="5" t="s">
        <v>11</v>
      </c>
      <c r="E3252" s="5" t="s">
        <v>12</v>
      </c>
      <c r="F3252" s="3" t="s">
        <v>13</v>
      </c>
      <c r="G3252" s="3" t="s">
        <v>13</v>
      </c>
      <c r="H3252" s="3" t="s">
        <v>13</v>
      </c>
      <c r="I3252" s="3">
        <v>3063514200</v>
      </c>
    </row>
    <row r="3253" spans="1:9" x14ac:dyDescent="0.35">
      <c r="A3253" t="str">
        <f t="shared" ref="A3253:A3258" si="74">"66181"</f>
        <v>66181</v>
      </c>
      <c r="B3253" t="s">
        <v>33</v>
      </c>
      <c r="C3253" t="s">
        <v>1274</v>
      </c>
      <c r="D3253" s="5" t="str">
        <f>"004"</f>
        <v>004</v>
      </c>
      <c r="E3253" s="5">
        <v>2015</v>
      </c>
      <c r="F3253" s="3">
        <v>3546200</v>
      </c>
      <c r="G3253" s="3">
        <v>36073500</v>
      </c>
      <c r="H3253" s="3">
        <v>32527300</v>
      </c>
    </row>
    <row r="3254" spans="1:9" x14ac:dyDescent="0.35">
      <c r="A3254" t="str">
        <f t="shared" si="74"/>
        <v>66181</v>
      </c>
      <c r="B3254" t="s">
        <v>33</v>
      </c>
      <c r="C3254" t="s">
        <v>1274</v>
      </c>
      <c r="D3254" s="5" t="str">
        <f>"005"</f>
        <v>005</v>
      </c>
      <c r="E3254" s="5">
        <v>2016</v>
      </c>
      <c r="F3254" s="3">
        <v>784400</v>
      </c>
      <c r="G3254" s="3">
        <v>7080800</v>
      </c>
      <c r="H3254" s="3">
        <v>6296400</v>
      </c>
    </row>
    <row r="3255" spans="1:9" x14ac:dyDescent="0.35">
      <c r="A3255" t="str">
        <f t="shared" si="74"/>
        <v>66181</v>
      </c>
      <c r="B3255" t="s">
        <v>33</v>
      </c>
      <c r="C3255" t="s">
        <v>1274</v>
      </c>
      <c r="D3255" s="5" t="str">
        <f>"006"</f>
        <v>006</v>
      </c>
      <c r="E3255" s="5">
        <v>2021</v>
      </c>
      <c r="F3255" s="3">
        <v>18448800</v>
      </c>
      <c r="G3255" s="3">
        <v>40341800</v>
      </c>
      <c r="H3255" s="3">
        <v>21893000</v>
      </c>
    </row>
    <row r="3256" spans="1:9" x14ac:dyDescent="0.35">
      <c r="A3256" t="str">
        <f t="shared" si="74"/>
        <v>66181</v>
      </c>
      <c r="B3256" t="s">
        <v>33</v>
      </c>
      <c r="C3256" t="s">
        <v>1274</v>
      </c>
      <c r="D3256" s="5" t="str">
        <f>"007"</f>
        <v>007</v>
      </c>
      <c r="E3256" s="5">
        <v>2022</v>
      </c>
      <c r="F3256" s="3">
        <v>1876300</v>
      </c>
      <c r="G3256" s="3">
        <v>5366400</v>
      </c>
      <c r="H3256" s="3">
        <v>3490100</v>
      </c>
    </row>
    <row r="3257" spans="1:9" x14ac:dyDescent="0.35">
      <c r="A3257" t="str">
        <f t="shared" si="74"/>
        <v>66181</v>
      </c>
      <c r="B3257" t="s">
        <v>33</v>
      </c>
      <c r="C3257" t="s">
        <v>1274</v>
      </c>
      <c r="D3257" s="5" t="str">
        <f>"008"</f>
        <v>008</v>
      </c>
      <c r="E3257" s="5">
        <v>2023</v>
      </c>
      <c r="F3257" s="3">
        <v>1622300</v>
      </c>
      <c r="G3257" s="3">
        <v>9783100</v>
      </c>
      <c r="H3257" s="3">
        <v>8160800</v>
      </c>
    </row>
    <row r="3258" spans="1:9" x14ac:dyDescent="0.35">
      <c r="A3258" t="str">
        <f t="shared" si="74"/>
        <v>66181</v>
      </c>
      <c r="B3258" t="s">
        <v>33</v>
      </c>
      <c r="C3258" t="s">
        <v>1274</v>
      </c>
      <c r="D3258" s="5" t="s">
        <v>11</v>
      </c>
      <c r="E3258" s="5" t="s">
        <v>12</v>
      </c>
      <c r="F3258" s="3" t="s">
        <v>13</v>
      </c>
      <c r="G3258" s="3" t="s">
        <v>13</v>
      </c>
      <c r="H3258" s="3" t="s">
        <v>13</v>
      </c>
      <c r="I3258" s="3">
        <v>1202888200</v>
      </c>
    </row>
    <row r="3259" spans="1:9" x14ac:dyDescent="0.35">
      <c r="A3259" t="s">
        <v>30</v>
      </c>
      <c r="B3259" t="s">
        <v>35</v>
      </c>
      <c r="C3259" t="s">
        <v>32</v>
      </c>
      <c r="D3259" s="5" t="s">
        <v>11</v>
      </c>
      <c r="E3259" s="5" t="s">
        <v>12</v>
      </c>
      <c r="F3259" s="3" t="s">
        <v>13</v>
      </c>
      <c r="G3259" s="3" t="s">
        <v>13</v>
      </c>
      <c r="H3259" s="3" t="s">
        <v>13</v>
      </c>
      <c r="I3259" s="3">
        <v>10768359700</v>
      </c>
    </row>
    <row r="3260" spans="1:9" x14ac:dyDescent="0.35">
      <c r="A3260" t="str">
        <f t="shared" ref="A3260:A3265" si="75">"66236"</f>
        <v>66236</v>
      </c>
      <c r="B3260" t="s">
        <v>36</v>
      </c>
      <c r="C3260" t="s">
        <v>374</v>
      </c>
      <c r="D3260" s="5" t="str">
        <f>"007"</f>
        <v>007</v>
      </c>
      <c r="E3260" s="5">
        <v>2011</v>
      </c>
      <c r="F3260" s="3">
        <v>3600</v>
      </c>
      <c r="G3260" s="3">
        <v>5636800</v>
      </c>
      <c r="H3260" s="3">
        <v>5633200</v>
      </c>
    </row>
    <row r="3261" spans="1:9" x14ac:dyDescent="0.35">
      <c r="A3261" t="str">
        <f t="shared" si="75"/>
        <v>66236</v>
      </c>
      <c r="B3261" t="s">
        <v>36</v>
      </c>
      <c r="C3261" t="s">
        <v>374</v>
      </c>
      <c r="D3261" s="5" t="str">
        <f>"008"</f>
        <v>008</v>
      </c>
      <c r="E3261" s="5">
        <v>2013</v>
      </c>
      <c r="F3261" s="3">
        <v>5506100</v>
      </c>
      <c r="G3261" s="3">
        <v>14645200</v>
      </c>
      <c r="H3261" s="3">
        <v>9139100</v>
      </c>
    </row>
    <row r="3262" spans="1:9" x14ac:dyDescent="0.35">
      <c r="A3262" t="str">
        <f t="shared" si="75"/>
        <v>66236</v>
      </c>
      <c r="B3262" t="s">
        <v>36</v>
      </c>
      <c r="C3262" t="s">
        <v>374</v>
      </c>
      <c r="D3262" s="5" t="str">
        <f>"010"</f>
        <v>010</v>
      </c>
      <c r="E3262" s="5">
        <v>2017</v>
      </c>
      <c r="F3262" s="3">
        <v>4696300</v>
      </c>
      <c r="G3262" s="3">
        <v>29889700</v>
      </c>
      <c r="H3262" s="3">
        <v>25193400</v>
      </c>
    </row>
    <row r="3263" spans="1:9" x14ac:dyDescent="0.35">
      <c r="A3263" t="str">
        <f t="shared" si="75"/>
        <v>66236</v>
      </c>
      <c r="B3263" t="s">
        <v>36</v>
      </c>
      <c r="C3263" t="s">
        <v>374</v>
      </c>
      <c r="D3263" s="5" t="str">
        <f>"011"</f>
        <v>011</v>
      </c>
      <c r="E3263" s="5">
        <v>2017</v>
      </c>
      <c r="F3263" s="3">
        <v>7561400</v>
      </c>
      <c r="G3263" s="3">
        <v>16413300</v>
      </c>
      <c r="H3263" s="3">
        <v>8851900</v>
      </c>
    </row>
    <row r="3264" spans="1:9" x14ac:dyDescent="0.35">
      <c r="A3264" t="str">
        <f t="shared" si="75"/>
        <v>66236</v>
      </c>
      <c r="B3264" t="s">
        <v>36</v>
      </c>
      <c r="C3264" t="s">
        <v>374</v>
      </c>
      <c r="D3264" s="5" t="str">
        <f>"013"</f>
        <v>013</v>
      </c>
      <c r="E3264" s="5">
        <v>2024</v>
      </c>
      <c r="F3264" s="3">
        <v>48259700</v>
      </c>
      <c r="G3264" s="3">
        <v>54280500</v>
      </c>
      <c r="H3264" s="3">
        <v>6020800</v>
      </c>
    </row>
    <row r="3265" spans="1:9" x14ac:dyDescent="0.35">
      <c r="A3265" t="str">
        <f t="shared" si="75"/>
        <v>66236</v>
      </c>
      <c r="B3265" t="s">
        <v>36</v>
      </c>
      <c r="C3265" t="s">
        <v>374</v>
      </c>
      <c r="D3265" s="5" t="s">
        <v>11</v>
      </c>
      <c r="E3265" s="5" t="s">
        <v>12</v>
      </c>
      <c r="F3265" s="3" t="s">
        <v>13</v>
      </c>
      <c r="G3265" s="3" t="s">
        <v>13</v>
      </c>
      <c r="H3265" s="3" t="s">
        <v>13</v>
      </c>
      <c r="I3265" s="3">
        <v>2434416000</v>
      </c>
    </row>
    <row r="3266" spans="1:9" x14ac:dyDescent="0.35">
      <c r="A3266" t="str">
        <f>"66251"</f>
        <v>66251</v>
      </c>
      <c r="B3266" t="s">
        <v>36</v>
      </c>
      <c r="C3266" t="s">
        <v>822</v>
      </c>
      <c r="D3266" s="5" t="s">
        <v>11</v>
      </c>
      <c r="E3266" s="5" t="s">
        <v>12</v>
      </c>
      <c r="F3266" s="3" t="s">
        <v>13</v>
      </c>
      <c r="G3266" s="3" t="s">
        <v>13</v>
      </c>
      <c r="H3266" s="3" t="s">
        <v>13</v>
      </c>
      <c r="I3266" s="3">
        <v>1216200</v>
      </c>
    </row>
    <row r="3267" spans="1:9" x14ac:dyDescent="0.35">
      <c r="A3267" t="str">
        <f t="shared" ref="A3267:A3281" si="76">"66291"</f>
        <v>66291</v>
      </c>
      <c r="B3267" t="s">
        <v>36</v>
      </c>
      <c r="C3267" t="s">
        <v>1273</v>
      </c>
      <c r="D3267" s="5" t="str">
        <f>"003"</f>
        <v>003</v>
      </c>
      <c r="E3267" s="5">
        <v>1995</v>
      </c>
      <c r="F3267" s="3">
        <v>4817700</v>
      </c>
      <c r="G3267" s="3">
        <v>53291400</v>
      </c>
      <c r="H3267" s="3">
        <v>48473700</v>
      </c>
    </row>
    <row r="3268" spans="1:9" x14ac:dyDescent="0.35">
      <c r="A3268" t="str">
        <f t="shared" si="76"/>
        <v>66291</v>
      </c>
      <c r="B3268" t="s">
        <v>36</v>
      </c>
      <c r="C3268" t="s">
        <v>1273</v>
      </c>
      <c r="D3268" s="5" t="str">
        <f>"004"</f>
        <v>004</v>
      </c>
      <c r="E3268" s="5">
        <v>1997</v>
      </c>
      <c r="F3268" s="3">
        <v>829900</v>
      </c>
      <c r="G3268" s="3">
        <v>106500800</v>
      </c>
      <c r="H3268" s="3">
        <v>105670900</v>
      </c>
    </row>
    <row r="3269" spans="1:9" x14ac:dyDescent="0.35">
      <c r="A3269" t="str">
        <f t="shared" si="76"/>
        <v>66291</v>
      </c>
      <c r="B3269" t="s">
        <v>36</v>
      </c>
      <c r="C3269" t="s">
        <v>1273</v>
      </c>
      <c r="D3269" s="5" t="str">
        <f>"005"</f>
        <v>005</v>
      </c>
      <c r="E3269" s="5">
        <v>1998</v>
      </c>
      <c r="F3269" s="3">
        <v>1627600</v>
      </c>
      <c r="G3269" s="3">
        <v>23454000</v>
      </c>
      <c r="H3269" s="3">
        <v>21826400</v>
      </c>
    </row>
    <row r="3270" spans="1:9" x14ac:dyDescent="0.35">
      <c r="A3270" t="str">
        <f t="shared" si="76"/>
        <v>66291</v>
      </c>
      <c r="B3270" t="s">
        <v>36</v>
      </c>
      <c r="C3270" t="s">
        <v>1273</v>
      </c>
      <c r="D3270" s="5" t="str">
        <f>"006"</f>
        <v>006</v>
      </c>
      <c r="E3270" s="5">
        <v>1999</v>
      </c>
      <c r="F3270" s="3">
        <v>3654000</v>
      </c>
      <c r="G3270" s="3">
        <v>77826100</v>
      </c>
      <c r="H3270" s="3">
        <v>74172100</v>
      </c>
    </row>
    <row r="3271" spans="1:9" x14ac:dyDescent="0.35">
      <c r="A3271" t="str">
        <f t="shared" si="76"/>
        <v>66291</v>
      </c>
      <c r="B3271" t="s">
        <v>36</v>
      </c>
      <c r="C3271" t="s">
        <v>1273</v>
      </c>
      <c r="D3271" s="5" t="str">
        <f>"009"</f>
        <v>009</v>
      </c>
      <c r="E3271" s="5">
        <v>2003</v>
      </c>
      <c r="F3271" s="3">
        <v>3961200</v>
      </c>
      <c r="G3271" s="3">
        <v>8849000</v>
      </c>
      <c r="H3271" s="3">
        <v>4887800</v>
      </c>
    </row>
    <row r="3272" spans="1:9" x14ac:dyDescent="0.35">
      <c r="A3272" t="str">
        <f t="shared" si="76"/>
        <v>66291</v>
      </c>
      <c r="B3272" t="s">
        <v>36</v>
      </c>
      <c r="C3272" t="s">
        <v>1273</v>
      </c>
      <c r="D3272" s="5" t="str">
        <f>"010"</f>
        <v>010</v>
      </c>
      <c r="E3272" s="5">
        <v>2004</v>
      </c>
      <c r="F3272" s="3">
        <v>6357400</v>
      </c>
      <c r="G3272" s="3">
        <v>62999600</v>
      </c>
      <c r="H3272" s="3">
        <v>56642200</v>
      </c>
    </row>
    <row r="3273" spans="1:9" x14ac:dyDescent="0.35">
      <c r="A3273" t="str">
        <f t="shared" si="76"/>
        <v>66291</v>
      </c>
      <c r="B3273" t="s">
        <v>36</v>
      </c>
      <c r="C3273" t="s">
        <v>1273</v>
      </c>
      <c r="D3273" s="5" t="str">
        <f>"011"</f>
        <v>011</v>
      </c>
      <c r="E3273" s="5">
        <v>2005</v>
      </c>
      <c r="F3273" s="3">
        <v>9250700</v>
      </c>
      <c r="G3273" s="3">
        <v>43578600</v>
      </c>
      <c r="H3273" s="3">
        <v>34327900</v>
      </c>
    </row>
    <row r="3274" spans="1:9" x14ac:dyDescent="0.35">
      <c r="A3274" t="str">
        <f t="shared" si="76"/>
        <v>66291</v>
      </c>
      <c r="B3274" t="s">
        <v>36</v>
      </c>
      <c r="C3274" t="s">
        <v>1273</v>
      </c>
      <c r="D3274" s="5" t="str">
        <f>"012"</f>
        <v>012</v>
      </c>
      <c r="E3274" s="5">
        <v>2008</v>
      </c>
      <c r="F3274" s="3">
        <v>10914800</v>
      </c>
      <c r="G3274" s="3">
        <v>114004600</v>
      </c>
      <c r="H3274" s="3">
        <v>103089800</v>
      </c>
    </row>
    <row r="3275" spans="1:9" x14ac:dyDescent="0.35">
      <c r="A3275" t="str">
        <f t="shared" si="76"/>
        <v>66291</v>
      </c>
      <c r="B3275" t="s">
        <v>36</v>
      </c>
      <c r="C3275" t="s">
        <v>1273</v>
      </c>
      <c r="D3275" s="5" t="str">
        <f>"013"</f>
        <v>013</v>
      </c>
      <c r="E3275" s="5">
        <v>2011</v>
      </c>
      <c r="F3275" s="3">
        <v>3634200</v>
      </c>
      <c r="G3275" s="3">
        <v>12179300</v>
      </c>
      <c r="H3275" s="3">
        <v>8545100</v>
      </c>
    </row>
    <row r="3276" spans="1:9" x14ac:dyDescent="0.35">
      <c r="A3276" t="str">
        <f t="shared" si="76"/>
        <v>66291</v>
      </c>
      <c r="B3276" t="s">
        <v>36</v>
      </c>
      <c r="C3276" t="s">
        <v>1273</v>
      </c>
      <c r="D3276" s="5" t="str">
        <f>"014"</f>
        <v>014</v>
      </c>
      <c r="E3276" s="5">
        <v>2020</v>
      </c>
      <c r="F3276" s="3">
        <v>21800</v>
      </c>
      <c r="G3276" s="3">
        <v>18449600</v>
      </c>
      <c r="H3276" s="3">
        <v>18427800</v>
      </c>
    </row>
    <row r="3277" spans="1:9" x14ac:dyDescent="0.35">
      <c r="A3277" t="str">
        <f t="shared" si="76"/>
        <v>66291</v>
      </c>
      <c r="B3277" t="s">
        <v>36</v>
      </c>
      <c r="C3277" t="s">
        <v>1273</v>
      </c>
      <c r="D3277" s="5" t="str">
        <f>"015"</f>
        <v>015</v>
      </c>
      <c r="E3277" s="5">
        <v>2021</v>
      </c>
      <c r="F3277" s="3">
        <v>2090200</v>
      </c>
      <c r="G3277" s="3">
        <v>48751800</v>
      </c>
      <c r="H3277" s="3">
        <v>46661600</v>
      </c>
    </row>
    <row r="3278" spans="1:9" x14ac:dyDescent="0.35">
      <c r="A3278" t="str">
        <f t="shared" si="76"/>
        <v>66291</v>
      </c>
      <c r="B3278" t="s">
        <v>36</v>
      </c>
      <c r="C3278" t="s">
        <v>1273</v>
      </c>
      <c r="D3278" s="5" t="str">
        <f>"016"</f>
        <v>016</v>
      </c>
      <c r="E3278" s="5">
        <v>2023</v>
      </c>
      <c r="F3278" s="3">
        <v>2341900</v>
      </c>
      <c r="G3278" s="3">
        <v>33230800</v>
      </c>
      <c r="H3278" s="3">
        <v>30888900</v>
      </c>
    </row>
    <row r="3279" spans="1:9" x14ac:dyDescent="0.35">
      <c r="A3279" t="str">
        <f t="shared" si="76"/>
        <v>66291</v>
      </c>
      <c r="B3279" t="s">
        <v>36</v>
      </c>
      <c r="C3279" t="s">
        <v>1273</v>
      </c>
      <c r="D3279" s="5" t="str">
        <f>"017"</f>
        <v>017</v>
      </c>
      <c r="E3279" s="5">
        <v>2025</v>
      </c>
      <c r="F3279" s="3">
        <v>4792000</v>
      </c>
      <c r="G3279" s="3">
        <v>7912300</v>
      </c>
      <c r="H3279" s="3">
        <v>3120300</v>
      </c>
    </row>
    <row r="3280" spans="1:9" x14ac:dyDescent="0.35">
      <c r="A3280" t="str">
        <f t="shared" si="76"/>
        <v>66291</v>
      </c>
      <c r="B3280" t="s">
        <v>36</v>
      </c>
      <c r="C3280" t="s">
        <v>1273</v>
      </c>
      <c r="D3280" s="5" t="str">
        <f>"018"</f>
        <v>018</v>
      </c>
      <c r="E3280" s="5">
        <v>2025</v>
      </c>
      <c r="F3280" s="3">
        <v>737200</v>
      </c>
      <c r="G3280" s="3">
        <v>944900</v>
      </c>
      <c r="H3280" s="3">
        <v>207700</v>
      </c>
    </row>
    <row r="3281" spans="1:9" x14ac:dyDescent="0.35">
      <c r="A3281" t="str">
        <f t="shared" si="76"/>
        <v>66291</v>
      </c>
      <c r="B3281" t="s">
        <v>36</v>
      </c>
      <c r="C3281" t="s">
        <v>1273</v>
      </c>
      <c r="D3281" s="5" t="s">
        <v>11</v>
      </c>
      <c r="E3281" s="5" t="s">
        <v>12</v>
      </c>
      <c r="F3281" s="3" t="s">
        <v>13</v>
      </c>
      <c r="G3281" s="3" t="s">
        <v>13</v>
      </c>
      <c r="H3281" s="3" t="s">
        <v>13</v>
      </c>
      <c r="I3281" s="3">
        <v>4662161600</v>
      </c>
    </row>
    <row r="3282" spans="1:9" x14ac:dyDescent="0.35">
      <c r="A3282" t="s">
        <v>30</v>
      </c>
      <c r="B3282" t="s">
        <v>38</v>
      </c>
      <c r="C3282" t="s">
        <v>32</v>
      </c>
      <c r="D3282" s="5" t="s">
        <v>11</v>
      </c>
      <c r="E3282" s="5" t="s">
        <v>12</v>
      </c>
      <c r="F3282" s="3" t="s">
        <v>13</v>
      </c>
      <c r="G3282" s="3" t="s">
        <v>13</v>
      </c>
      <c r="H3282" s="3" t="s">
        <v>13</v>
      </c>
      <c r="I3282" s="3">
        <v>7097793800</v>
      </c>
    </row>
    <row r="3283" spans="1:9" x14ac:dyDescent="0.35">
      <c r="A3283" t="s">
        <v>30</v>
      </c>
      <c r="B3283" t="s">
        <v>39</v>
      </c>
      <c r="C3283" t="s">
        <v>392</v>
      </c>
      <c r="D3283" s="5" t="s">
        <v>11</v>
      </c>
      <c r="E3283" s="5" t="s">
        <v>12</v>
      </c>
      <c r="F3283" s="3" t="s">
        <v>13</v>
      </c>
      <c r="G3283" s="3" t="s">
        <v>13</v>
      </c>
      <c r="H3283" s="3" t="s">
        <v>13</v>
      </c>
      <c r="I3283" s="3">
        <v>27684718600</v>
      </c>
    </row>
    <row r="3284" spans="1:9" x14ac:dyDescent="0.35">
      <c r="A3284" t="str">
        <f>"67002"</f>
        <v>67002</v>
      </c>
      <c r="B3284" t="s">
        <v>9</v>
      </c>
      <c r="C3284" t="s">
        <v>1275</v>
      </c>
      <c r="D3284" s="5" t="str">
        <f>"001A"</f>
        <v>001A</v>
      </c>
      <c r="E3284" s="5">
        <v>2014</v>
      </c>
      <c r="F3284" s="3">
        <v>62972100</v>
      </c>
      <c r="G3284" s="3">
        <v>436484700</v>
      </c>
      <c r="H3284" s="3">
        <v>373512600</v>
      </c>
    </row>
    <row r="3285" spans="1:9" x14ac:dyDescent="0.35">
      <c r="A3285" t="str">
        <f>"67002"</f>
        <v>67002</v>
      </c>
      <c r="B3285" t="s">
        <v>9</v>
      </c>
      <c r="C3285" t="s">
        <v>1275</v>
      </c>
      <c r="D3285" s="5" t="s">
        <v>11</v>
      </c>
      <c r="E3285" s="5" t="s">
        <v>12</v>
      </c>
      <c r="F3285" s="3" t="s">
        <v>13</v>
      </c>
      <c r="G3285" s="3" t="s">
        <v>13</v>
      </c>
      <c r="H3285" s="3" t="s">
        <v>13</v>
      </c>
      <c r="I3285" s="3">
        <v>1576889800</v>
      </c>
    </row>
    <row r="3286" spans="1:9" x14ac:dyDescent="0.35">
      <c r="A3286" t="str">
        <f>"67004"</f>
        <v>67004</v>
      </c>
      <c r="B3286" t="s">
        <v>9</v>
      </c>
      <c r="C3286" t="s">
        <v>1276</v>
      </c>
      <c r="D3286" s="5" t="s">
        <v>11</v>
      </c>
      <c r="E3286" s="5" t="s">
        <v>12</v>
      </c>
      <c r="F3286" s="3" t="s">
        <v>13</v>
      </c>
      <c r="G3286" s="3" t="s">
        <v>13</v>
      </c>
      <c r="H3286" s="3" t="s">
        <v>13</v>
      </c>
      <c r="I3286" s="3">
        <v>3056281700</v>
      </c>
    </row>
    <row r="3287" spans="1:9" x14ac:dyDescent="0.35">
      <c r="A3287" t="str">
        <f>"67006"</f>
        <v>67006</v>
      </c>
      <c r="B3287" t="s">
        <v>9</v>
      </c>
      <c r="C3287" t="s">
        <v>1025</v>
      </c>
      <c r="D3287" s="5" t="s">
        <v>11</v>
      </c>
      <c r="E3287" s="5" t="s">
        <v>12</v>
      </c>
      <c r="F3287" s="3" t="s">
        <v>13</v>
      </c>
      <c r="G3287" s="3" t="s">
        <v>13</v>
      </c>
      <c r="H3287" s="3" t="s">
        <v>13</v>
      </c>
      <c r="I3287" s="3">
        <v>970385000</v>
      </c>
    </row>
    <row r="3288" spans="1:9" x14ac:dyDescent="0.35">
      <c r="A3288" t="str">
        <f>"67008"</f>
        <v>67008</v>
      </c>
      <c r="B3288" t="s">
        <v>9</v>
      </c>
      <c r="C3288" t="s">
        <v>1277</v>
      </c>
      <c r="D3288" s="5" t="s">
        <v>11</v>
      </c>
      <c r="E3288" s="5" t="s">
        <v>12</v>
      </c>
      <c r="F3288" s="3" t="s">
        <v>13</v>
      </c>
      <c r="G3288" s="3" t="s">
        <v>13</v>
      </c>
      <c r="H3288" s="3" t="s">
        <v>13</v>
      </c>
      <c r="I3288" s="3">
        <v>1708148400</v>
      </c>
    </row>
    <row r="3289" spans="1:9" x14ac:dyDescent="0.35">
      <c r="A3289" t="str">
        <f>"67014"</f>
        <v>67014</v>
      </c>
      <c r="B3289" t="s">
        <v>9</v>
      </c>
      <c r="C3289" t="s">
        <v>1278</v>
      </c>
      <c r="D3289" s="5" t="s">
        <v>11</v>
      </c>
      <c r="E3289" s="5" t="s">
        <v>12</v>
      </c>
      <c r="F3289" s="3" t="s">
        <v>13</v>
      </c>
      <c r="G3289" s="3" t="s">
        <v>13</v>
      </c>
      <c r="H3289" s="3" t="s">
        <v>13</v>
      </c>
      <c r="I3289" s="3">
        <v>3330372200</v>
      </c>
    </row>
    <row r="3290" spans="1:9" x14ac:dyDescent="0.35">
      <c r="A3290" t="str">
        <f>"67016"</f>
        <v>67016</v>
      </c>
      <c r="B3290" t="s">
        <v>9</v>
      </c>
      <c r="C3290" t="s">
        <v>1248</v>
      </c>
      <c r="D3290" s="5" t="s">
        <v>11</v>
      </c>
      <c r="E3290" s="5" t="s">
        <v>12</v>
      </c>
      <c r="F3290" s="3" t="s">
        <v>13</v>
      </c>
      <c r="G3290" s="3" t="s">
        <v>13</v>
      </c>
      <c r="H3290" s="3" t="s">
        <v>13</v>
      </c>
      <c r="I3290" s="3">
        <v>1719549600</v>
      </c>
    </row>
    <row r="3291" spans="1:9" x14ac:dyDescent="0.35">
      <c r="A3291" t="str">
        <f>"67022"</f>
        <v>67022</v>
      </c>
      <c r="B3291" t="s">
        <v>9</v>
      </c>
      <c r="C3291" t="s">
        <v>1279</v>
      </c>
      <c r="D3291" s="5" t="s">
        <v>11</v>
      </c>
      <c r="E3291" s="5" t="s">
        <v>12</v>
      </c>
      <c r="F3291" s="3" t="s">
        <v>13</v>
      </c>
      <c r="G3291" s="3" t="s">
        <v>13</v>
      </c>
      <c r="H3291" s="3" t="s">
        <v>13</v>
      </c>
      <c r="I3291" s="3">
        <v>21201100</v>
      </c>
    </row>
    <row r="3292" spans="1:9" x14ac:dyDescent="0.35">
      <c r="A3292" t="str">
        <f>"67024"</f>
        <v>67024</v>
      </c>
      <c r="B3292" t="s">
        <v>9</v>
      </c>
      <c r="C3292" t="s">
        <v>1280</v>
      </c>
      <c r="D3292" s="5" t="s">
        <v>11</v>
      </c>
      <c r="E3292" s="5" t="s">
        <v>12</v>
      </c>
      <c r="F3292" s="3" t="s">
        <v>13</v>
      </c>
      <c r="G3292" s="3" t="s">
        <v>13</v>
      </c>
      <c r="H3292" s="3" t="s">
        <v>13</v>
      </c>
      <c r="I3292" s="3">
        <v>1010344100</v>
      </c>
    </row>
    <row r="3293" spans="1:9" x14ac:dyDescent="0.35">
      <c r="A3293" t="s">
        <v>30</v>
      </c>
      <c r="B3293" t="s">
        <v>31</v>
      </c>
      <c r="C3293" t="s">
        <v>32</v>
      </c>
      <c r="D3293" s="5" t="s">
        <v>11</v>
      </c>
      <c r="E3293" s="5" t="s">
        <v>12</v>
      </c>
      <c r="F3293" s="3" t="s">
        <v>13</v>
      </c>
      <c r="G3293" s="3" t="s">
        <v>13</v>
      </c>
      <c r="H3293" s="3" t="s">
        <v>13</v>
      </c>
      <c r="I3293" s="3">
        <v>13393171900</v>
      </c>
    </row>
    <row r="3294" spans="1:9" x14ac:dyDescent="0.35">
      <c r="A3294" t="str">
        <f>"67106"</f>
        <v>67106</v>
      </c>
      <c r="B3294" t="s">
        <v>33</v>
      </c>
      <c r="C3294" t="s">
        <v>1055</v>
      </c>
      <c r="D3294" s="5" t="str">
        <f>"001"</f>
        <v>001</v>
      </c>
      <c r="E3294" s="5">
        <v>2013</v>
      </c>
      <c r="F3294" s="3">
        <v>14680600</v>
      </c>
      <c r="G3294" s="3">
        <v>19817400</v>
      </c>
      <c r="H3294" s="3">
        <v>5136800</v>
      </c>
    </row>
    <row r="3295" spans="1:9" x14ac:dyDescent="0.35">
      <c r="A3295" t="str">
        <f>"67106"</f>
        <v>67106</v>
      </c>
      <c r="B3295" t="s">
        <v>33</v>
      </c>
      <c r="C3295" t="s">
        <v>1055</v>
      </c>
      <c r="D3295" s="5" t="s">
        <v>11</v>
      </c>
      <c r="E3295" s="5" t="s">
        <v>12</v>
      </c>
      <c r="F3295" s="3" t="s">
        <v>13</v>
      </c>
      <c r="G3295" s="3" t="s">
        <v>13</v>
      </c>
      <c r="H3295" s="3" t="s">
        <v>13</v>
      </c>
      <c r="I3295" s="3">
        <v>314159100</v>
      </c>
    </row>
    <row r="3296" spans="1:9" x14ac:dyDescent="0.35">
      <c r="A3296" t="str">
        <f>"67107"</f>
        <v>67107</v>
      </c>
      <c r="B3296" t="s">
        <v>33</v>
      </c>
      <c r="C3296" t="s">
        <v>215</v>
      </c>
      <c r="D3296" s="5" t="s">
        <v>11</v>
      </c>
      <c r="E3296" s="5" t="s">
        <v>12</v>
      </c>
      <c r="F3296" s="3" t="s">
        <v>13</v>
      </c>
      <c r="G3296" s="3" t="s">
        <v>13</v>
      </c>
      <c r="H3296" s="3" t="s">
        <v>13</v>
      </c>
      <c r="I3296" s="3">
        <v>381034100</v>
      </c>
    </row>
    <row r="3297" spans="1:9" x14ac:dyDescent="0.35">
      <c r="A3297" t="str">
        <f>"67111"</f>
        <v>67111</v>
      </c>
      <c r="B3297" t="s">
        <v>33</v>
      </c>
      <c r="C3297" t="s">
        <v>1281</v>
      </c>
      <c r="D3297" s="5" t="s">
        <v>11</v>
      </c>
      <c r="E3297" s="5" t="s">
        <v>12</v>
      </c>
      <c r="F3297" s="3" t="s">
        <v>13</v>
      </c>
      <c r="G3297" s="3" t="s">
        <v>13</v>
      </c>
      <c r="H3297" s="3" t="s">
        <v>13</v>
      </c>
      <c r="I3297" s="3">
        <v>834401000</v>
      </c>
    </row>
    <row r="3298" spans="1:9" x14ac:dyDescent="0.35">
      <c r="A3298" t="str">
        <f>"67116"</f>
        <v>67116</v>
      </c>
      <c r="B3298" t="s">
        <v>33</v>
      </c>
      <c r="C3298" t="s">
        <v>1282</v>
      </c>
      <c r="D3298" s="5" t="str">
        <f>"002"</f>
        <v>002</v>
      </c>
      <c r="E3298" s="5">
        <v>2024</v>
      </c>
      <c r="F3298" s="3">
        <v>24730900</v>
      </c>
      <c r="G3298" s="3">
        <v>41044700</v>
      </c>
      <c r="H3298" s="3">
        <v>16313800</v>
      </c>
    </row>
    <row r="3299" spans="1:9" x14ac:dyDescent="0.35">
      <c r="A3299" t="str">
        <f>"67116"</f>
        <v>67116</v>
      </c>
      <c r="B3299" t="s">
        <v>33</v>
      </c>
      <c r="C3299" t="s">
        <v>1282</v>
      </c>
      <c r="D3299" s="5" t="s">
        <v>11</v>
      </c>
      <c r="E3299" s="5" t="s">
        <v>12</v>
      </c>
      <c r="F3299" s="3" t="s">
        <v>13</v>
      </c>
      <c r="G3299" s="3" t="s">
        <v>13</v>
      </c>
      <c r="H3299" s="3" t="s">
        <v>13</v>
      </c>
      <c r="I3299" s="3">
        <v>379216800</v>
      </c>
    </row>
    <row r="3300" spans="1:9" x14ac:dyDescent="0.35">
      <c r="A3300" t="str">
        <f>"67121"</f>
        <v>67121</v>
      </c>
      <c r="B3300" t="s">
        <v>33</v>
      </c>
      <c r="C3300" t="s">
        <v>1025</v>
      </c>
      <c r="D3300" s="5" t="s">
        <v>11</v>
      </c>
      <c r="E3300" s="5" t="s">
        <v>12</v>
      </c>
      <c r="F3300" s="3" t="s">
        <v>13</v>
      </c>
      <c r="G3300" s="3" t="s">
        <v>13</v>
      </c>
      <c r="H3300" s="3" t="s">
        <v>13</v>
      </c>
      <c r="I3300" s="3">
        <v>376809400</v>
      </c>
    </row>
    <row r="3301" spans="1:9" x14ac:dyDescent="0.35">
      <c r="A3301" t="str">
        <f>"67122"</f>
        <v>67122</v>
      </c>
      <c r="B3301" t="s">
        <v>33</v>
      </c>
      <c r="C3301" t="s">
        <v>1283</v>
      </c>
      <c r="D3301" s="5" t="str">
        <f>"002"</f>
        <v>002</v>
      </c>
      <c r="E3301" s="5">
        <v>2004</v>
      </c>
      <c r="F3301" s="3">
        <v>31015600</v>
      </c>
      <c r="G3301" s="3">
        <v>83200000</v>
      </c>
      <c r="H3301" s="3">
        <v>52184400</v>
      </c>
    </row>
    <row r="3302" spans="1:9" x14ac:dyDescent="0.35">
      <c r="A3302" t="str">
        <f>"67122"</f>
        <v>67122</v>
      </c>
      <c r="B3302" t="s">
        <v>33</v>
      </c>
      <c r="C3302" t="s">
        <v>1283</v>
      </c>
      <c r="D3302" s="5" t="str">
        <f>"003"</f>
        <v>003</v>
      </c>
      <c r="E3302" s="5">
        <v>2022</v>
      </c>
      <c r="F3302" s="3">
        <v>12482100</v>
      </c>
      <c r="G3302" s="3">
        <v>113798100</v>
      </c>
      <c r="H3302" s="3">
        <v>101316000</v>
      </c>
    </row>
    <row r="3303" spans="1:9" x14ac:dyDescent="0.35">
      <c r="A3303" t="str">
        <f>"67122"</f>
        <v>67122</v>
      </c>
      <c r="B3303" t="s">
        <v>33</v>
      </c>
      <c r="C3303" t="s">
        <v>1283</v>
      </c>
      <c r="D3303" s="5" t="s">
        <v>11</v>
      </c>
      <c r="E3303" s="5" t="s">
        <v>12</v>
      </c>
      <c r="F3303" s="3" t="s">
        <v>13</v>
      </c>
      <c r="G3303" s="3" t="s">
        <v>13</v>
      </c>
      <c r="H3303" s="3" t="s">
        <v>13</v>
      </c>
      <c r="I3303" s="3">
        <v>1910557100</v>
      </c>
    </row>
    <row r="3304" spans="1:9" x14ac:dyDescent="0.35">
      <c r="A3304" t="str">
        <f>"67136"</f>
        <v>67136</v>
      </c>
      <c r="B3304" t="s">
        <v>33</v>
      </c>
      <c r="C3304" t="s">
        <v>937</v>
      </c>
      <c r="D3304" s="5" t="str">
        <f>"004"</f>
        <v>004</v>
      </c>
      <c r="E3304" s="5">
        <v>2008</v>
      </c>
      <c r="F3304" s="3">
        <v>1018300</v>
      </c>
      <c r="G3304" s="3">
        <v>3315300</v>
      </c>
      <c r="H3304" s="3">
        <v>2297000</v>
      </c>
    </row>
    <row r="3305" spans="1:9" x14ac:dyDescent="0.35">
      <c r="A3305" t="str">
        <f>"67136"</f>
        <v>67136</v>
      </c>
      <c r="B3305" t="s">
        <v>33</v>
      </c>
      <c r="C3305" t="s">
        <v>937</v>
      </c>
      <c r="D3305" s="5" t="str">
        <f>"006"</f>
        <v>006</v>
      </c>
      <c r="E3305" s="5">
        <v>2015</v>
      </c>
      <c r="F3305" s="3">
        <v>1330300</v>
      </c>
      <c r="G3305" s="3">
        <v>18957700</v>
      </c>
      <c r="H3305" s="3">
        <v>17627400</v>
      </c>
    </row>
    <row r="3306" spans="1:9" x14ac:dyDescent="0.35">
      <c r="A3306" t="str">
        <f>"67136"</f>
        <v>67136</v>
      </c>
      <c r="B3306" t="s">
        <v>33</v>
      </c>
      <c r="C3306" t="s">
        <v>937</v>
      </c>
      <c r="D3306" s="5" t="str">
        <f>"007"</f>
        <v>007</v>
      </c>
      <c r="E3306" s="5">
        <v>2024</v>
      </c>
      <c r="F3306" s="3">
        <v>3463600</v>
      </c>
      <c r="G3306" s="3">
        <v>56994100</v>
      </c>
      <c r="H3306" s="3">
        <v>53530500</v>
      </c>
    </row>
    <row r="3307" spans="1:9" x14ac:dyDescent="0.35">
      <c r="A3307" t="str">
        <f>"67136"</f>
        <v>67136</v>
      </c>
      <c r="B3307" t="s">
        <v>33</v>
      </c>
      <c r="C3307" t="s">
        <v>937</v>
      </c>
      <c r="D3307" s="5" t="s">
        <v>11</v>
      </c>
      <c r="E3307" s="5" t="s">
        <v>12</v>
      </c>
      <c r="F3307" s="3" t="s">
        <v>13</v>
      </c>
      <c r="G3307" s="3" t="s">
        <v>13</v>
      </c>
      <c r="H3307" s="3" t="s">
        <v>13</v>
      </c>
      <c r="I3307" s="3">
        <v>2450284900</v>
      </c>
    </row>
    <row r="3308" spans="1:9" x14ac:dyDescent="0.35">
      <c r="A3308" t="str">
        <f>"67146"</f>
        <v>67146</v>
      </c>
      <c r="B3308" t="s">
        <v>33</v>
      </c>
      <c r="C3308" t="s">
        <v>614</v>
      </c>
      <c r="D3308" s="5" t="str">
        <f>"001"</f>
        <v>001</v>
      </c>
      <c r="E3308" s="5">
        <v>2021</v>
      </c>
      <c r="F3308" s="3">
        <v>24127600</v>
      </c>
      <c r="G3308" s="3">
        <v>52000000</v>
      </c>
      <c r="H3308" s="3">
        <v>27872400</v>
      </c>
    </row>
    <row r="3309" spans="1:9" x14ac:dyDescent="0.35">
      <c r="A3309" t="str">
        <f>"67146"</f>
        <v>67146</v>
      </c>
      <c r="B3309" t="s">
        <v>33</v>
      </c>
      <c r="C3309" t="s">
        <v>614</v>
      </c>
      <c r="D3309" s="5" t="s">
        <v>11</v>
      </c>
      <c r="E3309" s="5" t="s">
        <v>12</v>
      </c>
      <c r="F3309" s="3" t="s">
        <v>13</v>
      </c>
      <c r="G3309" s="3" t="s">
        <v>13</v>
      </c>
      <c r="H3309" s="3" t="s">
        <v>13</v>
      </c>
      <c r="I3309" s="3">
        <v>3813512500</v>
      </c>
    </row>
    <row r="3310" spans="1:9" x14ac:dyDescent="0.35">
      <c r="A3310" t="str">
        <f>"67147"</f>
        <v>67147</v>
      </c>
      <c r="B3310" t="s">
        <v>33</v>
      </c>
      <c r="C3310" t="s">
        <v>1284</v>
      </c>
      <c r="D3310" s="5" t="str">
        <f>"001"</f>
        <v>001</v>
      </c>
      <c r="E3310" s="5">
        <v>2018</v>
      </c>
      <c r="F3310" s="3">
        <v>10681500</v>
      </c>
      <c r="G3310" s="3">
        <v>158370200</v>
      </c>
      <c r="H3310" s="3">
        <v>147688700</v>
      </c>
    </row>
    <row r="3311" spans="1:9" x14ac:dyDescent="0.35">
      <c r="A3311" t="str">
        <f>"67147"</f>
        <v>67147</v>
      </c>
      <c r="B3311" t="s">
        <v>33</v>
      </c>
      <c r="C3311" t="s">
        <v>1284</v>
      </c>
      <c r="D3311" s="5" t="str">
        <f>"002"</f>
        <v>002</v>
      </c>
      <c r="E3311" s="5">
        <v>2018</v>
      </c>
      <c r="F3311" s="3">
        <v>13054900</v>
      </c>
      <c r="G3311" s="3">
        <v>51772900</v>
      </c>
      <c r="H3311" s="3">
        <v>38718000</v>
      </c>
    </row>
    <row r="3312" spans="1:9" x14ac:dyDescent="0.35">
      <c r="A3312" t="str">
        <f>"67147"</f>
        <v>67147</v>
      </c>
      <c r="B3312" t="s">
        <v>33</v>
      </c>
      <c r="C3312" t="s">
        <v>1284</v>
      </c>
      <c r="D3312" s="5" t="s">
        <v>11</v>
      </c>
      <c r="E3312" s="5" t="s">
        <v>12</v>
      </c>
      <c r="F3312" s="3" t="s">
        <v>13</v>
      </c>
      <c r="G3312" s="3" t="s">
        <v>13</v>
      </c>
      <c r="H3312" s="3" t="s">
        <v>13</v>
      </c>
      <c r="I3312" s="3">
        <v>234256800</v>
      </c>
    </row>
    <row r="3313" spans="1:9" x14ac:dyDescent="0.35">
      <c r="A3313" t="str">
        <f>"67149"</f>
        <v>67149</v>
      </c>
      <c r="B3313" t="s">
        <v>33</v>
      </c>
      <c r="C3313" t="s">
        <v>626</v>
      </c>
      <c r="D3313" s="5" t="str">
        <f>"001"</f>
        <v>001</v>
      </c>
      <c r="E3313" s="5">
        <v>2019</v>
      </c>
      <c r="F3313" s="3">
        <v>899100</v>
      </c>
      <c r="G3313" s="3">
        <v>66113000</v>
      </c>
      <c r="H3313" s="3">
        <v>65213900</v>
      </c>
    </row>
    <row r="3314" spans="1:9" x14ac:dyDescent="0.35">
      <c r="A3314" t="str">
        <f>"67149"</f>
        <v>67149</v>
      </c>
      <c r="B3314" t="s">
        <v>33</v>
      </c>
      <c r="C3314" t="s">
        <v>626</v>
      </c>
      <c r="D3314" s="5" t="s">
        <v>11</v>
      </c>
      <c r="E3314" s="5" t="s">
        <v>12</v>
      </c>
      <c r="F3314" s="3" t="s">
        <v>13</v>
      </c>
      <c r="G3314" s="3" t="s">
        <v>13</v>
      </c>
      <c r="H3314" s="3" t="s">
        <v>13</v>
      </c>
      <c r="I3314" s="3">
        <v>2477434400</v>
      </c>
    </row>
    <row r="3315" spans="1:9" x14ac:dyDescent="0.35">
      <c r="A3315" t="str">
        <f t="shared" ref="A3315:A3329" si="77">"67151"</f>
        <v>67151</v>
      </c>
      <c r="B3315" t="s">
        <v>33</v>
      </c>
      <c r="C3315" t="s">
        <v>1285</v>
      </c>
      <c r="D3315" s="5" t="str">
        <f>"006"</f>
        <v>006</v>
      </c>
      <c r="E3315" s="5">
        <v>2006</v>
      </c>
      <c r="F3315" s="3">
        <v>46797500</v>
      </c>
      <c r="G3315" s="3">
        <v>124909700</v>
      </c>
      <c r="H3315" s="3">
        <v>78112200</v>
      </c>
    </row>
    <row r="3316" spans="1:9" x14ac:dyDescent="0.35">
      <c r="A3316" t="str">
        <f t="shared" si="77"/>
        <v>67151</v>
      </c>
      <c r="B3316" t="s">
        <v>33</v>
      </c>
      <c r="C3316" t="s">
        <v>1285</v>
      </c>
      <c r="D3316" s="5" t="str">
        <f>"007"</f>
        <v>007</v>
      </c>
      <c r="E3316" s="5">
        <v>2008</v>
      </c>
      <c r="F3316" s="3">
        <v>1028100</v>
      </c>
      <c r="G3316" s="3">
        <v>77159300</v>
      </c>
      <c r="H3316" s="3">
        <v>76131200</v>
      </c>
    </row>
    <row r="3317" spans="1:9" x14ac:dyDescent="0.35">
      <c r="A3317" t="str">
        <f t="shared" si="77"/>
        <v>67151</v>
      </c>
      <c r="B3317" t="s">
        <v>33</v>
      </c>
      <c r="C3317" t="s">
        <v>1285</v>
      </c>
      <c r="D3317" s="5" t="str">
        <f>"008"</f>
        <v>008</v>
      </c>
      <c r="E3317" s="5">
        <v>2008</v>
      </c>
      <c r="F3317" s="3">
        <v>19443200</v>
      </c>
      <c r="G3317" s="3">
        <v>204601400</v>
      </c>
      <c r="H3317" s="3">
        <v>185158200</v>
      </c>
    </row>
    <row r="3318" spans="1:9" x14ac:dyDescent="0.35">
      <c r="A3318" t="str">
        <f t="shared" si="77"/>
        <v>67151</v>
      </c>
      <c r="B3318" t="s">
        <v>33</v>
      </c>
      <c r="C3318" t="s">
        <v>1285</v>
      </c>
      <c r="D3318" s="5" t="str">
        <f>"009"</f>
        <v>009</v>
      </c>
      <c r="E3318" s="5">
        <v>2010</v>
      </c>
      <c r="F3318" s="3">
        <v>99823400</v>
      </c>
      <c r="G3318" s="3">
        <v>209001800</v>
      </c>
      <c r="H3318" s="3">
        <v>109178400</v>
      </c>
    </row>
    <row r="3319" spans="1:9" x14ac:dyDescent="0.35">
      <c r="A3319" t="str">
        <f t="shared" si="77"/>
        <v>67151</v>
      </c>
      <c r="B3319" t="s">
        <v>33</v>
      </c>
      <c r="C3319" t="s">
        <v>1285</v>
      </c>
      <c r="D3319" s="5" t="str">
        <f>"010"</f>
        <v>010</v>
      </c>
      <c r="E3319" s="5">
        <v>2011</v>
      </c>
      <c r="F3319" s="3">
        <v>43700700</v>
      </c>
      <c r="G3319" s="3">
        <v>171249200</v>
      </c>
      <c r="H3319" s="3">
        <v>127548500</v>
      </c>
    </row>
    <row r="3320" spans="1:9" x14ac:dyDescent="0.35">
      <c r="A3320" t="str">
        <f t="shared" si="77"/>
        <v>67151</v>
      </c>
      <c r="B3320" t="s">
        <v>33</v>
      </c>
      <c r="C3320" t="s">
        <v>1285</v>
      </c>
      <c r="D3320" s="5" t="str">
        <f>"011"</f>
        <v>011</v>
      </c>
      <c r="E3320" s="5">
        <v>2011</v>
      </c>
      <c r="F3320" s="3">
        <v>10815900</v>
      </c>
      <c r="G3320" s="3">
        <v>16988600</v>
      </c>
      <c r="H3320" s="3">
        <v>6172700</v>
      </c>
    </row>
    <row r="3321" spans="1:9" x14ac:dyDescent="0.35">
      <c r="A3321" t="str">
        <f t="shared" si="77"/>
        <v>67151</v>
      </c>
      <c r="B3321" t="s">
        <v>33</v>
      </c>
      <c r="C3321" t="s">
        <v>1285</v>
      </c>
      <c r="D3321" s="5" t="str">
        <f>"012"</f>
        <v>012</v>
      </c>
      <c r="E3321" s="5">
        <v>2014</v>
      </c>
      <c r="F3321" s="3">
        <v>5083400</v>
      </c>
      <c r="G3321" s="3">
        <v>69094400</v>
      </c>
      <c r="H3321" s="3">
        <v>64011000</v>
      </c>
    </row>
    <row r="3322" spans="1:9" x14ac:dyDescent="0.35">
      <c r="A3322" t="str">
        <f t="shared" si="77"/>
        <v>67151</v>
      </c>
      <c r="B3322" t="s">
        <v>33</v>
      </c>
      <c r="C3322" t="s">
        <v>1285</v>
      </c>
      <c r="D3322" s="5" t="str">
        <f>"013"</f>
        <v>013</v>
      </c>
      <c r="E3322" s="5">
        <v>2019</v>
      </c>
      <c r="F3322" s="3">
        <v>2688200</v>
      </c>
      <c r="G3322" s="3">
        <v>53625000</v>
      </c>
      <c r="H3322" s="3">
        <v>50936800</v>
      </c>
    </row>
    <row r="3323" spans="1:9" x14ac:dyDescent="0.35">
      <c r="A3323" t="str">
        <f t="shared" si="77"/>
        <v>67151</v>
      </c>
      <c r="B3323" t="s">
        <v>33</v>
      </c>
      <c r="C3323" t="s">
        <v>1285</v>
      </c>
      <c r="D3323" s="5" t="str">
        <f>"014"</f>
        <v>014</v>
      </c>
      <c r="E3323" s="5">
        <v>2019</v>
      </c>
      <c r="F3323" s="3">
        <v>8884900</v>
      </c>
      <c r="G3323" s="3">
        <v>17253500</v>
      </c>
      <c r="H3323" s="3">
        <v>8368600</v>
      </c>
    </row>
    <row r="3324" spans="1:9" x14ac:dyDescent="0.35">
      <c r="A3324" t="str">
        <f t="shared" si="77"/>
        <v>67151</v>
      </c>
      <c r="B3324" t="s">
        <v>33</v>
      </c>
      <c r="C3324" t="s">
        <v>1285</v>
      </c>
      <c r="D3324" s="5" t="str">
        <f>"015"</f>
        <v>015</v>
      </c>
      <c r="E3324" s="5">
        <v>2022</v>
      </c>
      <c r="F3324" s="3">
        <v>724700</v>
      </c>
      <c r="G3324" s="3">
        <v>60740000</v>
      </c>
      <c r="H3324" s="3">
        <v>60015300</v>
      </c>
    </row>
    <row r="3325" spans="1:9" x14ac:dyDescent="0.35">
      <c r="A3325" t="str">
        <f t="shared" si="77"/>
        <v>67151</v>
      </c>
      <c r="B3325" t="s">
        <v>33</v>
      </c>
      <c r="C3325" t="s">
        <v>1285</v>
      </c>
      <c r="D3325" s="5" t="str">
        <f>"016"</f>
        <v>016</v>
      </c>
      <c r="E3325" s="5">
        <v>2023</v>
      </c>
      <c r="F3325" s="3">
        <v>12554000</v>
      </c>
      <c r="G3325" s="3">
        <v>31662700</v>
      </c>
      <c r="H3325" s="3">
        <v>19108700</v>
      </c>
    </row>
    <row r="3326" spans="1:9" x14ac:dyDescent="0.35">
      <c r="A3326" t="str">
        <f t="shared" si="77"/>
        <v>67151</v>
      </c>
      <c r="B3326" t="s">
        <v>33</v>
      </c>
      <c r="C3326" t="s">
        <v>1285</v>
      </c>
      <c r="D3326" s="5" t="str">
        <f>"017"</f>
        <v>017</v>
      </c>
      <c r="E3326" s="5">
        <v>2024</v>
      </c>
      <c r="F3326" s="3">
        <v>25118600</v>
      </c>
      <c r="G3326" s="3">
        <v>40099300</v>
      </c>
      <c r="H3326" s="3">
        <v>14980700</v>
      </c>
    </row>
    <row r="3327" spans="1:9" x14ac:dyDescent="0.35">
      <c r="A3327" t="str">
        <f t="shared" si="77"/>
        <v>67151</v>
      </c>
      <c r="B3327" t="s">
        <v>33</v>
      </c>
      <c r="C3327" t="s">
        <v>1285</v>
      </c>
      <c r="D3327" s="5" t="str">
        <f>"018"</f>
        <v>018</v>
      </c>
      <c r="E3327" s="5">
        <v>2024</v>
      </c>
      <c r="F3327" s="3">
        <v>732300</v>
      </c>
      <c r="G3327" s="3">
        <v>1619800</v>
      </c>
      <c r="H3327" s="3">
        <v>887500</v>
      </c>
    </row>
    <row r="3328" spans="1:9" x14ac:dyDescent="0.35">
      <c r="A3328" t="str">
        <f t="shared" si="77"/>
        <v>67151</v>
      </c>
      <c r="B3328" t="s">
        <v>33</v>
      </c>
      <c r="C3328" t="s">
        <v>1285</v>
      </c>
      <c r="D3328" s="5" t="str">
        <f>"019"</f>
        <v>019</v>
      </c>
      <c r="E3328" s="5">
        <v>2025</v>
      </c>
      <c r="F3328" s="3">
        <v>16893900</v>
      </c>
      <c r="G3328" s="3">
        <v>17477700</v>
      </c>
      <c r="H3328" s="3">
        <v>583800</v>
      </c>
    </row>
    <row r="3329" spans="1:9" x14ac:dyDescent="0.35">
      <c r="A3329" t="str">
        <f t="shared" si="77"/>
        <v>67151</v>
      </c>
      <c r="B3329" t="s">
        <v>33</v>
      </c>
      <c r="C3329" t="s">
        <v>1285</v>
      </c>
      <c r="D3329" s="5" t="s">
        <v>11</v>
      </c>
      <c r="E3329" s="5" t="s">
        <v>12</v>
      </c>
      <c r="F3329" s="3" t="s">
        <v>13</v>
      </c>
      <c r="G3329" s="3" t="s">
        <v>13</v>
      </c>
      <c r="H3329" s="3" t="s">
        <v>13</v>
      </c>
      <c r="I3329" s="3">
        <v>8620356000</v>
      </c>
    </row>
    <row r="3330" spans="1:9" x14ac:dyDescent="0.35">
      <c r="A3330" t="str">
        <f>"67152"</f>
        <v>67152</v>
      </c>
      <c r="B3330" t="s">
        <v>33</v>
      </c>
      <c r="C3330" t="s">
        <v>1278</v>
      </c>
      <c r="D3330" s="5" t="s">
        <v>11</v>
      </c>
      <c r="E3330" s="5" t="s">
        <v>12</v>
      </c>
      <c r="F3330" s="3" t="s">
        <v>13</v>
      </c>
      <c r="G3330" s="3" t="s">
        <v>13</v>
      </c>
      <c r="H3330" s="3" t="s">
        <v>13</v>
      </c>
      <c r="I3330" s="3">
        <v>841242800</v>
      </c>
    </row>
    <row r="3331" spans="1:9" x14ac:dyDescent="0.35">
      <c r="A3331" t="str">
        <f>"67153"</f>
        <v>67153</v>
      </c>
      <c r="B3331" t="s">
        <v>33</v>
      </c>
      <c r="C3331" t="s">
        <v>1248</v>
      </c>
      <c r="D3331" s="5" t="str">
        <f>"003"</f>
        <v>003</v>
      </c>
      <c r="E3331" s="5">
        <v>2003</v>
      </c>
      <c r="F3331" s="3">
        <v>2389500</v>
      </c>
      <c r="G3331" s="3">
        <v>71722900</v>
      </c>
      <c r="H3331" s="3">
        <v>69333400</v>
      </c>
    </row>
    <row r="3332" spans="1:9" x14ac:dyDescent="0.35">
      <c r="A3332" t="str">
        <f>"67153"</f>
        <v>67153</v>
      </c>
      <c r="B3332" t="s">
        <v>33</v>
      </c>
      <c r="C3332" t="s">
        <v>1248</v>
      </c>
      <c r="D3332" s="5" t="str">
        <f>"004"</f>
        <v>004</v>
      </c>
      <c r="E3332" s="5">
        <v>2017</v>
      </c>
      <c r="F3332" s="3">
        <v>6090500</v>
      </c>
      <c r="G3332" s="3">
        <v>31287700</v>
      </c>
      <c r="H3332" s="3">
        <v>25197200</v>
      </c>
    </row>
    <row r="3333" spans="1:9" x14ac:dyDescent="0.35">
      <c r="A3333" t="str">
        <f>"67153"</f>
        <v>67153</v>
      </c>
      <c r="B3333" t="s">
        <v>33</v>
      </c>
      <c r="C3333" t="s">
        <v>1248</v>
      </c>
      <c r="D3333" s="5" t="s">
        <v>11</v>
      </c>
      <c r="E3333" s="5" t="s">
        <v>12</v>
      </c>
      <c r="F3333" s="3" t="s">
        <v>13</v>
      </c>
      <c r="G3333" s="3" t="s">
        <v>13</v>
      </c>
      <c r="H3333" s="3" t="s">
        <v>13</v>
      </c>
      <c r="I3333" s="3">
        <v>1546126500</v>
      </c>
    </row>
    <row r="3334" spans="1:9" x14ac:dyDescent="0.35">
      <c r="A3334" t="str">
        <f>"67158"</f>
        <v>67158</v>
      </c>
      <c r="B3334" t="s">
        <v>33</v>
      </c>
      <c r="C3334" t="s">
        <v>1286</v>
      </c>
      <c r="D3334" s="5" t="s">
        <v>11</v>
      </c>
      <c r="E3334" s="5" t="s">
        <v>12</v>
      </c>
      <c r="F3334" s="3" t="s">
        <v>13</v>
      </c>
      <c r="G3334" s="3" t="s">
        <v>13</v>
      </c>
      <c r="H3334" s="3" t="s">
        <v>13</v>
      </c>
      <c r="I3334" s="3">
        <v>340914700</v>
      </c>
    </row>
    <row r="3335" spans="1:9" x14ac:dyDescent="0.35">
      <c r="A3335" t="str">
        <f>"67161"</f>
        <v>67161</v>
      </c>
      <c r="B3335" t="s">
        <v>33</v>
      </c>
      <c r="C3335" t="s">
        <v>1287</v>
      </c>
      <c r="D3335" s="5" t="s">
        <v>11</v>
      </c>
      <c r="E3335" s="5" t="s">
        <v>12</v>
      </c>
      <c r="F3335" s="3" t="s">
        <v>13</v>
      </c>
      <c r="G3335" s="3" t="s">
        <v>13</v>
      </c>
      <c r="H3335" s="3" t="s">
        <v>13</v>
      </c>
      <c r="I3335" s="3">
        <v>457162800</v>
      </c>
    </row>
    <row r="3336" spans="1:9" x14ac:dyDescent="0.35">
      <c r="A3336" t="str">
        <f>"67166"</f>
        <v>67166</v>
      </c>
      <c r="B3336" t="s">
        <v>33</v>
      </c>
      <c r="C3336" t="s">
        <v>1288</v>
      </c>
      <c r="D3336" s="5" t="s">
        <v>11</v>
      </c>
      <c r="E3336" s="5" t="s">
        <v>12</v>
      </c>
      <c r="F3336" s="3" t="s">
        <v>13</v>
      </c>
      <c r="G3336" s="3" t="s">
        <v>13</v>
      </c>
      <c r="H3336" s="3" t="s">
        <v>13</v>
      </c>
      <c r="I3336" s="3">
        <v>686603200</v>
      </c>
    </row>
    <row r="3337" spans="1:9" x14ac:dyDescent="0.35">
      <c r="A3337" t="str">
        <f>"67171"</f>
        <v>67171</v>
      </c>
      <c r="B3337" t="s">
        <v>33</v>
      </c>
      <c r="C3337" t="s">
        <v>1289</v>
      </c>
      <c r="D3337" s="5" t="str">
        <f>"002"</f>
        <v>002</v>
      </c>
      <c r="E3337" s="5">
        <v>2014</v>
      </c>
      <c r="F3337" s="3">
        <v>8302800</v>
      </c>
      <c r="G3337" s="3">
        <v>22828000</v>
      </c>
      <c r="H3337" s="3">
        <v>14525200</v>
      </c>
    </row>
    <row r="3338" spans="1:9" x14ac:dyDescent="0.35">
      <c r="A3338" t="str">
        <f>"67171"</f>
        <v>67171</v>
      </c>
      <c r="B3338" t="s">
        <v>33</v>
      </c>
      <c r="C3338" t="s">
        <v>1289</v>
      </c>
      <c r="D3338" s="5" t="str">
        <f>"003"</f>
        <v>003</v>
      </c>
      <c r="E3338" s="5">
        <v>2021</v>
      </c>
      <c r="F3338" s="3">
        <v>0</v>
      </c>
      <c r="G3338" s="3">
        <v>33398100</v>
      </c>
      <c r="H3338" s="3">
        <v>33398100</v>
      </c>
    </row>
    <row r="3339" spans="1:9" x14ac:dyDescent="0.35">
      <c r="A3339" t="str">
        <f>"67171"</f>
        <v>67171</v>
      </c>
      <c r="B3339" t="s">
        <v>33</v>
      </c>
      <c r="C3339" t="s">
        <v>1289</v>
      </c>
      <c r="D3339" s="5" t="str">
        <f>"004"</f>
        <v>004</v>
      </c>
      <c r="E3339" s="5">
        <v>2022</v>
      </c>
      <c r="F3339" s="3">
        <v>733700</v>
      </c>
      <c r="G3339" s="3">
        <v>18178900</v>
      </c>
      <c r="H3339" s="3">
        <v>17445200</v>
      </c>
    </row>
    <row r="3340" spans="1:9" x14ac:dyDescent="0.35">
      <c r="A3340" t="str">
        <f>"67171"</f>
        <v>67171</v>
      </c>
      <c r="B3340" t="s">
        <v>33</v>
      </c>
      <c r="C3340" t="s">
        <v>1289</v>
      </c>
      <c r="D3340" s="5" t="s">
        <v>11</v>
      </c>
      <c r="E3340" s="5" t="s">
        <v>12</v>
      </c>
      <c r="F3340" s="3" t="s">
        <v>13</v>
      </c>
      <c r="G3340" s="3" t="s">
        <v>13</v>
      </c>
      <c r="H3340" s="3" t="s">
        <v>13</v>
      </c>
      <c r="I3340" s="3">
        <v>1496515400</v>
      </c>
    </row>
    <row r="3341" spans="1:9" x14ac:dyDescent="0.35">
      <c r="A3341" t="str">
        <f>"67172"</f>
        <v>67172</v>
      </c>
      <c r="B3341" t="s">
        <v>33</v>
      </c>
      <c r="C3341" t="s">
        <v>407</v>
      </c>
      <c r="D3341" s="5" t="s">
        <v>11</v>
      </c>
      <c r="E3341" s="5" t="s">
        <v>12</v>
      </c>
      <c r="F3341" s="3" t="s">
        <v>13</v>
      </c>
      <c r="G3341" s="3" t="s">
        <v>13</v>
      </c>
      <c r="H3341" s="3" t="s">
        <v>13</v>
      </c>
      <c r="I3341" s="3">
        <v>2239145100</v>
      </c>
    </row>
    <row r="3342" spans="1:9" x14ac:dyDescent="0.35">
      <c r="A3342" t="str">
        <f>"67181"</f>
        <v>67181</v>
      </c>
      <c r="B3342" t="s">
        <v>33</v>
      </c>
      <c r="C3342" t="s">
        <v>1290</v>
      </c>
      <c r="D3342" s="5" t="str">
        <f>"006"</f>
        <v>006</v>
      </c>
      <c r="E3342" s="5">
        <v>2013</v>
      </c>
      <c r="F3342" s="3">
        <v>22863000</v>
      </c>
      <c r="G3342" s="3">
        <v>129785100</v>
      </c>
      <c r="H3342" s="3">
        <v>106922100</v>
      </c>
    </row>
    <row r="3343" spans="1:9" x14ac:dyDescent="0.35">
      <c r="A3343" t="str">
        <f>"67181"</f>
        <v>67181</v>
      </c>
      <c r="B3343" t="s">
        <v>33</v>
      </c>
      <c r="C3343" t="s">
        <v>1290</v>
      </c>
      <c r="D3343" s="5" t="str">
        <f>"007"</f>
        <v>007</v>
      </c>
      <c r="E3343" s="5">
        <v>2018</v>
      </c>
      <c r="F3343" s="3">
        <v>327300</v>
      </c>
      <c r="G3343" s="3">
        <v>98909500</v>
      </c>
      <c r="H3343" s="3">
        <v>98582200</v>
      </c>
    </row>
    <row r="3344" spans="1:9" x14ac:dyDescent="0.35">
      <c r="A3344" t="str">
        <f>"67181"</f>
        <v>67181</v>
      </c>
      <c r="B3344" t="s">
        <v>33</v>
      </c>
      <c r="C3344" t="s">
        <v>1290</v>
      </c>
      <c r="D3344" s="5" t="s">
        <v>11</v>
      </c>
      <c r="E3344" s="5" t="s">
        <v>12</v>
      </c>
      <c r="F3344" s="3" t="s">
        <v>13</v>
      </c>
      <c r="G3344" s="3" t="s">
        <v>13</v>
      </c>
      <c r="H3344" s="3" t="s">
        <v>13</v>
      </c>
      <c r="I3344" s="3">
        <v>2571449800</v>
      </c>
    </row>
    <row r="3345" spans="1:9" x14ac:dyDescent="0.35">
      <c r="A3345" t="str">
        <f>"67186"</f>
        <v>67186</v>
      </c>
      <c r="B3345" t="s">
        <v>33</v>
      </c>
      <c r="C3345" t="s">
        <v>1224</v>
      </c>
      <c r="D3345" s="5" t="s">
        <v>11</v>
      </c>
      <c r="E3345" s="5" t="s">
        <v>12</v>
      </c>
      <c r="F3345" s="3" t="s">
        <v>13</v>
      </c>
      <c r="G3345" s="3" t="s">
        <v>13</v>
      </c>
      <c r="H3345" s="3" t="s">
        <v>13</v>
      </c>
      <c r="I3345" s="3">
        <v>1707959000</v>
      </c>
    </row>
    <row r="3346" spans="1:9" x14ac:dyDescent="0.35">
      <c r="A3346" t="str">
        <f>"67191"</f>
        <v>67191</v>
      </c>
      <c r="B3346" t="s">
        <v>33</v>
      </c>
      <c r="C3346" t="s">
        <v>1291</v>
      </c>
      <c r="D3346" s="5" t="s">
        <v>11</v>
      </c>
      <c r="E3346" s="5" t="s">
        <v>12</v>
      </c>
      <c r="F3346" s="3" t="s">
        <v>13</v>
      </c>
      <c r="G3346" s="3" t="s">
        <v>13</v>
      </c>
      <c r="H3346" s="3" t="s">
        <v>13</v>
      </c>
      <c r="I3346" s="3">
        <v>677890700</v>
      </c>
    </row>
    <row r="3347" spans="1:9" x14ac:dyDescent="0.35">
      <c r="A3347" t="str">
        <f>"67195"</f>
        <v>67195</v>
      </c>
      <c r="B3347" t="s">
        <v>33</v>
      </c>
      <c r="C3347" t="s">
        <v>1292</v>
      </c>
      <c r="D3347" s="5" t="str">
        <f>"001"</f>
        <v>001</v>
      </c>
      <c r="E3347" s="5">
        <v>2020</v>
      </c>
      <c r="F3347" s="3">
        <v>21259700</v>
      </c>
      <c r="G3347" s="3">
        <v>28078700</v>
      </c>
      <c r="H3347" s="3">
        <v>6819000</v>
      </c>
    </row>
    <row r="3348" spans="1:9" x14ac:dyDescent="0.35">
      <c r="A3348" t="str">
        <f>"67195"</f>
        <v>67195</v>
      </c>
      <c r="B3348" t="s">
        <v>33</v>
      </c>
      <c r="C3348" t="s">
        <v>1292</v>
      </c>
      <c r="D3348" s="5" t="s">
        <v>11</v>
      </c>
      <c r="E3348" s="5" t="s">
        <v>12</v>
      </c>
      <c r="F3348" s="3" t="s">
        <v>13</v>
      </c>
      <c r="G3348" s="3" t="s">
        <v>13</v>
      </c>
      <c r="H3348" s="3" t="s">
        <v>13</v>
      </c>
      <c r="I3348" s="3">
        <v>1871450600</v>
      </c>
    </row>
    <row r="3349" spans="1:9" x14ac:dyDescent="0.35">
      <c r="A3349" t="s">
        <v>30</v>
      </c>
      <c r="B3349" t="s">
        <v>35</v>
      </c>
      <c r="C3349" t="s">
        <v>32</v>
      </c>
      <c r="D3349" s="5" t="s">
        <v>11</v>
      </c>
      <c r="E3349" s="5" t="s">
        <v>12</v>
      </c>
      <c r="F3349" s="3" t="s">
        <v>13</v>
      </c>
      <c r="G3349" s="3" t="s">
        <v>13</v>
      </c>
      <c r="H3349" s="3" t="s">
        <v>13</v>
      </c>
      <c r="I3349" s="3">
        <v>36228482700</v>
      </c>
    </row>
    <row r="3350" spans="1:9" x14ac:dyDescent="0.35">
      <c r="A3350" t="str">
        <f t="shared" ref="A3350:A3355" si="78">"67206"</f>
        <v>67206</v>
      </c>
      <c r="B3350" t="s">
        <v>36</v>
      </c>
      <c r="C3350" t="s">
        <v>1275</v>
      </c>
      <c r="D3350" s="5" t="str">
        <f>"004"</f>
        <v>004</v>
      </c>
      <c r="E3350" s="5">
        <v>2015</v>
      </c>
      <c r="F3350" s="3">
        <v>158800</v>
      </c>
      <c r="G3350" s="3">
        <v>2444900</v>
      </c>
      <c r="H3350" s="3">
        <v>2286100</v>
      </c>
    </row>
    <row r="3351" spans="1:9" x14ac:dyDescent="0.35">
      <c r="A3351" t="str">
        <f t="shared" si="78"/>
        <v>67206</v>
      </c>
      <c r="B3351" t="s">
        <v>36</v>
      </c>
      <c r="C3351" t="s">
        <v>1275</v>
      </c>
      <c r="D3351" s="5" t="str">
        <f>"006"</f>
        <v>006</v>
      </c>
      <c r="E3351" s="5">
        <v>2016</v>
      </c>
      <c r="F3351" s="3">
        <v>9008300</v>
      </c>
      <c r="G3351" s="3">
        <v>50156100</v>
      </c>
      <c r="H3351" s="3">
        <v>41147800</v>
      </c>
    </row>
    <row r="3352" spans="1:9" x14ac:dyDescent="0.35">
      <c r="A3352" t="str">
        <f t="shared" si="78"/>
        <v>67206</v>
      </c>
      <c r="B3352" t="s">
        <v>36</v>
      </c>
      <c r="C3352" t="s">
        <v>1275</v>
      </c>
      <c r="D3352" s="5" t="str">
        <f>"007"</f>
        <v>007</v>
      </c>
      <c r="E3352" s="5">
        <v>2018</v>
      </c>
      <c r="F3352" s="3">
        <v>660600</v>
      </c>
      <c r="G3352" s="3">
        <v>25406300</v>
      </c>
      <c r="H3352" s="3">
        <v>24745700</v>
      </c>
    </row>
    <row r="3353" spans="1:9" x14ac:dyDescent="0.35">
      <c r="A3353" t="str">
        <f t="shared" si="78"/>
        <v>67206</v>
      </c>
      <c r="B3353" t="s">
        <v>36</v>
      </c>
      <c r="C3353" t="s">
        <v>1275</v>
      </c>
      <c r="D3353" s="5" t="str">
        <f>"008"</f>
        <v>008</v>
      </c>
      <c r="E3353" s="5">
        <v>2018</v>
      </c>
      <c r="F3353" s="3">
        <v>26528200</v>
      </c>
      <c r="G3353" s="3">
        <v>76021000</v>
      </c>
      <c r="H3353" s="3">
        <v>49492800</v>
      </c>
    </row>
    <row r="3354" spans="1:9" x14ac:dyDescent="0.35">
      <c r="A3354" t="str">
        <f t="shared" si="78"/>
        <v>67206</v>
      </c>
      <c r="B3354" t="s">
        <v>36</v>
      </c>
      <c r="C3354" t="s">
        <v>1275</v>
      </c>
      <c r="D3354" s="5" t="str">
        <f>"009"</f>
        <v>009</v>
      </c>
      <c r="E3354" s="5">
        <v>2025</v>
      </c>
      <c r="F3354" s="3">
        <v>6332300</v>
      </c>
      <c r="G3354" s="3">
        <v>22399800</v>
      </c>
      <c r="H3354" s="3">
        <v>16067500</v>
      </c>
    </row>
    <row r="3355" spans="1:9" x14ac:dyDescent="0.35">
      <c r="A3355" t="str">
        <f t="shared" si="78"/>
        <v>67206</v>
      </c>
      <c r="B3355" t="s">
        <v>36</v>
      </c>
      <c r="C3355" t="s">
        <v>1275</v>
      </c>
      <c r="D3355" s="5" t="s">
        <v>11</v>
      </c>
      <c r="E3355" s="5" t="s">
        <v>12</v>
      </c>
      <c r="F3355" s="3" t="s">
        <v>13</v>
      </c>
      <c r="G3355" s="3" t="s">
        <v>13</v>
      </c>
      <c r="H3355" s="3" t="s">
        <v>13</v>
      </c>
      <c r="I3355" s="3">
        <v>11432404700</v>
      </c>
    </row>
    <row r="3356" spans="1:9" x14ac:dyDescent="0.35">
      <c r="A3356" t="str">
        <f>"67216"</f>
        <v>67216</v>
      </c>
      <c r="B3356" t="s">
        <v>36</v>
      </c>
      <c r="C3356" t="s">
        <v>1276</v>
      </c>
      <c r="D3356" s="5" t="s">
        <v>11</v>
      </c>
      <c r="E3356" s="5" t="s">
        <v>12</v>
      </c>
      <c r="F3356" s="3" t="s">
        <v>13</v>
      </c>
      <c r="G3356" s="3" t="s">
        <v>13</v>
      </c>
      <c r="H3356" s="3" t="s">
        <v>13</v>
      </c>
      <c r="I3356" s="3">
        <v>2858318300</v>
      </c>
    </row>
    <row r="3357" spans="1:9" x14ac:dyDescent="0.35">
      <c r="A3357" t="str">
        <f>"67250"</f>
        <v>67250</v>
      </c>
      <c r="B3357" t="s">
        <v>36</v>
      </c>
      <c r="C3357" t="s">
        <v>822</v>
      </c>
      <c r="D3357" s="5" t="s">
        <v>11</v>
      </c>
      <c r="E3357" s="5" t="s">
        <v>12</v>
      </c>
      <c r="F3357" s="3" t="s">
        <v>13</v>
      </c>
      <c r="G3357" s="3" t="s">
        <v>13</v>
      </c>
      <c r="H3357" s="3" t="s">
        <v>13</v>
      </c>
      <c r="I3357" s="3">
        <v>12925800</v>
      </c>
    </row>
    <row r="3358" spans="1:9" x14ac:dyDescent="0.35">
      <c r="A3358" t="str">
        <f>"67251"</f>
        <v>67251</v>
      </c>
      <c r="B3358" t="s">
        <v>36</v>
      </c>
      <c r="C3358" t="s">
        <v>1293</v>
      </c>
      <c r="D3358" s="5" t="str">
        <f>"011"</f>
        <v>011</v>
      </c>
      <c r="E3358" s="5">
        <v>2016</v>
      </c>
      <c r="F3358" s="3">
        <v>2400</v>
      </c>
      <c r="G3358" s="3">
        <v>34916700</v>
      </c>
      <c r="H3358" s="3">
        <v>34914300</v>
      </c>
    </row>
    <row r="3359" spans="1:9" x14ac:dyDescent="0.35">
      <c r="A3359" t="str">
        <f>"67251"</f>
        <v>67251</v>
      </c>
      <c r="B3359" t="s">
        <v>36</v>
      </c>
      <c r="C3359" t="s">
        <v>1293</v>
      </c>
      <c r="D3359" s="5" t="s">
        <v>11</v>
      </c>
      <c r="E3359" s="5" t="s">
        <v>12</v>
      </c>
      <c r="F3359" s="3" t="s">
        <v>13</v>
      </c>
      <c r="G3359" s="3" t="s">
        <v>13</v>
      </c>
      <c r="H3359" s="3" t="s">
        <v>13</v>
      </c>
      <c r="I3359" s="3">
        <v>5805921700</v>
      </c>
    </row>
    <row r="3360" spans="1:9" x14ac:dyDescent="0.35">
      <c r="A3360" t="str">
        <f>"67261"</f>
        <v>67261</v>
      </c>
      <c r="B3360" t="s">
        <v>36</v>
      </c>
      <c r="C3360" t="s">
        <v>1294</v>
      </c>
      <c r="D3360" s="5" t="str">
        <f>"003"</f>
        <v>003</v>
      </c>
      <c r="E3360" s="5">
        <v>2018</v>
      </c>
      <c r="F3360" s="3">
        <v>729000</v>
      </c>
      <c r="G3360" s="3">
        <v>54996100</v>
      </c>
      <c r="H3360" s="3">
        <v>54267100</v>
      </c>
    </row>
    <row r="3361" spans="1:9" x14ac:dyDescent="0.35">
      <c r="A3361" t="str">
        <f>"67261"</f>
        <v>67261</v>
      </c>
      <c r="B3361" t="s">
        <v>36</v>
      </c>
      <c r="C3361" t="s">
        <v>1294</v>
      </c>
      <c r="D3361" s="5" t="str">
        <f>"004"</f>
        <v>004</v>
      </c>
      <c r="E3361" s="5">
        <v>2020</v>
      </c>
      <c r="F3361" s="3">
        <v>12453500</v>
      </c>
      <c r="G3361" s="3">
        <v>19708800</v>
      </c>
      <c r="H3361" s="3">
        <v>7255300</v>
      </c>
    </row>
    <row r="3362" spans="1:9" x14ac:dyDescent="0.35">
      <c r="A3362" t="str">
        <f>"67261"</f>
        <v>67261</v>
      </c>
      <c r="B3362" t="s">
        <v>36</v>
      </c>
      <c r="C3362" t="s">
        <v>1294</v>
      </c>
      <c r="D3362" s="5" t="str">
        <f>"005"</f>
        <v>005</v>
      </c>
      <c r="E3362" s="5">
        <v>2022</v>
      </c>
      <c r="F3362" s="3">
        <v>2419700</v>
      </c>
      <c r="G3362" s="3">
        <v>76693400</v>
      </c>
      <c r="H3362" s="3">
        <v>74273700</v>
      </c>
    </row>
    <row r="3363" spans="1:9" x14ac:dyDescent="0.35">
      <c r="A3363" t="str">
        <f>"67261"</f>
        <v>67261</v>
      </c>
      <c r="B3363" t="s">
        <v>36</v>
      </c>
      <c r="C3363" t="s">
        <v>1294</v>
      </c>
      <c r="D3363" s="5" t="s">
        <v>11</v>
      </c>
      <c r="E3363" s="5" t="s">
        <v>12</v>
      </c>
      <c r="F3363" s="3" t="s">
        <v>13</v>
      </c>
      <c r="G3363" s="3" t="s">
        <v>13</v>
      </c>
      <c r="H3363" s="3" t="s">
        <v>13</v>
      </c>
      <c r="I3363" s="3">
        <v>8904911900</v>
      </c>
    </row>
    <row r="3364" spans="1:9" x14ac:dyDescent="0.35">
      <c r="A3364" t="str">
        <f>"67265"</f>
        <v>67265</v>
      </c>
      <c r="B3364" t="s">
        <v>36</v>
      </c>
      <c r="C3364" t="s">
        <v>1279</v>
      </c>
      <c r="D3364" s="5" t="str">
        <f>"005"</f>
        <v>005</v>
      </c>
      <c r="E3364" s="5">
        <v>2017</v>
      </c>
      <c r="F3364" s="3">
        <v>6019700</v>
      </c>
      <c r="G3364" s="3">
        <v>79662100</v>
      </c>
      <c r="H3364" s="3">
        <v>73642400</v>
      </c>
    </row>
    <row r="3365" spans="1:9" x14ac:dyDescent="0.35">
      <c r="A3365" t="str">
        <f>"67265"</f>
        <v>67265</v>
      </c>
      <c r="B3365" t="s">
        <v>36</v>
      </c>
      <c r="C3365" t="s">
        <v>1279</v>
      </c>
      <c r="D3365" s="5" t="str">
        <f>"006"</f>
        <v>006</v>
      </c>
      <c r="E3365" s="5">
        <v>2017</v>
      </c>
      <c r="F3365" s="3">
        <v>1801800</v>
      </c>
      <c r="G3365" s="3">
        <v>47036200</v>
      </c>
      <c r="H3365" s="3">
        <v>45234400</v>
      </c>
    </row>
    <row r="3366" spans="1:9" x14ac:dyDescent="0.35">
      <c r="A3366" t="str">
        <f>"67265"</f>
        <v>67265</v>
      </c>
      <c r="B3366" t="s">
        <v>36</v>
      </c>
      <c r="C3366" t="s">
        <v>1279</v>
      </c>
      <c r="D3366" s="5" t="str">
        <f>"007"</f>
        <v>007</v>
      </c>
      <c r="E3366" s="5">
        <v>2021</v>
      </c>
      <c r="F3366" s="3">
        <v>22278000</v>
      </c>
      <c r="G3366" s="3">
        <v>166078100</v>
      </c>
      <c r="H3366" s="3">
        <v>143800100</v>
      </c>
    </row>
    <row r="3367" spans="1:9" x14ac:dyDescent="0.35">
      <c r="A3367" t="str">
        <f>"67265"</f>
        <v>67265</v>
      </c>
      <c r="B3367" t="s">
        <v>36</v>
      </c>
      <c r="C3367" t="s">
        <v>1279</v>
      </c>
      <c r="D3367" s="5" t="str">
        <f>"008"</f>
        <v>008</v>
      </c>
      <c r="E3367" s="5">
        <v>2023</v>
      </c>
      <c r="F3367" s="3">
        <v>493900</v>
      </c>
      <c r="G3367" s="3">
        <v>493900</v>
      </c>
      <c r="H3367" s="3">
        <v>0</v>
      </c>
    </row>
    <row r="3368" spans="1:9" x14ac:dyDescent="0.35">
      <c r="A3368" t="str">
        <f>"67265"</f>
        <v>67265</v>
      </c>
      <c r="B3368" t="s">
        <v>36</v>
      </c>
      <c r="C3368" t="s">
        <v>1279</v>
      </c>
      <c r="D3368" s="5" t="s">
        <v>11</v>
      </c>
      <c r="E3368" s="5" t="s">
        <v>12</v>
      </c>
      <c r="F3368" s="3" t="s">
        <v>13</v>
      </c>
      <c r="G3368" s="3" t="s">
        <v>13</v>
      </c>
      <c r="H3368" s="3" t="s">
        <v>13</v>
      </c>
      <c r="I3368" s="3">
        <v>4439893500</v>
      </c>
    </row>
    <row r="3369" spans="1:9" x14ac:dyDescent="0.35">
      <c r="A3369" t="str">
        <f>"67270"</f>
        <v>67270</v>
      </c>
      <c r="B3369" t="s">
        <v>36</v>
      </c>
      <c r="C3369" t="s">
        <v>1289</v>
      </c>
      <c r="D3369" s="5" t="s">
        <v>11</v>
      </c>
      <c r="E3369" s="5" t="s">
        <v>12</v>
      </c>
      <c r="F3369" s="3" t="s">
        <v>13</v>
      </c>
      <c r="G3369" s="3" t="s">
        <v>13</v>
      </c>
      <c r="H3369" s="3" t="s">
        <v>13</v>
      </c>
      <c r="I3369" s="3">
        <v>5603026800</v>
      </c>
    </row>
    <row r="3370" spans="1:9" x14ac:dyDescent="0.35">
      <c r="A3370" t="str">
        <f t="shared" ref="A3370:A3384" si="79">"67291"</f>
        <v>67291</v>
      </c>
      <c r="B3370" t="s">
        <v>36</v>
      </c>
      <c r="C3370" t="s">
        <v>1292</v>
      </c>
      <c r="D3370" s="5" t="str">
        <f>"011"</f>
        <v>011</v>
      </c>
      <c r="E3370" s="5">
        <v>1997</v>
      </c>
      <c r="F3370" s="3">
        <v>33833500</v>
      </c>
      <c r="G3370" s="3">
        <v>154601500</v>
      </c>
      <c r="H3370" s="3">
        <v>120768000</v>
      </c>
    </row>
    <row r="3371" spans="1:9" x14ac:dyDescent="0.35">
      <c r="A3371" t="str">
        <f t="shared" si="79"/>
        <v>67291</v>
      </c>
      <c r="B3371" t="s">
        <v>36</v>
      </c>
      <c r="C3371" t="s">
        <v>1292</v>
      </c>
      <c r="D3371" s="5" t="str">
        <f>"012"</f>
        <v>012</v>
      </c>
      <c r="E3371" s="5">
        <v>2001</v>
      </c>
      <c r="F3371" s="3">
        <v>107700</v>
      </c>
      <c r="G3371" s="3">
        <v>57869200</v>
      </c>
      <c r="H3371" s="3">
        <v>57761500</v>
      </c>
    </row>
    <row r="3372" spans="1:9" x14ac:dyDescent="0.35">
      <c r="A3372" t="str">
        <f t="shared" si="79"/>
        <v>67291</v>
      </c>
      <c r="B3372" t="s">
        <v>36</v>
      </c>
      <c r="C3372" t="s">
        <v>1292</v>
      </c>
      <c r="D3372" s="5" t="str">
        <f>"013"</f>
        <v>013</v>
      </c>
      <c r="E3372" s="5">
        <v>2003</v>
      </c>
      <c r="F3372" s="3">
        <v>314000</v>
      </c>
      <c r="G3372" s="3">
        <v>8286600</v>
      </c>
      <c r="H3372" s="3">
        <v>7972600</v>
      </c>
    </row>
    <row r="3373" spans="1:9" x14ac:dyDescent="0.35">
      <c r="A3373" t="str">
        <f t="shared" si="79"/>
        <v>67291</v>
      </c>
      <c r="B3373" t="s">
        <v>36</v>
      </c>
      <c r="C3373" t="s">
        <v>1292</v>
      </c>
      <c r="D3373" s="5" t="str">
        <f>"017"</f>
        <v>017</v>
      </c>
      <c r="E3373" s="5">
        <v>2007</v>
      </c>
      <c r="F3373" s="3">
        <v>57253700</v>
      </c>
      <c r="G3373" s="3">
        <v>149640800</v>
      </c>
      <c r="H3373" s="3">
        <v>92387100</v>
      </c>
    </row>
    <row r="3374" spans="1:9" x14ac:dyDescent="0.35">
      <c r="A3374" t="str">
        <f t="shared" si="79"/>
        <v>67291</v>
      </c>
      <c r="B3374" t="s">
        <v>36</v>
      </c>
      <c r="C3374" t="s">
        <v>1292</v>
      </c>
      <c r="D3374" s="5" t="str">
        <f>"019"</f>
        <v>019</v>
      </c>
      <c r="E3374" s="5">
        <v>2010</v>
      </c>
      <c r="F3374" s="3">
        <v>10949700</v>
      </c>
      <c r="G3374" s="3">
        <v>34458600</v>
      </c>
      <c r="H3374" s="3">
        <v>23508900</v>
      </c>
    </row>
    <row r="3375" spans="1:9" x14ac:dyDescent="0.35">
      <c r="A3375" t="str">
        <f t="shared" si="79"/>
        <v>67291</v>
      </c>
      <c r="B3375" t="s">
        <v>36</v>
      </c>
      <c r="C3375" t="s">
        <v>1292</v>
      </c>
      <c r="D3375" s="5" t="str">
        <f>"020"</f>
        <v>020</v>
      </c>
      <c r="E3375" s="5">
        <v>2010</v>
      </c>
      <c r="F3375" s="3">
        <v>19093600</v>
      </c>
      <c r="G3375" s="3">
        <v>36689000</v>
      </c>
      <c r="H3375" s="3">
        <v>17595400</v>
      </c>
    </row>
    <row r="3376" spans="1:9" x14ac:dyDescent="0.35">
      <c r="A3376" t="str">
        <f t="shared" si="79"/>
        <v>67291</v>
      </c>
      <c r="B3376" t="s">
        <v>36</v>
      </c>
      <c r="C3376" t="s">
        <v>1292</v>
      </c>
      <c r="D3376" s="5" t="str">
        <f>"024"</f>
        <v>024</v>
      </c>
      <c r="E3376" s="5">
        <v>2018</v>
      </c>
      <c r="F3376" s="3">
        <v>9692500</v>
      </c>
      <c r="G3376" s="3">
        <v>24524400</v>
      </c>
      <c r="H3376" s="3">
        <v>14831900</v>
      </c>
    </row>
    <row r="3377" spans="1:9" x14ac:dyDescent="0.35">
      <c r="A3377" t="str">
        <f t="shared" si="79"/>
        <v>67291</v>
      </c>
      <c r="B3377" t="s">
        <v>36</v>
      </c>
      <c r="C3377" t="s">
        <v>1292</v>
      </c>
      <c r="D3377" s="5" t="str">
        <f>"025"</f>
        <v>025</v>
      </c>
      <c r="E3377" s="5">
        <v>2015</v>
      </c>
      <c r="F3377" s="3">
        <v>5200100</v>
      </c>
      <c r="G3377" s="3">
        <v>23735200</v>
      </c>
      <c r="H3377" s="3">
        <v>18535100</v>
      </c>
    </row>
    <row r="3378" spans="1:9" x14ac:dyDescent="0.35">
      <c r="A3378" t="str">
        <f t="shared" si="79"/>
        <v>67291</v>
      </c>
      <c r="B3378" t="s">
        <v>36</v>
      </c>
      <c r="C3378" t="s">
        <v>1292</v>
      </c>
      <c r="D3378" s="5" t="str">
        <f>"026"</f>
        <v>026</v>
      </c>
      <c r="E3378" s="5">
        <v>2019</v>
      </c>
      <c r="F3378" s="3">
        <v>4546800</v>
      </c>
      <c r="G3378" s="3">
        <v>7314900</v>
      </c>
      <c r="H3378" s="3">
        <v>2768100</v>
      </c>
    </row>
    <row r="3379" spans="1:9" x14ac:dyDescent="0.35">
      <c r="A3379" t="str">
        <f t="shared" si="79"/>
        <v>67291</v>
      </c>
      <c r="B3379" t="s">
        <v>36</v>
      </c>
      <c r="C3379" t="s">
        <v>1292</v>
      </c>
      <c r="D3379" s="5" t="str">
        <f>"027"</f>
        <v>027</v>
      </c>
      <c r="E3379" s="5">
        <v>2020</v>
      </c>
      <c r="F3379" s="3">
        <v>2874400</v>
      </c>
      <c r="G3379" s="3">
        <v>37251100</v>
      </c>
      <c r="H3379" s="3">
        <v>34376700</v>
      </c>
    </row>
    <row r="3380" spans="1:9" x14ac:dyDescent="0.35">
      <c r="A3380" t="str">
        <f t="shared" si="79"/>
        <v>67291</v>
      </c>
      <c r="B3380" t="s">
        <v>36</v>
      </c>
      <c r="C3380" t="s">
        <v>1292</v>
      </c>
      <c r="D3380" s="5" t="str">
        <f>"028"</f>
        <v>028</v>
      </c>
      <c r="E3380" s="5">
        <v>2020</v>
      </c>
      <c r="F3380" s="3">
        <v>1155100</v>
      </c>
      <c r="G3380" s="3">
        <v>41562700</v>
      </c>
      <c r="H3380" s="3">
        <v>40407600</v>
      </c>
    </row>
    <row r="3381" spans="1:9" x14ac:dyDescent="0.35">
      <c r="A3381" t="str">
        <f t="shared" si="79"/>
        <v>67291</v>
      </c>
      <c r="B3381" t="s">
        <v>36</v>
      </c>
      <c r="C3381" t="s">
        <v>1292</v>
      </c>
      <c r="D3381" s="5" t="str">
        <f>"029"</f>
        <v>029</v>
      </c>
      <c r="E3381" s="5">
        <v>2020</v>
      </c>
      <c r="F3381" s="3">
        <v>3273600</v>
      </c>
      <c r="G3381" s="3">
        <v>4923000</v>
      </c>
      <c r="H3381" s="3">
        <v>1649400</v>
      </c>
    </row>
    <row r="3382" spans="1:9" x14ac:dyDescent="0.35">
      <c r="A3382" t="str">
        <f t="shared" si="79"/>
        <v>67291</v>
      </c>
      <c r="B3382" t="s">
        <v>36</v>
      </c>
      <c r="C3382" t="s">
        <v>1292</v>
      </c>
      <c r="D3382" s="5" t="str">
        <f>"030"</f>
        <v>030</v>
      </c>
      <c r="E3382" s="5">
        <v>2021</v>
      </c>
      <c r="F3382" s="3">
        <v>504800</v>
      </c>
      <c r="G3382" s="3">
        <v>24833700</v>
      </c>
      <c r="H3382" s="3">
        <v>24328900</v>
      </c>
    </row>
    <row r="3383" spans="1:9" x14ac:dyDescent="0.35">
      <c r="A3383" t="str">
        <f t="shared" si="79"/>
        <v>67291</v>
      </c>
      <c r="B3383" t="s">
        <v>36</v>
      </c>
      <c r="C3383" t="s">
        <v>1292</v>
      </c>
      <c r="D3383" s="5" t="str">
        <f>"031"</f>
        <v>031</v>
      </c>
      <c r="E3383" s="5">
        <v>2023</v>
      </c>
      <c r="F3383" s="3">
        <v>4203400</v>
      </c>
      <c r="G3383" s="3">
        <v>8993900</v>
      </c>
      <c r="H3383" s="3">
        <v>4790500</v>
      </c>
    </row>
    <row r="3384" spans="1:9" x14ac:dyDescent="0.35">
      <c r="A3384" t="str">
        <f t="shared" si="79"/>
        <v>67291</v>
      </c>
      <c r="B3384" t="s">
        <v>36</v>
      </c>
      <c r="C3384" t="s">
        <v>1292</v>
      </c>
      <c r="D3384" s="5" t="s">
        <v>11</v>
      </c>
      <c r="E3384" s="5" t="s">
        <v>12</v>
      </c>
      <c r="F3384" s="3" t="s">
        <v>13</v>
      </c>
      <c r="G3384" s="3" t="s">
        <v>13</v>
      </c>
      <c r="H3384" s="3" t="s">
        <v>13</v>
      </c>
      <c r="I3384" s="3">
        <v>11101802900</v>
      </c>
    </row>
    <row r="3385" spans="1:9" x14ac:dyDescent="0.35">
      <c r="A3385" t="s">
        <v>30</v>
      </c>
      <c r="B3385" t="s">
        <v>38</v>
      </c>
      <c r="C3385" t="s">
        <v>32</v>
      </c>
      <c r="D3385" s="5" t="s">
        <v>11</v>
      </c>
      <c r="E3385" s="5" t="s">
        <v>12</v>
      </c>
      <c r="F3385" s="3" t="s">
        <v>13</v>
      </c>
      <c r="G3385" s="3" t="s">
        <v>13</v>
      </c>
      <c r="H3385" s="3" t="s">
        <v>13</v>
      </c>
      <c r="I3385" s="3">
        <v>50159205600</v>
      </c>
    </row>
    <row r="3386" spans="1:9" x14ac:dyDescent="0.35">
      <c r="A3386" t="s">
        <v>30</v>
      </c>
      <c r="B3386" t="s">
        <v>39</v>
      </c>
      <c r="C3386" t="s">
        <v>1292</v>
      </c>
      <c r="D3386" s="5" t="s">
        <v>11</v>
      </c>
      <c r="E3386" s="5" t="s">
        <v>12</v>
      </c>
      <c r="F3386" s="3" t="s">
        <v>13</v>
      </c>
      <c r="G3386" s="3" t="s">
        <v>13</v>
      </c>
      <c r="H3386" s="3" t="s">
        <v>13</v>
      </c>
      <c r="I3386" s="3">
        <v>99780860200</v>
      </c>
    </row>
    <row r="3387" spans="1:9" x14ac:dyDescent="0.35">
      <c r="A3387" t="str">
        <f>"68002"</f>
        <v>68002</v>
      </c>
      <c r="B3387" t="s">
        <v>9</v>
      </c>
      <c r="C3387" t="s">
        <v>907</v>
      </c>
      <c r="D3387" s="5" t="s">
        <v>11</v>
      </c>
      <c r="E3387" s="5" t="s">
        <v>12</v>
      </c>
      <c r="F3387" s="3" t="s">
        <v>13</v>
      </c>
      <c r="G3387" s="3" t="s">
        <v>13</v>
      </c>
      <c r="H3387" s="3" t="s">
        <v>13</v>
      </c>
      <c r="I3387" s="3">
        <v>128346800</v>
      </c>
    </row>
    <row r="3388" spans="1:9" x14ac:dyDescent="0.35">
      <c r="A3388" t="str">
        <f>"68004"</f>
        <v>68004</v>
      </c>
      <c r="B3388" t="s">
        <v>9</v>
      </c>
      <c r="C3388" t="s">
        <v>253</v>
      </c>
      <c r="D3388" s="5" t="s">
        <v>11</v>
      </c>
      <c r="E3388" s="5" t="s">
        <v>12</v>
      </c>
      <c r="F3388" s="3" t="s">
        <v>13</v>
      </c>
      <c r="G3388" s="3" t="s">
        <v>13</v>
      </c>
      <c r="H3388" s="3" t="s">
        <v>13</v>
      </c>
      <c r="I3388" s="3">
        <v>344877700</v>
      </c>
    </row>
    <row r="3389" spans="1:9" x14ac:dyDescent="0.35">
      <c r="A3389" t="str">
        <f>"68006"</f>
        <v>68006</v>
      </c>
      <c r="B3389" t="s">
        <v>9</v>
      </c>
      <c r="C3389" t="s">
        <v>1024</v>
      </c>
      <c r="D3389" s="5" t="s">
        <v>11</v>
      </c>
      <c r="E3389" s="5" t="s">
        <v>12</v>
      </c>
      <c r="F3389" s="3" t="s">
        <v>13</v>
      </c>
      <c r="G3389" s="3" t="s">
        <v>13</v>
      </c>
      <c r="H3389" s="3" t="s">
        <v>13</v>
      </c>
      <c r="I3389" s="3">
        <v>917234900</v>
      </c>
    </row>
    <row r="3390" spans="1:9" x14ac:dyDescent="0.35">
      <c r="A3390" t="str">
        <f>"68008"</f>
        <v>68008</v>
      </c>
      <c r="B3390" t="s">
        <v>9</v>
      </c>
      <c r="C3390" t="s">
        <v>1295</v>
      </c>
      <c r="D3390" s="5" t="s">
        <v>11</v>
      </c>
      <c r="E3390" s="5" t="s">
        <v>12</v>
      </c>
      <c r="F3390" s="3" t="s">
        <v>13</v>
      </c>
      <c r="G3390" s="3" t="s">
        <v>13</v>
      </c>
      <c r="H3390" s="3" t="s">
        <v>13</v>
      </c>
      <c r="I3390" s="3">
        <v>115485500</v>
      </c>
    </row>
    <row r="3391" spans="1:9" x14ac:dyDescent="0.35">
      <c r="A3391" t="str">
        <f>"68010"</f>
        <v>68010</v>
      </c>
      <c r="B3391" t="s">
        <v>9</v>
      </c>
      <c r="C3391" t="s">
        <v>605</v>
      </c>
      <c r="D3391" s="5" t="s">
        <v>11</v>
      </c>
      <c r="E3391" s="5" t="s">
        <v>12</v>
      </c>
      <c r="F3391" s="3" t="s">
        <v>13</v>
      </c>
      <c r="G3391" s="3" t="s">
        <v>13</v>
      </c>
      <c r="H3391" s="3" t="s">
        <v>13</v>
      </c>
      <c r="I3391" s="3">
        <v>1024133400</v>
      </c>
    </row>
    <row r="3392" spans="1:9" x14ac:dyDescent="0.35">
      <c r="A3392" t="str">
        <f>"68012"</f>
        <v>68012</v>
      </c>
      <c r="B3392" t="s">
        <v>9</v>
      </c>
      <c r="C3392" t="s">
        <v>219</v>
      </c>
      <c r="D3392" s="5" t="s">
        <v>11</v>
      </c>
      <c r="E3392" s="5" t="s">
        <v>12</v>
      </c>
      <c r="F3392" s="3" t="s">
        <v>13</v>
      </c>
      <c r="G3392" s="3" t="s">
        <v>13</v>
      </c>
      <c r="H3392" s="3" t="s">
        <v>13</v>
      </c>
      <c r="I3392" s="3">
        <v>167700000</v>
      </c>
    </row>
    <row r="3393" spans="1:9" x14ac:dyDescent="0.35">
      <c r="A3393" t="str">
        <f>"68014"</f>
        <v>68014</v>
      </c>
      <c r="B3393" t="s">
        <v>9</v>
      </c>
      <c r="C3393" t="s">
        <v>174</v>
      </c>
      <c r="D3393" s="5" t="s">
        <v>11</v>
      </c>
      <c r="E3393" s="5" t="s">
        <v>12</v>
      </c>
      <c r="F3393" s="3" t="s">
        <v>13</v>
      </c>
      <c r="G3393" s="3" t="s">
        <v>13</v>
      </c>
      <c r="H3393" s="3" t="s">
        <v>13</v>
      </c>
      <c r="I3393" s="3">
        <v>106324500</v>
      </c>
    </row>
    <row r="3394" spans="1:9" x14ac:dyDescent="0.35">
      <c r="A3394" t="str">
        <f>"68016"</f>
        <v>68016</v>
      </c>
      <c r="B3394" t="s">
        <v>9</v>
      </c>
      <c r="C3394" t="s">
        <v>1296</v>
      </c>
      <c r="D3394" s="5" t="s">
        <v>11</v>
      </c>
      <c r="E3394" s="5" t="s">
        <v>12</v>
      </c>
      <c r="F3394" s="3" t="s">
        <v>13</v>
      </c>
      <c r="G3394" s="3" t="s">
        <v>13</v>
      </c>
      <c r="H3394" s="3" t="s">
        <v>13</v>
      </c>
      <c r="I3394" s="3">
        <v>140310100</v>
      </c>
    </row>
    <row r="3395" spans="1:9" x14ac:dyDescent="0.35">
      <c r="A3395" t="str">
        <f>"68018"</f>
        <v>68018</v>
      </c>
      <c r="B3395" t="s">
        <v>9</v>
      </c>
      <c r="C3395" t="s">
        <v>1297</v>
      </c>
      <c r="D3395" s="5" t="s">
        <v>11</v>
      </c>
      <c r="E3395" s="5" t="s">
        <v>12</v>
      </c>
      <c r="F3395" s="3" t="s">
        <v>13</v>
      </c>
      <c r="G3395" s="3" t="s">
        <v>13</v>
      </c>
      <c r="H3395" s="3" t="s">
        <v>13</v>
      </c>
      <c r="I3395" s="3">
        <v>220437700</v>
      </c>
    </row>
    <row r="3396" spans="1:9" x14ac:dyDescent="0.35">
      <c r="A3396" t="str">
        <f>"68020"</f>
        <v>68020</v>
      </c>
      <c r="B3396" t="s">
        <v>9</v>
      </c>
      <c r="C3396" t="s">
        <v>1298</v>
      </c>
      <c r="D3396" s="5" t="s">
        <v>11</v>
      </c>
      <c r="E3396" s="5" t="s">
        <v>12</v>
      </c>
      <c r="F3396" s="3" t="s">
        <v>13</v>
      </c>
      <c r="G3396" s="3" t="s">
        <v>13</v>
      </c>
      <c r="H3396" s="3" t="s">
        <v>13</v>
      </c>
      <c r="I3396" s="3">
        <v>182445400</v>
      </c>
    </row>
    <row r="3397" spans="1:9" x14ac:dyDescent="0.35">
      <c r="A3397" t="str">
        <f>"68022"</f>
        <v>68022</v>
      </c>
      <c r="B3397" t="s">
        <v>9</v>
      </c>
      <c r="C3397" t="s">
        <v>359</v>
      </c>
      <c r="D3397" s="5" t="s">
        <v>11</v>
      </c>
      <c r="E3397" s="5" t="s">
        <v>12</v>
      </c>
      <c r="F3397" s="3" t="s">
        <v>13</v>
      </c>
      <c r="G3397" s="3" t="s">
        <v>13</v>
      </c>
      <c r="H3397" s="3" t="s">
        <v>13</v>
      </c>
      <c r="I3397" s="3">
        <v>238854800</v>
      </c>
    </row>
    <row r="3398" spans="1:9" x14ac:dyDescent="0.35">
      <c r="A3398" t="str">
        <f>"68024"</f>
        <v>68024</v>
      </c>
      <c r="B3398" t="s">
        <v>9</v>
      </c>
      <c r="C3398" t="s">
        <v>1299</v>
      </c>
      <c r="D3398" s="5" t="s">
        <v>11</v>
      </c>
      <c r="E3398" s="5" t="s">
        <v>12</v>
      </c>
      <c r="F3398" s="3" t="s">
        <v>13</v>
      </c>
      <c r="G3398" s="3" t="s">
        <v>13</v>
      </c>
      <c r="H3398" s="3" t="s">
        <v>13</v>
      </c>
      <c r="I3398" s="3">
        <v>250524500</v>
      </c>
    </row>
    <row r="3399" spans="1:9" x14ac:dyDescent="0.35">
      <c r="A3399" t="str">
        <f>"68026"</f>
        <v>68026</v>
      </c>
      <c r="B3399" t="s">
        <v>9</v>
      </c>
      <c r="C3399" t="s">
        <v>1300</v>
      </c>
      <c r="D3399" s="5" t="s">
        <v>11</v>
      </c>
      <c r="E3399" s="5" t="s">
        <v>12</v>
      </c>
      <c r="F3399" s="3" t="s">
        <v>13</v>
      </c>
      <c r="G3399" s="3" t="s">
        <v>13</v>
      </c>
      <c r="H3399" s="3" t="s">
        <v>13</v>
      </c>
      <c r="I3399" s="3">
        <v>219097300</v>
      </c>
    </row>
    <row r="3400" spans="1:9" x14ac:dyDescent="0.35">
      <c r="A3400" t="str">
        <f>"68028"</f>
        <v>68028</v>
      </c>
      <c r="B3400" t="s">
        <v>9</v>
      </c>
      <c r="C3400" t="s">
        <v>1301</v>
      </c>
      <c r="D3400" s="5" t="s">
        <v>11</v>
      </c>
      <c r="E3400" s="5" t="s">
        <v>12</v>
      </c>
      <c r="F3400" s="3" t="s">
        <v>13</v>
      </c>
      <c r="G3400" s="3" t="s">
        <v>13</v>
      </c>
      <c r="H3400" s="3" t="s">
        <v>13</v>
      </c>
      <c r="I3400" s="3">
        <v>139018300</v>
      </c>
    </row>
    <row r="3401" spans="1:9" x14ac:dyDescent="0.35">
      <c r="A3401" t="str">
        <f>"68030"</f>
        <v>68030</v>
      </c>
      <c r="B3401" t="s">
        <v>9</v>
      </c>
      <c r="C3401" t="s">
        <v>1302</v>
      </c>
      <c r="D3401" s="5" t="s">
        <v>11</v>
      </c>
      <c r="E3401" s="5" t="s">
        <v>12</v>
      </c>
      <c r="F3401" s="3" t="s">
        <v>13</v>
      </c>
      <c r="G3401" s="3" t="s">
        <v>13</v>
      </c>
      <c r="H3401" s="3" t="s">
        <v>13</v>
      </c>
      <c r="I3401" s="3">
        <v>450073700</v>
      </c>
    </row>
    <row r="3402" spans="1:9" x14ac:dyDescent="0.35">
      <c r="A3402" t="str">
        <f>"68032"</f>
        <v>68032</v>
      </c>
      <c r="B3402" t="s">
        <v>9</v>
      </c>
      <c r="C3402" t="s">
        <v>1303</v>
      </c>
      <c r="D3402" s="5" t="s">
        <v>11</v>
      </c>
      <c r="E3402" s="5" t="s">
        <v>12</v>
      </c>
      <c r="F3402" s="3" t="s">
        <v>13</v>
      </c>
      <c r="G3402" s="3" t="s">
        <v>13</v>
      </c>
      <c r="H3402" s="3" t="s">
        <v>13</v>
      </c>
      <c r="I3402" s="3">
        <v>269915500</v>
      </c>
    </row>
    <row r="3403" spans="1:9" x14ac:dyDescent="0.35">
      <c r="A3403" t="str">
        <f>"68034"</f>
        <v>68034</v>
      </c>
      <c r="B3403" t="s">
        <v>9</v>
      </c>
      <c r="C3403" t="s">
        <v>1304</v>
      </c>
      <c r="D3403" s="5" t="s">
        <v>11</v>
      </c>
      <c r="E3403" s="5" t="s">
        <v>12</v>
      </c>
      <c r="F3403" s="3" t="s">
        <v>13</v>
      </c>
      <c r="G3403" s="3" t="s">
        <v>13</v>
      </c>
      <c r="H3403" s="3" t="s">
        <v>13</v>
      </c>
      <c r="I3403" s="3">
        <v>114000700</v>
      </c>
    </row>
    <row r="3404" spans="1:9" x14ac:dyDescent="0.35">
      <c r="A3404" t="str">
        <f>"68036"</f>
        <v>68036</v>
      </c>
      <c r="B3404" t="s">
        <v>9</v>
      </c>
      <c r="C3404" t="s">
        <v>1305</v>
      </c>
      <c r="D3404" s="5" t="s">
        <v>11</v>
      </c>
      <c r="E3404" s="5" t="s">
        <v>12</v>
      </c>
      <c r="F3404" s="3" t="s">
        <v>13</v>
      </c>
      <c r="G3404" s="3" t="s">
        <v>13</v>
      </c>
      <c r="H3404" s="3" t="s">
        <v>13</v>
      </c>
      <c r="I3404" s="3">
        <v>234746700</v>
      </c>
    </row>
    <row r="3405" spans="1:9" x14ac:dyDescent="0.35">
      <c r="A3405" t="str">
        <f>"68038"</f>
        <v>68038</v>
      </c>
      <c r="B3405" t="s">
        <v>9</v>
      </c>
      <c r="C3405" t="s">
        <v>164</v>
      </c>
      <c r="D3405" s="5" t="s">
        <v>11</v>
      </c>
      <c r="E3405" s="5" t="s">
        <v>12</v>
      </c>
      <c r="F3405" s="3" t="s">
        <v>13</v>
      </c>
      <c r="G3405" s="3" t="s">
        <v>13</v>
      </c>
      <c r="H3405" s="3" t="s">
        <v>13</v>
      </c>
      <c r="I3405" s="3">
        <v>120088700</v>
      </c>
    </row>
    <row r="3406" spans="1:9" x14ac:dyDescent="0.35">
      <c r="A3406" t="str">
        <f>"68040"</f>
        <v>68040</v>
      </c>
      <c r="B3406" t="s">
        <v>9</v>
      </c>
      <c r="C3406" t="s">
        <v>1306</v>
      </c>
      <c r="D3406" s="5" t="s">
        <v>11</v>
      </c>
      <c r="E3406" s="5" t="s">
        <v>12</v>
      </c>
      <c r="F3406" s="3" t="s">
        <v>13</v>
      </c>
      <c r="G3406" s="3" t="s">
        <v>13</v>
      </c>
      <c r="H3406" s="3" t="s">
        <v>13</v>
      </c>
      <c r="I3406" s="3">
        <v>187634100</v>
      </c>
    </row>
    <row r="3407" spans="1:9" x14ac:dyDescent="0.35">
      <c r="A3407" t="str">
        <f>"68042"</f>
        <v>68042</v>
      </c>
      <c r="B3407" t="s">
        <v>9</v>
      </c>
      <c r="C3407" t="s">
        <v>1307</v>
      </c>
      <c r="D3407" s="5" t="s">
        <v>11</v>
      </c>
      <c r="E3407" s="5" t="s">
        <v>12</v>
      </c>
      <c r="F3407" s="3" t="s">
        <v>13</v>
      </c>
      <c r="G3407" s="3" t="s">
        <v>13</v>
      </c>
      <c r="H3407" s="3" t="s">
        <v>13</v>
      </c>
      <c r="I3407" s="3">
        <v>100498300</v>
      </c>
    </row>
    <row r="3408" spans="1:9" x14ac:dyDescent="0.35">
      <c r="A3408" t="str">
        <f>"68044"</f>
        <v>68044</v>
      </c>
      <c r="B3408" t="s">
        <v>9</v>
      </c>
      <c r="C3408" t="s">
        <v>565</v>
      </c>
      <c r="D3408" s="5" t="s">
        <v>11</v>
      </c>
      <c r="E3408" s="5" t="s">
        <v>12</v>
      </c>
      <c r="F3408" s="3" t="s">
        <v>13</v>
      </c>
      <c r="G3408" s="3" t="s">
        <v>13</v>
      </c>
      <c r="H3408" s="3" t="s">
        <v>13</v>
      </c>
      <c r="I3408" s="3">
        <v>68792400</v>
      </c>
    </row>
    <row r="3409" spans="1:9" x14ac:dyDescent="0.35">
      <c r="A3409" t="s">
        <v>30</v>
      </c>
      <c r="B3409" t="s">
        <v>31</v>
      </c>
      <c r="C3409" t="s">
        <v>32</v>
      </c>
      <c r="D3409" s="5" t="s">
        <v>11</v>
      </c>
      <c r="E3409" s="5" t="s">
        <v>12</v>
      </c>
      <c r="F3409" s="3" t="s">
        <v>13</v>
      </c>
      <c r="G3409" s="3" t="s">
        <v>13</v>
      </c>
      <c r="H3409" s="3" t="s">
        <v>13</v>
      </c>
      <c r="I3409" s="3">
        <v>5740541000</v>
      </c>
    </row>
    <row r="3410" spans="1:9" x14ac:dyDescent="0.35">
      <c r="A3410" t="str">
        <f>"68106"</f>
        <v>68106</v>
      </c>
      <c r="B3410" t="s">
        <v>33</v>
      </c>
      <c r="C3410" t="s">
        <v>1056</v>
      </c>
      <c r="D3410" s="5" t="s">
        <v>11</v>
      </c>
      <c r="E3410" s="5" t="s">
        <v>12</v>
      </c>
      <c r="F3410" s="3" t="s">
        <v>13</v>
      </c>
      <c r="G3410" s="3" t="s">
        <v>13</v>
      </c>
      <c r="H3410" s="3" t="s">
        <v>13</v>
      </c>
      <c r="I3410" s="3">
        <v>5336600</v>
      </c>
    </row>
    <row r="3411" spans="1:9" x14ac:dyDescent="0.35">
      <c r="A3411" t="str">
        <f>"68121"</f>
        <v>68121</v>
      </c>
      <c r="B3411" t="s">
        <v>33</v>
      </c>
      <c r="C3411" t="s">
        <v>1308</v>
      </c>
      <c r="D3411" s="5" t="s">
        <v>11</v>
      </c>
      <c r="E3411" s="5" t="s">
        <v>12</v>
      </c>
      <c r="F3411" s="3" t="s">
        <v>13</v>
      </c>
      <c r="G3411" s="3" t="s">
        <v>13</v>
      </c>
      <c r="H3411" s="3" t="s">
        <v>13</v>
      </c>
      <c r="I3411" s="3">
        <v>33295800</v>
      </c>
    </row>
    <row r="3412" spans="1:9" x14ac:dyDescent="0.35">
      <c r="A3412" t="str">
        <f>"68126"</f>
        <v>68126</v>
      </c>
      <c r="B3412" t="s">
        <v>33</v>
      </c>
      <c r="C3412" t="s">
        <v>219</v>
      </c>
      <c r="D3412" s="5" t="str">
        <f>"001"</f>
        <v>001</v>
      </c>
      <c r="E3412" s="5">
        <v>2021</v>
      </c>
      <c r="F3412" s="3">
        <v>336800</v>
      </c>
      <c r="G3412" s="3">
        <v>4105000</v>
      </c>
      <c r="H3412" s="3">
        <v>3768200</v>
      </c>
    </row>
    <row r="3413" spans="1:9" x14ac:dyDescent="0.35">
      <c r="A3413" t="str">
        <f>"68126"</f>
        <v>68126</v>
      </c>
      <c r="B3413" t="s">
        <v>33</v>
      </c>
      <c r="C3413" t="s">
        <v>219</v>
      </c>
      <c r="D3413" s="5" t="s">
        <v>11</v>
      </c>
      <c r="E3413" s="5" t="s">
        <v>12</v>
      </c>
      <c r="F3413" s="3" t="s">
        <v>13</v>
      </c>
      <c r="G3413" s="3" t="s">
        <v>13</v>
      </c>
      <c r="H3413" s="3" t="s">
        <v>13</v>
      </c>
      <c r="I3413" s="3">
        <v>149843700</v>
      </c>
    </row>
    <row r="3414" spans="1:9" x14ac:dyDescent="0.35">
      <c r="A3414" t="str">
        <f>"68141"</f>
        <v>68141</v>
      </c>
      <c r="B3414" t="s">
        <v>33</v>
      </c>
      <c r="C3414" t="s">
        <v>1297</v>
      </c>
      <c r="D3414" s="5" t="s">
        <v>11</v>
      </c>
      <c r="E3414" s="5" t="s">
        <v>12</v>
      </c>
      <c r="F3414" s="3" t="s">
        <v>13</v>
      </c>
      <c r="G3414" s="3" t="s">
        <v>13</v>
      </c>
      <c r="H3414" s="3" t="s">
        <v>13</v>
      </c>
      <c r="I3414" s="3">
        <v>118659200</v>
      </c>
    </row>
    <row r="3415" spans="1:9" x14ac:dyDescent="0.35">
      <c r="A3415" t="str">
        <f>"68165"</f>
        <v>68165</v>
      </c>
      <c r="B3415" t="s">
        <v>33</v>
      </c>
      <c r="C3415" t="s">
        <v>1309</v>
      </c>
      <c r="D3415" s="5" t="s">
        <v>11</v>
      </c>
      <c r="E3415" s="5" t="s">
        <v>12</v>
      </c>
      <c r="F3415" s="3" t="s">
        <v>13</v>
      </c>
      <c r="G3415" s="3" t="s">
        <v>13</v>
      </c>
      <c r="H3415" s="3" t="s">
        <v>13</v>
      </c>
      <c r="I3415" s="3">
        <v>12688000</v>
      </c>
    </row>
    <row r="3416" spans="1:9" x14ac:dyDescent="0.35">
      <c r="A3416" t="str">
        <f>"68181"</f>
        <v>68181</v>
      </c>
      <c r="B3416" t="s">
        <v>33</v>
      </c>
      <c r="C3416" t="s">
        <v>1305</v>
      </c>
      <c r="D3416" s="5" t="s">
        <v>11</v>
      </c>
      <c r="E3416" s="5" t="s">
        <v>12</v>
      </c>
      <c r="F3416" s="3" t="s">
        <v>13</v>
      </c>
      <c r="G3416" s="3" t="s">
        <v>13</v>
      </c>
      <c r="H3416" s="3" t="s">
        <v>13</v>
      </c>
      <c r="I3416" s="3">
        <v>38270400</v>
      </c>
    </row>
    <row r="3417" spans="1:9" x14ac:dyDescent="0.35">
      <c r="A3417" t="s">
        <v>30</v>
      </c>
      <c r="B3417" t="s">
        <v>35</v>
      </c>
      <c r="C3417" t="s">
        <v>32</v>
      </c>
      <c r="D3417" s="5" t="s">
        <v>11</v>
      </c>
      <c r="E3417" s="5" t="s">
        <v>12</v>
      </c>
      <c r="F3417" s="3" t="s">
        <v>13</v>
      </c>
      <c r="G3417" s="3" t="s">
        <v>13</v>
      </c>
      <c r="H3417" s="3" t="s">
        <v>13</v>
      </c>
      <c r="I3417" s="3">
        <v>358093700</v>
      </c>
    </row>
    <row r="3418" spans="1:9" x14ac:dyDescent="0.35">
      <c r="A3418" t="str">
        <f>"68211"</f>
        <v>68211</v>
      </c>
      <c r="B3418" t="s">
        <v>36</v>
      </c>
      <c r="C3418" t="s">
        <v>1310</v>
      </c>
      <c r="D3418" s="5" t="str">
        <f>"008"</f>
        <v>008</v>
      </c>
      <c r="E3418" s="5">
        <v>2018</v>
      </c>
      <c r="F3418" s="3">
        <v>781200</v>
      </c>
      <c r="G3418" s="3">
        <v>16944900</v>
      </c>
      <c r="H3418" s="3">
        <v>16163700</v>
      </c>
    </row>
    <row r="3419" spans="1:9" x14ac:dyDescent="0.35">
      <c r="A3419" t="str">
        <f>"68211"</f>
        <v>68211</v>
      </c>
      <c r="B3419" t="s">
        <v>36</v>
      </c>
      <c r="C3419" t="s">
        <v>1310</v>
      </c>
      <c r="D3419" s="5" t="str">
        <f>"009"</f>
        <v>009</v>
      </c>
      <c r="E3419" s="5">
        <v>2018</v>
      </c>
      <c r="F3419" s="3">
        <v>4630300</v>
      </c>
      <c r="G3419" s="3">
        <v>6759700</v>
      </c>
      <c r="H3419" s="3">
        <v>2129400</v>
      </c>
    </row>
    <row r="3420" spans="1:9" x14ac:dyDescent="0.35">
      <c r="A3420" t="str">
        <f>"68211"</f>
        <v>68211</v>
      </c>
      <c r="B3420" t="s">
        <v>36</v>
      </c>
      <c r="C3420" t="s">
        <v>1310</v>
      </c>
      <c r="D3420" s="5" t="s">
        <v>11</v>
      </c>
      <c r="E3420" s="5" t="s">
        <v>12</v>
      </c>
      <c r="F3420" s="3" t="s">
        <v>13</v>
      </c>
      <c r="G3420" s="3" t="s">
        <v>13</v>
      </c>
      <c r="H3420" s="3" t="s">
        <v>13</v>
      </c>
      <c r="I3420" s="3">
        <v>363471800</v>
      </c>
    </row>
    <row r="3421" spans="1:9" x14ac:dyDescent="0.35">
      <c r="A3421" t="str">
        <f>"68251"</f>
        <v>68251</v>
      </c>
      <c r="B3421" t="s">
        <v>36</v>
      </c>
      <c r="C3421" t="s">
        <v>1311</v>
      </c>
      <c r="D3421" s="5" t="str">
        <f>"002"</f>
        <v>002</v>
      </c>
      <c r="E3421" s="5">
        <v>2016</v>
      </c>
      <c r="F3421" s="3">
        <v>2316800</v>
      </c>
      <c r="G3421" s="3">
        <v>6335500</v>
      </c>
      <c r="H3421" s="3">
        <v>4018700</v>
      </c>
    </row>
    <row r="3422" spans="1:9" x14ac:dyDescent="0.35">
      <c r="A3422" t="str">
        <f>"68251"</f>
        <v>68251</v>
      </c>
      <c r="B3422" t="s">
        <v>36</v>
      </c>
      <c r="C3422" t="s">
        <v>1311</v>
      </c>
      <c r="D3422" s="5" t="str">
        <f>"003"</f>
        <v>003</v>
      </c>
      <c r="E3422" s="5">
        <v>2018</v>
      </c>
      <c r="F3422" s="3">
        <v>2196300</v>
      </c>
      <c r="G3422" s="3">
        <v>5067500</v>
      </c>
      <c r="H3422" s="3">
        <v>2871200</v>
      </c>
    </row>
    <row r="3423" spans="1:9" x14ac:dyDescent="0.35">
      <c r="A3423" t="str">
        <f>"68251"</f>
        <v>68251</v>
      </c>
      <c r="B3423" t="s">
        <v>36</v>
      </c>
      <c r="C3423" t="s">
        <v>1311</v>
      </c>
      <c r="D3423" s="5" t="s">
        <v>11</v>
      </c>
      <c r="E3423" s="5" t="s">
        <v>12</v>
      </c>
      <c r="F3423" s="3" t="s">
        <v>13</v>
      </c>
      <c r="G3423" s="3" t="s">
        <v>13</v>
      </c>
      <c r="H3423" s="3" t="s">
        <v>13</v>
      </c>
      <c r="I3423" s="3">
        <v>134242700</v>
      </c>
    </row>
    <row r="3424" spans="1:9" x14ac:dyDescent="0.35">
      <c r="A3424" t="str">
        <f>"68252"</f>
        <v>68252</v>
      </c>
      <c r="B3424" t="s">
        <v>36</v>
      </c>
      <c r="C3424" t="s">
        <v>506</v>
      </c>
      <c r="D3424" s="5" t="s">
        <v>11</v>
      </c>
      <c r="E3424" s="5" t="s">
        <v>12</v>
      </c>
      <c r="F3424" s="3" t="s">
        <v>13</v>
      </c>
      <c r="G3424" s="3" t="s">
        <v>13</v>
      </c>
      <c r="H3424" s="3" t="s">
        <v>13</v>
      </c>
      <c r="I3424" s="3">
        <v>123505200</v>
      </c>
    </row>
    <row r="3425" spans="1:9" x14ac:dyDescent="0.35">
      <c r="A3425" t="str">
        <f>"68261"</f>
        <v>68261</v>
      </c>
      <c r="B3425" t="s">
        <v>36</v>
      </c>
      <c r="C3425" t="s">
        <v>916</v>
      </c>
      <c r="D3425" s="5" t="str">
        <f>"004"</f>
        <v>004</v>
      </c>
      <c r="E3425" s="5">
        <v>2021</v>
      </c>
      <c r="F3425" s="3">
        <v>1956900</v>
      </c>
      <c r="G3425" s="3">
        <v>7534900</v>
      </c>
      <c r="H3425" s="3">
        <v>5578000</v>
      </c>
    </row>
    <row r="3426" spans="1:9" x14ac:dyDescent="0.35">
      <c r="A3426" t="str">
        <f>"68261"</f>
        <v>68261</v>
      </c>
      <c r="B3426" t="s">
        <v>36</v>
      </c>
      <c r="C3426" t="s">
        <v>916</v>
      </c>
      <c r="D3426" s="5" t="str">
        <f>"005"</f>
        <v>005</v>
      </c>
      <c r="E3426" s="5">
        <v>2021</v>
      </c>
      <c r="F3426" s="3">
        <v>3441800</v>
      </c>
      <c r="G3426" s="3">
        <v>22725700</v>
      </c>
      <c r="H3426" s="3">
        <v>19283900</v>
      </c>
    </row>
    <row r="3427" spans="1:9" x14ac:dyDescent="0.35">
      <c r="A3427" t="str">
        <f>"68261"</f>
        <v>68261</v>
      </c>
      <c r="B3427" t="s">
        <v>36</v>
      </c>
      <c r="C3427" t="s">
        <v>916</v>
      </c>
      <c r="D3427" s="5" t="str">
        <f>"007"</f>
        <v>007</v>
      </c>
      <c r="E3427" s="5">
        <v>2024</v>
      </c>
      <c r="F3427" s="3">
        <v>557100</v>
      </c>
      <c r="G3427" s="3">
        <v>2743000</v>
      </c>
      <c r="H3427" s="3">
        <v>2185900</v>
      </c>
    </row>
    <row r="3428" spans="1:9" x14ac:dyDescent="0.35">
      <c r="A3428" t="str">
        <f>"68261"</f>
        <v>68261</v>
      </c>
      <c r="B3428" t="s">
        <v>36</v>
      </c>
      <c r="C3428" t="s">
        <v>916</v>
      </c>
      <c r="D3428" s="5" t="s">
        <v>11</v>
      </c>
      <c r="E3428" s="5" t="s">
        <v>12</v>
      </c>
      <c r="F3428" s="3" t="s">
        <v>13</v>
      </c>
      <c r="G3428" s="3" t="s">
        <v>13</v>
      </c>
      <c r="H3428" s="3" t="s">
        <v>13</v>
      </c>
      <c r="I3428" s="3">
        <v>465790100</v>
      </c>
    </row>
    <row r="3429" spans="1:9" x14ac:dyDescent="0.35">
      <c r="A3429" t="str">
        <f t="shared" ref="A3429:A3434" si="80">"68291"</f>
        <v>68291</v>
      </c>
      <c r="B3429" t="s">
        <v>36</v>
      </c>
      <c r="C3429" t="s">
        <v>1306</v>
      </c>
      <c r="D3429" s="5" t="str">
        <f>"004"</f>
        <v>004</v>
      </c>
      <c r="E3429" s="5">
        <v>2000</v>
      </c>
      <c r="F3429" s="3">
        <v>2901600</v>
      </c>
      <c r="G3429" s="3">
        <v>56888100</v>
      </c>
      <c r="H3429" s="3">
        <v>53986500</v>
      </c>
    </row>
    <row r="3430" spans="1:9" x14ac:dyDescent="0.35">
      <c r="A3430" t="str">
        <f t="shared" si="80"/>
        <v>68291</v>
      </c>
      <c r="B3430" t="s">
        <v>36</v>
      </c>
      <c r="C3430" t="s">
        <v>1306</v>
      </c>
      <c r="D3430" s="5" t="str">
        <f>"008"</f>
        <v>008</v>
      </c>
      <c r="E3430" s="5">
        <v>2001</v>
      </c>
      <c r="F3430" s="3">
        <v>1712500</v>
      </c>
      <c r="G3430" s="3">
        <v>36813300</v>
      </c>
      <c r="H3430" s="3">
        <v>35100800</v>
      </c>
    </row>
    <row r="3431" spans="1:9" x14ac:dyDescent="0.35">
      <c r="A3431" t="str">
        <f t="shared" si="80"/>
        <v>68291</v>
      </c>
      <c r="B3431" t="s">
        <v>36</v>
      </c>
      <c r="C3431" t="s">
        <v>1306</v>
      </c>
      <c r="D3431" s="5" t="str">
        <f>"010"</f>
        <v>010</v>
      </c>
      <c r="E3431" s="5">
        <v>2001</v>
      </c>
      <c r="F3431" s="3">
        <v>281800</v>
      </c>
      <c r="G3431" s="3">
        <v>8254700</v>
      </c>
      <c r="H3431" s="3">
        <v>7972900</v>
      </c>
    </row>
    <row r="3432" spans="1:9" x14ac:dyDescent="0.35">
      <c r="A3432" t="str">
        <f t="shared" si="80"/>
        <v>68291</v>
      </c>
      <c r="B3432" t="s">
        <v>36</v>
      </c>
      <c r="C3432" t="s">
        <v>1306</v>
      </c>
      <c r="D3432" s="5" t="str">
        <f>"011"</f>
        <v>011</v>
      </c>
      <c r="E3432" s="5">
        <v>2022</v>
      </c>
      <c r="F3432" s="3">
        <v>12361300</v>
      </c>
      <c r="G3432" s="3">
        <v>22792900</v>
      </c>
      <c r="H3432" s="3">
        <v>10431600</v>
      </c>
    </row>
    <row r="3433" spans="1:9" x14ac:dyDescent="0.35">
      <c r="A3433" t="str">
        <f t="shared" si="80"/>
        <v>68291</v>
      </c>
      <c r="B3433" t="s">
        <v>36</v>
      </c>
      <c r="C3433" t="s">
        <v>1306</v>
      </c>
      <c r="D3433" s="5" t="str">
        <f>"012"</f>
        <v>012</v>
      </c>
      <c r="E3433" s="5">
        <v>2022</v>
      </c>
      <c r="F3433" s="3">
        <v>818600</v>
      </c>
      <c r="G3433" s="3">
        <v>1364400</v>
      </c>
      <c r="H3433" s="3">
        <v>545800</v>
      </c>
    </row>
    <row r="3434" spans="1:9" x14ac:dyDescent="0.35">
      <c r="A3434" t="str">
        <f t="shared" si="80"/>
        <v>68291</v>
      </c>
      <c r="B3434" t="s">
        <v>36</v>
      </c>
      <c r="C3434" t="s">
        <v>1306</v>
      </c>
      <c r="D3434" s="5" t="s">
        <v>11</v>
      </c>
      <c r="E3434" s="5" t="s">
        <v>12</v>
      </c>
      <c r="F3434" s="3" t="s">
        <v>13</v>
      </c>
      <c r="G3434" s="3" t="s">
        <v>13</v>
      </c>
      <c r="H3434" s="3" t="s">
        <v>13</v>
      </c>
      <c r="I3434" s="3">
        <v>651201600</v>
      </c>
    </row>
    <row r="3435" spans="1:9" x14ac:dyDescent="0.35">
      <c r="A3435" t="str">
        <f>"68292"</f>
        <v>68292</v>
      </c>
      <c r="B3435" t="s">
        <v>36</v>
      </c>
      <c r="C3435" t="s">
        <v>1307</v>
      </c>
      <c r="D3435" s="5" t="str">
        <f>"004"</f>
        <v>004</v>
      </c>
      <c r="E3435" s="5">
        <v>2001</v>
      </c>
      <c r="F3435" s="3">
        <v>458800</v>
      </c>
      <c r="G3435" s="3">
        <v>11545100</v>
      </c>
      <c r="H3435" s="3">
        <v>11086300</v>
      </c>
    </row>
    <row r="3436" spans="1:9" x14ac:dyDescent="0.35">
      <c r="A3436" t="str">
        <f>"68292"</f>
        <v>68292</v>
      </c>
      <c r="B3436" t="s">
        <v>36</v>
      </c>
      <c r="C3436" t="s">
        <v>1307</v>
      </c>
      <c r="D3436" s="5" t="str">
        <f>"006"</f>
        <v>006</v>
      </c>
      <c r="E3436" s="5">
        <v>2015</v>
      </c>
      <c r="F3436" s="3">
        <v>6611000</v>
      </c>
      <c r="G3436" s="3">
        <v>10174800</v>
      </c>
      <c r="H3436" s="3">
        <v>3563800</v>
      </c>
    </row>
    <row r="3437" spans="1:9" x14ac:dyDescent="0.35">
      <c r="A3437" t="str">
        <f>"68292"</f>
        <v>68292</v>
      </c>
      <c r="B3437" t="s">
        <v>36</v>
      </c>
      <c r="C3437" t="s">
        <v>1307</v>
      </c>
      <c r="D3437" s="5" t="str">
        <f>"007"</f>
        <v>007</v>
      </c>
      <c r="E3437" s="5">
        <v>2015</v>
      </c>
      <c r="F3437" s="3">
        <v>749700</v>
      </c>
      <c r="G3437" s="3">
        <v>1627400</v>
      </c>
      <c r="H3437" s="3">
        <v>877700</v>
      </c>
    </row>
    <row r="3438" spans="1:9" x14ac:dyDescent="0.35">
      <c r="A3438" t="str">
        <f>"68292"</f>
        <v>68292</v>
      </c>
      <c r="B3438" t="s">
        <v>36</v>
      </c>
      <c r="C3438" t="s">
        <v>1307</v>
      </c>
      <c r="D3438" s="5" t="s">
        <v>11</v>
      </c>
      <c r="E3438" s="5" t="s">
        <v>12</v>
      </c>
      <c r="F3438" s="3" t="s">
        <v>13</v>
      </c>
      <c r="G3438" s="3" t="s">
        <v>13</v>
      </c>
      <c r="H3438" s="3" t="s">
        <v>13</v>
      </c>
      <c r="I3438" s="3">
        <v>158012200</v>
      </c>
    </row>
    <row r="3439" spans="1:9" x14ac:dyDescent="0.35">
      <c r="A3439" t="s">
        <v>30</v>
      </c>
      <c r="B3439" t="s">
        <v>38</v>
      </c>
      <c r="C3439" t="s">
        <v>32</v>
      </c>
      <c r="D3439" s="5" t="s">
        <v>11</v>
      </c>
      <c r="E3439" s="5" t="s">
        <v>12</v>
      </c>
      <c r="F3439" s="3" t="s">
        <v>13</v>
      </c>
      <c r="G3439" s="3" t="s">
        <v>13</v>
      </c>
      <c r="H3439" s="3" t="s">
        <v>13</v>
      </c>
      <c r="I3439" s="3">
        <v>1896223600</v>
      </c>
    </row>
    <row r="3440" spans="1:9" x14ac:dyDescent="0.35">
      <c r="A3440" t="s">
        <v>30</v>
      </c>
      <c r="B3440" t="s">
        <v>39</v>
      </c>
      <c r="C3440" t="s">
        <v>1306</v>
      </c>
      <c r="D3440" s="5" t="s">
        <v>11</v>
      </c>
      <c r="E3440" s="5" t="s">
        <v>12</v>
      </c>
      <c r="F3440" s="3" t="s">
        <v>13</v>
      </c>
      <c r="G3440" s="3" t="s">
        <v>13</v>
      </c>
      <c r="H3440" s="3" t="s">
        <v>13</v>
      </c>
      <c r="I3440" s="3">
        <v>7994858300</v>
      </c>
    </row>
    <row r="3441" spans="1:9" x14ac:dyDescent="0.35">
      <c r="A3441" t="str">
        <f>"69002"</f>
        <v>69002</v>
      </c>
      <c r="B3441" t="s">
        <v>9</v>
      </c>
      <c r="C3441" t="s">
        <v>447</v>
      </c>
      <c r="D3441" s="5" t="s">
        <v>11</v>
      </c>
      <c r="E3441" s="5" t="s">
        <v>12</v>
      </c>
      <c r="F3441" s="3" t="s">
        <v>13</v>
      </c>
      <c r="G3441" s="3" t="s">
        <v>13</v>
      </c>
      <c r="H3441" s="3" t="s">
        <v>13</v>
      </c>
      <c r="I3441" s="3">
        <v>187393500</v>
      </c>
    </row>
    <row r="3442" spans="1:9" x14ac:dyDescent="0.35">
      <c r="A3442" t="str">
        <f>"69004"</f>
        <v>69004</v>
      </c>
      <c r="B3442" t="s">
        <v>9</v>
      </c>
      <c r="C3442" t="s">
        <v>1237</v>
      </c>
      <c r="D3442" s="5" t="s">
        <v>11</v>
      </c>
      <c r="E3442" s="5" t="s">
        <v>12</v>
      </c>
      <c r="F3442" s="3" t="s">
        <v>13</v>
      </c>
      <c r="G3442" s="3" t="s">
        <v>13</v>
      </c>
      <c r="H3442" s="3" t="s">
        <v>13</v>
      </c>
      <c r="I3442" s="3">
        <v>198915800</v>
      </c>
    </row>
    <row r="3443" spans="1:9" x14ac:dyDescent="0.35">
      <c r="A3443" t="str">
        <f>"69006"</f>
        <v>69006</v>
      </c>
      <c r="B3443" t="s">
        <v>9</v>
      </c>
      <c r="C3443" t="s">
        <v>1312</v>
      </c>
      <c r="D3443" s="5" t="s">
        <v>11</v>
      </c>
      <c r="E3443" s="5" t="s">
        <v>12</v>
      </c>
      <c r="F3443" s="3" t="s">
        <v>13</v>
      </c>
      <c r="G3443" s="3" t="s">
        <v>13</v>
      </c>
      <c r="H3443" s="3" t="s">
        <v>13</v>
      </c>
      <c r="I3443" s="3">
        <v>213400100</v>
      </c>
    </row>
    <row r="3444" spans="1:9" x14ac:dyDescent="0.35">
      <c r="A3444" t="str">
        <f>"69008"</f>
        <v>69008</v>
      </c>
      <c r="B3444" t="s">
        <v>9</v>
      </c>
      <c r="C3444" t="s">
        <v>1313</v>
      </c>
      <c r="D3444" s="5" t="s">
        <v>11</v>
      </c>
      <c r="E3444" s="5" t="s">
        <v>12</v>
      </c>
      <c r="F3444" s="3" t="s">
        <v>13</v>
      </c>
      <c r="G3444" s="3" t="s">
        <v>13</v>
      </c>
      <c r="H3444" s="3" t="s">
        <v>13</v>
      </c>
      <c r="I3444" s="3">
        <v>221372000</v>
      </c>
    </row>
    <row r="3445" spans="1:9" x14ac:dyDescent="0.35">
      <c r="A3445" t="str">
        <f>"69010"</f>
        <v>69010</v>
      </c>
      <c r="B3445" t="s">
        <v>9</v>
      </c>
      <c r="C3445" t="s">
        <v>311</v>
      </c>
      <c r="D3445" s="5" t="s">
        <v>11</v>
      </c>
      <c r="E3445" s="5" t="s">
        <v>12</v>
      </c>
      <c r="F3445" s="3" t="s">
        <v>13</v>
      </c>
      <c r="G3445" s="3" t="s">
        <v>13</v>
      </c>
      <c r="H3445" s="3" t="s">
        <v>13</v>
      </c>
      <c r="I3445" s="3">
        <v>214017500</v>
      </c>
    </row>
    <row r="3446" spans="1:9" x14ac:dyDescent="0.35">
      <c r="A3446" t="str">
        <f>"69012"</f>
        <v>69012</v>
      </c>
      <c r="B3446" t="s">
        <v>9</v>
      </c>
      <c r="C3446" t="s">
        <v>1314</v>
      </c>
      <c r="D3446" s="5" t="s">
        <v>11</v>
      </c>
      <c r="E3446" s="5" t="s">
        <v>12</v>
      </c>
      <c r="F3446" s="3" t="s">
        <v>13</v>
      </c>
      <c r="G3446" s="3" t="s">
        <v>13</v>
      </c>
      <c r="H3446" s="3" t="s">
        <v>13</v>
      </c>
      <c r="I3446" s="3">
        <v>156335400</v>
      </c>
    </row>
    <row r="3447" spans="1:9" x14ac:dyDescent="0.35">
      <c r="A3447" t="str">
        <f>"69014"</f>
        <v>69014</v>
      </c>
      <c r="B3447" t="s">
        <v>9</v>
      </c>
      <c r="C3447" t="s">
        <v>832</v>
      </c>
      <c r="D3447" s="5" t="s">
        <v>11</v>
      </c>
      <c r="E3447" s="5" t="s">
        <v>12</v>
      </c>
      <c r="F3447" s="3" t="s">
        <v>13</v>
      </c>
      <c r="G3447" s="3" t="s">
        <v>13</v>
      </c>
      <c r="H3447" s="3" t="s">
        <v>13</v>
      </c>
      <c r="I3447" s="3">
        <v>354075900</v>
      </c>
    </row>
    <row r="3448" spans="1:9" x14ac:dyDescent="0.35">
      <c r="A3448" t="str">
        <f>"69016"</f>
        <v>69016</v>
      </c>
      <c r="B3448" t="s">
        <v>9</v>
      </c>
      <c r="C3448" t="s">
        <v>506</v>
      </c>
      <c r="D3448" s="5" t="s">
        <v>11</v>
      </c>
      <c r="E3448" s="5" t="s">
        <v>12</v>
      </c>
      <c r="F3448" s="3" t="s">
        <v>13</v>
      </c>
      <c r="G3448" s="3" t="s">
        <v>13</v>
      </c>
      <c r="H3448" s="3" t="s">
        <v>13</v>
      </c>
      <c r="I3448" s="3">
        <v>711786900</v>
      </c>
    </row>
    <row r="3449" spans="1:9" x14ac:dyDescent="0.35">
      <c r="A3449" t="str">
        <f>"69018"</f>
        <v>69018</v>
      </c>
      <c r="B3449" t="s">
        <v>9</v>
      </c>
      <c r="C3449" t="s">
        <v>1315</v>
      </c>
      <c r="D3449" s="5" t="s">
        <v>11</v>
      </c>
      <c r="E3449" s="5" t="s">
        <v>12</v>
      </c>
      <c r="F3449" s="3" t="s">
        <v>13</v>
      </c>
      <c r="G3449" s="3" t="s">
        <v>13</v>
      </c>
      <c r="H3449" s="3" t="s">
        <v>13</v>
      </c>
      <c r="I3449" s="3">
        <v>516278000</v>
      </c>
    </row>
    <row r="3450" spans="1:9" x14ac:dyDescent="0.35">
      <c r="A3450" t="str">
        <f>"69020"</f>
        <v>69020</v>
      </c>
      <c r="B3450" t="s">
        <v>9</v>
      </c>
      <c r="C3450" t="s">
        <v>1316</v>
      </c>
      <c r="D3450" s="5" t="s">
        <v>11</v>
      </c>
      <c r="E3450" s="5" t="s">
        <v>12</v>
      </c>
      <c r="F3450" s="3" t="s">
        <v>13</v>
      </c>
      <c r="G3450" s="3" t="s">
        <v>13</v>
      </c>
      <c r="H3450" s="3" t="s">
        <v>13</v>
      </c>
      <c r="I3450" s="3">
        <v>112348800</v>
      </c>
    </row>
    <row r="3451" spans="1:9" x14ac:dyDescent="0.35">
      <c r="A3451" t="str">
        <f>"69022"</f>
        <v>69022</v>
      </c>
      <c r="B3451" t="s">
        <v>9</v>
      </c>
      <c r="C3451" t="s">
        <v>1317</v>
      </c>
      <c r="D3451" s="5" t="s">
        <v>11</v>
      </c>
      <c r="E3451" s="5" t="s">
        <v>12</v>
      </c>
      <c r="F3451" s="3" t="s">
        <v>13</v>
      </c>
      <c r="G3451" s="3" t="s">
        <v>13</v>
      </c>
      <c r="H3451" s="3" t="s">
        <v>13</v>
      </c>
      <c r="I3451" s="3">
        <v>112062800</v>
      </c>
    </row>
    <row r="3452" spans="1:9" x14ac:dyDescent="0.35">
      <c r="A3452" t="str">
        <f>"69024"</f>
        <v>69024</v>
      </c>
      <c r="B3452" t="s">
        <v>9</v>
      </c>
      <c r="C3452" t="s">
        <v>1318</v>
      </c>
      <c r="D3452" s="5" t="s">
        <v>11</v>
      </c>
      <c r="E3452" s="5" t="s">
        <v>12</v>
      </c>
      <c r="F3452" s="3" t="s">
        <v>13</v>
      </c>
      <c r="G3452" s="3" t="s">
        <v>13</v>
      </c>
      <c r="H3452" s="3" t="s">
        <v>13</v>
      </c>
      <c r="I3452" s="3">
        <v>134754800</v>
      </c>
    </row>
    <row r="3453" spans="1:9" x14ac:dyDescent="0.35">
      <c r="A3453" t="str">
        <f>"69026"</f>
        <v>69026</v>
      </c>
      <c r="B3453" t="s">
        <v>9</v>
      </c>
      <c r="C3453" t="s">
        <v>1319</v>
      </c>
      <c r="D3453" s="5" t="s">
        <v>11</v>
      </c>
      <c r="E3453" s="5" t="s">
        <v>12</v>
      </c>
      <c r="F3453" s="3" t="s">
        <v>13</v>
      </c>
      <c r="G3453" s="3" t="s">
        <v>13</v>
      </c>
      <c r="H3453" s="3" t="s">
        <v>13</v>
      </c>
      <c r="I3453" s="3">
        <v>144607700</v>
      </c>
    </row>
    <row r="3454" spans="1:9" x14ac:dyDescent="0.35">
      <c r="A3454" t="str">
        <f>"69028"</f>
        <v>69028</v>
      </c>
      <c r="B3454" t="s">
        <v>9</v>
      </c>
      <c r="C3454" t="s">
        <v>1320</v>
      </c>
      <c r="D3454" s="5" t="s">
        <v>11</v>
      </c>
      <c r="E3454" s="5" t="s">
        <v>12</v>
      </c>
      <c r="F3454" s="3" t="s">
        <v>13</v>
      </c>
      <c r="G3454" s="3" t="s">
        <v>13</v>
      </c>
      <c r="H3454" s="3" t="s">
        <v>13</v>
      </c>
      <c r="I3454" s="3">
        <v>170144100</v>
      </c>
    </row>
    <row r="3455" spans="1:9" x14ac:dyDescent="0.35">
      <c r="A3455" t="str">
        <f>"69030"</f>
        <v>69030</v>
      </c>
      <c r="B3455" t="s">
        <v>9</v>
      </c>
      <c r="C3455" t="s">
        <v>1321</v>
      </c>
      <c r="D3455" s="5" t="s">
        <v>11</v>
      </c>
      <c r="E3455" s="5" t="s">
        <v>12</v>
      </c>
      <c r="F3455" s="3" t="s">
        <v>13</v>
      </c>
      <c r="G3455" s="3" t="s">
        <v>13</v>
      </c>
      <c r="H3455" s="3" t="s">
        <v>13</v>
      </c>
      <c r="I3455" s="3">
        <v>276951300</v>
      </c>
    </row>
    <row r="3456" spans="1:9" x14ac:dyDescent="0.35">
      <c r="A3456" t="str">
        <f>"69032"</f>
        <v>69032</v>
      </c>
      <c r="B3456" t="s">
        <v>9</v>
      </c>
      <c r="C3456" t="s">
        <v>1322</v>
      </c>
      <c r="D3456" s="5" t="s">
        <v>11</v>
      </c>
      <c r="E3456" s="5" t="s">
        <v>12</v>
      </c>
      <c r="F3456" s="3" t="s">
        <v>13</v>
      </c>
      <c r="G3456" s="3" t="s">
        <v>13</v>
      </c>
      <c r="H3456" s="3" t="s">
        <v>13</v>
      </c>
      <c r="I3456" s="3">
        <v>559027100</v>
      </c>
    </row>
    <row r="3457" spans="1:9" x14ac:dyDescent="0.35">
      <c r="A3457" t="str">
        <f>"69034"</f>
        <v>69034</v>
      </c>
      <c r="B3457" t="s">
        <v>9</v>
      </c>
      <c r="C3457" t="s">
        <v>1090</v>
      </c>
      <c r="D3457" s="5" t="s">
        <v>11</v>
      </c>
      <c r="E3457" s="5" t="s">
        <v>12</v>
      </c>
      <c r="F3457" s="3" t="s">
        <v>13</v>
      </c>
      <c r="G3457" s="3" t="s">
        <v>13</v>
      </c>
      <c r="H3457" s="3" t="s">
        <v>13</v>
      </c>
      <c r="I3457" s="3">
        <v>95912700</v>
      </c>
    </row>
    <row r="3458" spans="1:9" x14ac:dyDescent="0.35">
      <c r="A3458" t="str">
        <f>"69036"</f>
        <v>69036</v>
      </c>
      <c r="B3458" t="s">
        <v>9</v>
      </c>
      <c r="C3458" t="s">
        <v>1323</v>
      </c>
      <c r="D3458" s="5" t="s">
        <v>11</v>
      </c>
      <c r="E3458" s="5" t="s">
        <v>12</v>
      </c>
      <c r="F3458" s="3" t="s">
        <v>13</v>
      </c>
      <c r="G3458" s="3" t="s">
        <v>13</v>
      </c>
      <c r="H3458" s="3" t="s">
        <v>13</v>
      </c>
      <c r="I3458" s="3">
        <v>269185900</v>
      </c>
    </row>
    <row r="3459" spans="1:9" x14ac:dyDescent="0.35">
      <c r="A3459" t="s">
        <v>30</v>
      </c>
      <c r="B3459" t="s">
        <v>31</v>
      </c>
      <c r="C3459" t="s">
        <v>32</v>
      </c>
      <c r="D3459" s="5" t="s">
        <v>11</v>
      </c>
      <c r="E3459" s="5" t="s">
        <v>12</v>
      </c>
      <c r="F3459" s="3" t="s">
        <v>13</v>
      </c>
      <c r="G3459" s="3" t="s">
        <v>13</v>
      </c>
      <c r="H3459" s="3" t="s">
        <v>13</v>
      </c>
      <c r="I3459" s="3">
        <v>4648570300</v>
      </c>
    </row>
    <row r="3460" spans="1:9" x14ac:dyDescent="0.35">
      <c r="A3460" t="str">
        <f>"69111"</f>
        <v>69111</v>
      </c>
      <c r="B3460" t="s">
        <v>33</v>
      </c>
      <c r="C3460" t="s">
        <v>1312</v>
      </c>
      <c r="D3460" s="5" t="s">
        <v>11</v>
      </c>
      <c r="E3460" s="5" t="s">
        <v>12</v>
      </c>
      <c r="F3460" s="3" t="s">
        <v>13</v>
      </c>
      <c r="G3460" s="3" t="s">
        <v>13</v>
      </c>
      <c r="H3460" s="3" t="s">
        <v>13</v>
      </c>
      <c r="I3460" s="3">
        <v>51643900</v>
      </c>
    </row>
    <row r="3461" spans="1:9" x14ac:dyDescent="0.35">
      <c r="A3461" t="str">
        <f>"69136"</f>
        <v>69136</v>
      </c>
      <c r="B3461" t="s">
        <v>33</v>
      </c>
      <c r="C3461" t="s">
        <v>1314</v>
      </c>
      <c r="D3461" s="5" t="str">
        <f>"001"</f>
        <v>001</v>
      </c>
      <c r="E3461" s="5">
        <v>2016</v>
      </c>
      <c r="F3461" s="3">
        <v>473900</v>
      </c>
      <c r="G3461" s="3">
        <v>1272000</v>
      </c>
      <c r="H3461" s="3">
        <v>798100</v>
      </c>
    </row>
    <row r="3462" spans="1:9" x14ac:dyDescent="0.35">
      <c r="A3462" t="str">
        <f>"69136"</f>
        <v>69136</v>
      </c>
      <c r="B3462" t="s">
        <v>33</v>
      </c>
      <c r="C3462" t="s">
        <v>1314</v>
      </c>
      <c r="D3462" s="5" t="s">
        <v>11</v>
      </c>
      <c r="E3462" s="5" t="s">
        <v>12</v>
      </c>
      <c r="F3462" s="3" t="s">
        <v>13</v>
      </c>
      <c r="G3462" s="3" t="s">
        <v>13</v>
      </c>
      <c r="H3462" s="3" t="s">
        <v>13</v>
      </c>
      <c r="I3462" s="3">
        <v>35183600</v>
      </c>
    </row>
    <row r="3463" spans="1:9" x14ac:dyDescent="0.35">
      <c r="A3463" t="str">
        <f>"69146"</f>
        <v>69146</v>
      </c>
      <c r="B3463" t="s">
        <v>33</v>
      </c>
      <c r="C3463" t="s">
        <v>1324</v>
      </c>
      <c r="D3463" s="5" t="s">
        <v>11</v>
      </c>
      <c r="E3463" s="5" t="s">
        <v>12</v>
      </c>
      <c r="F3463" s="3" t="s">
        <v>13</v>
      </c>
      <c r="G3463" s="3" t="s">
        <v>13</v>
      </c>
      <c r="H3463" s="3" t="s">
        <v>13</v>
      </c>
      <c r="I3463" s="3">
        <v>32110800</v>
      </c>
    </row>
    <row r="3464" spans="1:9" x14ac:dyDescent="0.35">
      <c r="A3464" t="str">
        <f>"69171"</f>
        <v>69171</v>
      </c>
      <c r="B3464" t="s">
        <v>33</v>
      </c>
      <c r="C3464" t="s">
        <v>1317</v>
      </c>
      <c r="D3464" s="5" t="str">
        <f>"001"</f>
        <v>001</v>
      </c>
      <c r="E3464" s="5">
        <v>2015</v>
      </c>
      <c r="F3464" s="3">
        <v>1952900</v>
      </c>
      <c r="G3464" s="3">
        <v>6946200</v>
      </c>
      <c r="H3464" s="3">
        <v>4993300</v>
      </c>
    </row>
    <row r="3465" spans="1:9" x14ac:dyDescent="0.35">
      <c r="A3465" t="str">
        <f>"69171"</f>
        <v>69171</v>
      </c>
      <c r="B3465" t="s">
        <v>33</v>
      </c>
      <c r="C3465" t="s">
        <v>1317</v>
      </c>
      <c r="D3465" s="5" t="s">
        <v>11</v>
      </c>
      <c r="E3465" s="5" t="s">
        <v>12</v>
      </c>
      <c r="F3465" s="3" t="s">
        <v>13</v>
      </c>
      <c r="G3465" s="3" t="s">
        <v>13</v>
      </c>
      <c r="H3465" s="3" t="s">
        <v>13</v>
      </c>
      <c r="I3465" s="3">
        <v>63800200</v>
      </c>
    </row>
    <row r="3466" spans="1:9" x14ac:dyDescent="0.35">
      <c r="A3466" t="str">
        <f>"69176"</f>
        <v>69176</v>
      </c>
      <c r="B3466" t="s">
        <v>33</v>
      </c>
      <c r="C3466" t="s">
        <v>1325</v>
      </c>
      <c r="D3466" s="5" t="s">
        <v>11</v>
      </c>
      <c r="E3466" s="5" t="s">
        <v>12</v>
      </c>
      <c r="F3466" s="3" t="s">
        <v>13</v>
      </c>
      <c r="G3466" s="3" t="s">
        <v>13</v>
      </c>
      <c r="H3466" s="3" t="s">
        <v>13</v>
      </c>
      <c r="I3466" s="3">
        <v>85909400</v>
      </c>
    </row>
    <row r="3467" spans="1:9" x14ac:dyDescent="0.35">
      <c r="A3467" t="str">
        <f>"69191"</f>
        <v>69191</v>
      </c>
      <c r="B3467" t="s">
        <v>33</v>
      </c>
      <c r="C3467" t="s">
        <v>1326</v>
      </c>
      <c r="D3467" s="5" t="s">
        <v>11</v>
      </c>
      <c r="E3467" s="5" t="s">
        <v>12</v>
      </c>
      <c r="F3467" s="3" t="s">
        <v>13</v>
      </c>
      <c r="G3467" s="3" t="s">
        <v>13</v>
      </c>
      <c r="H3467" s="3" t="s">
        <v>13</v>
      </c>
      <c r="I3467" s="3">
        <v>57518900</v>
      </c>
    </row>
    <row r="3468" spans="1:9" x14ac:dyDescent="0.35">
      <c r="A3468" t="s">
        <v>30</v>
      </c>
      <c r="B3468" t="s">
        <v>35</v>
      </c>
      <c r="C3468" t="s">
        <v>32</v>
      </c>
      <c r="D3468" s="5" t="s">
        <v>11</v>
      </c>
      <c r="E3468" s="5" t="s">
        <v>12</v>
      </c>
      <c r="F3468" s="3" t="s">
        <v>13</v>
      </c>
      <c r="G3468" s="3" t="s">
        <v>13</v>
      </c>
      <c r="H3468" s="3" t="s">
        <v>13</v>
      </c>
      <c r="I3468" s="3">
        <v>326166800</v>
      </c>
    </row>
    <row r="3469" spans="1:9" x14ac:dyDescent="0.35">
      <c r="A3469" t="str">
        <f>"69206"</f>
        <v>69206</v>
      </c>
      <c r="B3469" t="s">
        <v>36</v>
      </c>
      <c r="C3469" t="s">
        <v>546</v>
      </c>
      <c r="D3469" s="5" t="s">
        <v>11</v>
      </c>
      <c r="E3469" s="5" t="s">
        <v>12</v>
      </c>
      <c r="F3469" s="3" t="s">
        <v>13</v>
      </c>
      <c r="G3469" s="3" t="s">
        <v>13</v>
      </c>
      <c r="H3469" s="3" t="s">
        <v>13</v>
      </c>
      <c r="I3469" s="3">
        <v>21049700</v>
      </c>
    </row>
    <row r="3470" spans="1:9" x14ac:dyDescent="0.35">
      <c r="A3470" t="str">
        <f>"69291"</f>
        <v>69291</v>
      </c>
      <c r="B3470" t="s">
        <v>36</v>
      </c>
      <c r="C3470" t="s">
        <v>1323</v>
      </c>
      <c r="D3470" s="5" t="s">
        <v>11</v>
      </c>
      <c r="E3470" s="5" t="s">
        <v>12</v>
      </c>
      <c r="F3470" s="3" t="s">
        <v>13</v>
      </c>
      <c r="G3470" s="3" t="s">
        <v>13</v>
      </c>
      <c r="H3470" s="3" t="s">
        <v>13</v>
      </c>
      <c r="I3470" s="3">
        <v>196182300</v>
      </c>
    </row>
    <row r="3471" spans="1:9" x14ac:dyDescent="0.35">
      <c r="A3471" t="s">
        <v>30</v>
      </c>
      <c r="B3471" t="s">
        <v>38</v>
      </c>
      <c r="C3471" t="s">
        <v>32</v>
      </c>
      <c r="D3471" s="5" t="s">
        <v>11</v>
      </c>
      <c r="E3471" s="5" t="s">
        <v>12</v>
      </c>
      <c r="F3471" s="3" t="s">
        <v>13</v>
      </c>
      <c r="G3471" s="3" t="s">
        <v>13</v>
      </c>
      <c r="H3471" s="3" t="s">
        <v>13</v>
      </c>
      <c r="I3471" s="3">
        <v>217232000</v>
      </c>
    </row>
    <row r="3472" spans="1:9" x14ac:dyDescent="0.35">
      <c r="A3472" t="s">
        <v>30</v>
      </c>
      <c r="B3472" t="s">
        <v>39</v>
      </c>
      <c r="C3472" t="s">
        <v>1327</v>
      </c>
      <c r="D3472" s="5" t="s">
        <v>11</v>
      </c>
      <c r="E3472" s="5" t="s">
        <v>12</v>
      </c>
      <c r="F3472" s="3" t="s">
        <v>13</v>
      </c>
      <c r="G3472" s="3" t="s">
        <v>13</v>
      </c>
      <c r="H3472" s="3" t="s">
        <v>13</v>
      </c>
      <c r="I3472" s="3">
        <v>5191969100</v>
      </c>
    </row>
    <row r="3473" spans="1:9" x14ac:dyDescent="0.35">
      <c r="A3473" t="str">
        <f>"70002"</f>
        <v>70002</v>
      </c>
      <c r="B3473" t="s">
        <v>9</v>
      </c>
      <c r="C3473" t="s">
        <v>658</v>
      </c>
      <c r="D3473" s="5" t="str">
        <f>"001A"</f>
        <v>001A</v>
      </c>
      <c r="E3473" s="5">
        <v>2024</v>
      </c>
      <c r="F3473" s="3">
        <v>1861700</v>
      </c>
      <c r="G3473" s="3">
        <v>1973900</v>
      </c>
      <c r="H3473" s="3">
        <v>112200</v>
      </c>
    </row>
    <row r="3474" spans="1:9" x14ac:dyDescent="0.35">
      <c r="A3474" t="str">
        <f>"70002"</f>
        <v>70002</v>
      </c>
      <c r="B3474" t="s">
        <v>9</v>
      </c>
      <c r="C3474" t="s">
        <v>658</v>
      </c>
      <c r="D3474" s="5" t="s">
        <v>11</v>
      </c>
      <c r="E3474" s="5" t="s">
        <v>12</v>
      </c>
      <c r="F3474" s="3" t="s">
        <v>13</v>
      </c>
      <c r="G3474" s="3" t="s">
        <v>13</v>
      </c>
      <c r="H3474" s="3" t="s">
        <v>13</v>
      </c>
      <c r="I3474" s="3">
        <v>1186192400</v>
      </c>
    </row>
    <row r="3475" spans="1:9" x14ac:dyDescent="0.35">
      <c r="A3475" t="str">
        <f>"70004"</f>
        <v>70004</v>
      </c>
      <c r="B3475" t="s">
        <v>9</v>
      </c>
      <c r="C3475" t="s">
        <v>1328</v>
      </c>
      <c r="D3475" s="5" t="s">
        <v>11</v>
      </c>
      <c r="E3475" s="5" t="s">
        <v>12</v>
      </c>
      <c r="F3475" s="3" t="s">
        <v>13</v>
      </c>
      <c r="G3475" s="3" t="s">
        <v>13</v>
      </c>
      <c r="H3475" s="3" t="s">
        <v>13</v>
      </c>
      <c r="I3475" s="3">
        <v>540116400</v>
      </c>
    </row>
    <row r="3476" spans="1:9" x14ac:dyDescent="0.35">
      <c r="A3476" t="str">
        <f>"70006"</f>
        <v>70006</v>
      </c>
      <c r="B3476" t="s">
        <v>9</v>
      </c>
      <c r="C3476" t="s">
        <v>282</v>
      </c>
      <c r="D3476" s="5" t="str">
        <f>"001A"</f>
        <v>001A</v>
      </c>
      <c r="E3476" s="5">
        <v>2019</v>
      </c>
      <c r="F3476" s="3">
        <v>32946400</v>
      </c>
      <c r="G3476" s="3">
        <v>84636600</v>
      </c>
      <c r="H3476" s="3">
        <v>51690200</v>
      </c>
    </row>
    <row r="3477" spans="1:9" x14ac:dyDescent="0.35">
      <c r="A3477" t="str">
        <f>"70006"</f>
        <v>70006</v>
      </c>
      <c r="B3477" t="s">
        <v>9</v>
      </c>
      <c r="C3477" t="s">
        <v>282</v>
      </c>
      <c r="D3477" s="5" t="s">
        <v>11</v>
      </c>
      <c r="E3477" s="5" t="s">
        <v>12</v>
      </c>
      <c r="F3477" s="3" t="s">
        <v>13</v>
      </c>
      <c r="G3477" s="3" t="s">
        <v>13</v>
      </c>
      <c r="H3477" s="3" t="s">
        <v>13</v>
      </c>
      <c r="I3477" s="3">
        <v>970723000</v>
      </c>
    </row>
    <row r="3478" spans="1:9" x14ac:dyDescent="0.35">
      <c r="A3478" t="str">
        <f>"70010"</f>
        <v>70010</v>
      </c>
      <c r="B3478" t="s">
        <v>9</v>
      </c>
      <c r="C3478" t="s">
        <v>1329</v>
      </c>
      <c r="D3478" s="5" t="s">
        <v>11</v>
      </c>
      <c r="E3478" s="5" t="s">
        <v>12</v>
      </c>
      <c r="F3478" s="3" t="s">
        <v>13</v>
      </c>
      <c r="G3478" s="3" t="s">
        <v>13</v>
      </c>
      <c r="H3478" s="3" t="s">
        <v>13</v>
      </c>
      <c r="I3478" s="3">
        <v>801074300</v>
      </c>
    </row>
    <row r="3479" spans="1:9" x14ac:dyDescent="0.35">
      <c r="A3479" t="str">
        <f>"70012"</f>
        <v>70012</v>
      </c>
      <c r="B3479" t="s">
        <v>9</v>
      </c>
      <c r="C3479" t="s">
        <v>1330</v>
      </c>
      <c r="D3479" s="5" t="s">
        <v>11</v>
      </c>
      <c r="E3479" s="5" t="s">
        <v>12</v>
      </c>
      <c r="F3479" s="3" t="s">
        <v>13</v>
      </c>
      <c r="G3479" s="3" t="s">
        <v>13</v>
      </c>
      <c r="H3479" s="3" t="s">
        <v>13</v>
      </c>
      <c r="I3479" s="3">
        <v>268012500</v>
      </c>
    </row>
    <row r="3480" spans="1:9" x14ac:dyDescent="0.35">
      <c r="A3480" t="str">
        <f>"70014"</f>
        <v>70014</v>
      </c>
      <c r="B3480" t="s">
        <v>9</v>
      </c>
      <c r="C3480" t="s">
        <v>1331</v>
      </c>
      <c r="D3480" s="5" t="s">
        <v>11</v>
      </c>
      <c r="E3480" s="5" t="s">
        <v>12</v>
      </c>
      <c r="F3480" s="3" t="s">
        <v>13</v>
      </c>
      <c r="G3480" s="3" t="s">
        <v>13</v>
      </c>
      <c r="H3480" s="3" t="s">
        <v>13</v>
      </c>
      <c r="I3480" s="3">
        <v>119998000</v>
      </c>
    </row>
    <row r="3481" spans="1:9" x14ac:dyDescent="0.35">
      <c r="A3481" t="str">
        <f>"70016"</f>
        <v>70016</v>
      </c>
      <c r="B3481" t="s">
        <v>9</v>
      </c>
      <c r="C3481" t="s">
        <v>1332</v>
      </c>
      <c r="D3481" s="5" t="s">
        <v>11</v>
      </c>
      <c r="E3481" s="5" t="s">
        <v>12</v>
      </c>
      <c r="F3481" s="3" t="s">
        <v>13</v>
      </c>
      <c r="G3481" s="3" t="s">
        <v>13</v>
      </c>
      <c r="H3481" s="3" t="s">
        <v>13</v>
      </c>
      <c r="I3481" s="3">
        <v>489466000</v>
      </c>
    </row>
    <row r="3482" spans="1:9" x14ac:dyDescent="0.35">
      <c r="A3482" t="str">
        <f>"70018"</f>
        <v>70018</v>
      </c>
      <c r="B3482" t="s">
        <v>9</v>
      </c>
      <c r="C3482" t="s">
        <v>1333</v>
      </c>
      <c r="D3482" s="5" t="s">
        <v>11</v>
      </c>
      <c r="E3482" s="5" t="s">
        <v>12</v>
      </c>
      <c r="F3482" s="3" t="s">
        <v>13</v>
      </c>
      <c r="G3482" s="3" t="s">
        <v>13</v>
      </c>
      <c r="H3482" s="3" t="s">
        <v>13</v>
      </c>
      <c r="I3482" s="3">
        <v>637405500</v>
      </c>
    </row>
    <row r="3483" spans="1:9" x14ac:dyDescent="0.35">
      <c r="A3483" t="str">
        <f>"70020"</f>
        <v>70020</v>
      </c>
      <c r="B3483" t="s">
        <v>9</v>
      </c>
      <c r="C3483" t="s">
        <v>1334</v>
      </c>
      <c r="D3483" s="5" t="s">
        <v>11</v>
      </c>
      <c r="E3483" s="5" t="s">
        <v>12</v>
      </c>
      <c r="F3483" s="3" t="s">
        <v>13</v>
      </c>
      <c r="G3483" s="3" t="s">
        <v>13</v>
      </c>
      <c r="H3483" s="3" t="s">
        <v>13</v>
      </c>
      <c r="I3483" s="3">
        <v>369240900</v>
      </c>
    </row>
    <row r="3484" spans="1:9" x14ac:dyDescent="0.35">
      <c r="A3484" t="str">
        <f>"70022"</f>
        <v>70022</v>
      </c>
      <c r="B3484" t="s">
        <v>9</v>
      </c>
      <c r="C3484" t="s">
        <v>1335</v>
      </c>
      <c r="D3484" s="5" t="s">
        <v>11</v>
      </c>
      <c r="E3484" s="5" t="s">
        <v>12</v>
      </c>
      <c r="F3484" s="3" t="s">
        <v>13</v>
      </c>
      <c r="G3484" s="3" t="s">
        <v>13</v>
      </c>
      <c r="H3484" s="3" t="s">
        <v>13</v>
      </c>
      <c r="I3484" s="3">
        <v>272344000</v>
      </c>
    </row>
    <row r="3485" spans="1:9" x14ac:dyDescent="0.35">
      <c r="A3485" t="str">
        <f>"70024"</f>
        <v>70024</v>
      </c>
      <c r="B3485" t="s">
        <v>9</v>
      </c>
      <c r="C3485" t="s">
        <v>289</v>
      </c>
      <c r="D3485" s="5" t="s">
        <v>11</v>
      </c>
      <c r="E3485" s="5" t="s">
        <v>12</v>
      </c>
      <c r="F3485" s="3" t="s">
        <v>13</v>
      </c>
      <c r="G3485" s="3" t="s">
        <v>13</v>
      </c>
      <c r="H3485" s="3" t="s">
        <v>13</v>
      </c>
      <c r="I3485" s="3">
        <v>244512600</v>
      </c>
    </row>
    <row r="3486" spans="1:9" x14ac:dyDescent="0.35">
      <c r="A3486" t="str">
        <f>"70026"</f>
        <v>70026</v>
      </c>
      <c r="B3486" t="s">
        <v>9</v>
      </c>
      <c r="C3486" t="s">
        <v>1336</v>
      </c>
      <c r="D3486" s="5" t="s">
        <v>11</v>
      </c>
      <c r="E3486" s="5" t="s">
        <v>12</v>
      </c>
      <c r="F3486" s="3" t="s">
        <v>13</v>
      </c>
      <c r="G3486" s="3" t="s">
        <v>13</v>
      </c>
      <c r="H3486" s="3" t="s">
        <v>13</v>
      </c>
      <c r="I3486" s="3">
        <v>429056000</v>
      </c>
    </row>
    <row r="3487" spans="1:9" x14ac:dyDescent="0.35">
      <c r="A3487" t="str">
        <f>"70028"</f>
        <v>70028</v>
      </c>
      <c r="B3487" t="s">
        <v>9</v>
      </c>
      <c r="C3487" t="s">
        <v>1235</v>
      </c>
      <c r="D3487" s="5" t="s">
        <v>11</v>
      </c>
      <c r="E3487" s="5" t="s">
        <v>12</v>
      </c>
      <c r="F3487" s="3" t="s">
        <v>13</v>
      </c>
      <c r="G3487" s="3" t="s">
        <v>13</v>
      </c>
      <c r="H3487" s="3" t="s">
        <v>13</v>
      </c>
      <c r="I3487" s="3">
        <v>323279700</v>
      </c>
    </row>
    <row r="3488" spans="1:9" x14ac:dyDescent="0.35">
      <c r="A3488" t="str">
        <f>"70030"</f>
        <v>70030</v>
      </c>
      <c r="B3488" t="s">
        <v>9</v>
      </c>
      <c r="C3488" t="s">
        <v>1337</v>
      </c>
      <c r="D3488" s="5" t="s">
        <v>11</v>
      </c>
      <c r="E3488" s="5" t="s">
        <v>12</v>
      </c>
      <c r="F3488" s="3" t="s">
        <v>13</v>
      </c>
      <c r="G3488" s="3" t="s">
        <v>13</v>
      </c>
      <c r="H3488" s="3" t="s">
        <v>13</v>
      </c>
      <c r="I3488" s="3">
        <v>718986200</v>
      </c>
    </row>
    <row r="3489" spans="1:9" x14ac:dyDescent="0.35">
      <c r="A3489" t="str">
        <f>"70032"</f>
        <v>70032</v>
      </c>
      <c r="B3489" t="s">
        <v>9</v>
      </c>
      <c r="C3489" t="s">
        <v>704</v>
      </c>
      <c r="D3489" s="5" t="s">
        <v>11</v>
      </c>
      <c r="E3489" s="5" t="s">
        <v>12</v>
      </c>
      <c r="F3489" s="3" t="s">
        <v>13</v>
      </c>
      <c r="G3489" s="3" t="s">
        <v>13</v>
      </c>
      <c r="H3489" s="3" t="s">
        <v>13</v>
      </c>
      <c r="I3489" s="3">
        <v>409556800</v>
      </c>
    </row>
    <row r="3490" spans="1:9" x14ac:dyDescent="0.35">
      <c r="A3490" t="s">
        <v>30</v>
      </c>
      <c r="B3490" t="s">
        <v>31</v>
      </c>
      <c r="C3490" t="s">
        <v>32</v>
      </c>
      <c r="D3490" s="5" t="s">
        <v>11</v>
      </c>
      <c r="E3490" s="5" t="s">
        <v>12</v>
      </c>
      <c r="F3490" s="3" t="s">
        <v>13</v>
      </c>
      <c r="G3490" s="3" t="s">
        <v>13</v>
      </c>
      <c r="H3490" s="3" t="s">
        <v>13</v>
      </c>
      <c r="I3490" s="3">
        <v>7779964300</v>
      </c>
    </row>
    <row r="3491" spans="1:9" x14ac:dyDescent="0.35">
      <c r="A3491" t="str">
        <f t="shared" ref="A3491:A3496" si="81">"70121"</f>
        <v>70121</v>
      </c>
      <c r="B3491" t="s">
        <v>33</v>
      </c>
      <c r="C3491" t="s">
        <v>909</v>
      </c>
      <c r="D3491" s="5" t="str">
        <f>"001"</f>
        <v>001</v>
      </c>
      <c r="E3491" s="5">
        <v>2015</v>
      </c>
      <c r="F3491" s="3">
        <v>2681100</v>
      </c>
      <c r="G3491" s="3">
        <v>35930300</v>
      </c>
      <c r="H3491" s="3">
        <v>33249200</v>
      </c>
    </row>
    <row r="3492" spans="1:9" x14ac:dyDescent="0.35">
      <c r="A3492" t="str">
        <f t="shared" si="81"/>
        <v>70121</v>
      </c>
      <c r="B3492" t="s">
        <v>33</v>
      </c>
      <c r="C3492" t="s">
        <v>909</v>
      </c>
      <c r="D3492" s="5" t="str">
        <f>"002"</f>
        <v>002</v>
      </c>
      <c r="E3492" s="5">
        <v>2016</v>
      </c>
      <c r="F3492" s="3">
        <v>29616100</v>
      </c>
      <c r="G3492" s="3">
        <v>62376100</v>
      </c>
      <c r="H3492" s="3">
        <v>32760000</v>
      </c>
    </row>
    <row r="3493" spans="1:9" x14ac:dyDescent="0.35">
      <c r="A3493" t="str">
        <f t="shared" si="81"/>
        <v>70121</v>
      </c>
      <c r="B3493" t="s">
        <v>33</v>
      </c>
      <c r="C3493" t="s">
        <v>909</v>
      </c>
      <c r="D3493" s="5" t="str">
        <f>"003"</f>
        <v>003</v>
      </c>
      <c r="E3493" s="5">
        <v>2017</v>
      </c>
      <c r="F3493" s="3">
        <v>20000</v>
      </c>
      <c r="G3493" s="3">
        <v>68592400</v>
      </c>
      <c r="H3493" s="3">
        <v>68572400</v>
      </c>
    </row>
    <row r="3494" spans="1:9" x14ac:dyDescent="0.35">
      <c r="A3494" t="str">
        <f t="shared" si="81"/>
        <v>70121</v>
      </c>
      <c r="B3494" t="s">
        <v>33</v>
      </c>
      <c r="C3494" t="s">
        <v>909</v>
      </c>
      <c r="D3494" s="5" t="str">
        <f>"004"</f>
        <v>004</v>
      </c>
      <c r="E3494" s="5">
        <v>2018</v>
      </c>
      <c r="F3494" s="3">
        <v>542900</v>
      </c>
      <c r="G3494" s="3">
        <v>899000</v>
      </c>
      <c r="H3494" s="3">
        <v>356100</v>
      </c>
    </row>
    <row r="3495" spans="1:9" x14ac:dyDescent="0.35">
      <c r="A3495" t="str">
        <f t="shared" si="81"/>
        <v>70121</v>
      </c>
      <c r="B3495" t="s">
        <v>33</v>
      </c>
      <c r="C3495" t="s">
        <v>909</v>
      </c>
      <c r="D3495" s="5" t="str">
        <f>"005"</f>
        <v>005</v>
      </c>
      <c r="E3495" s="5">
        <v>2022</v>
      </c>
      <c r="F3495" s="3">
        <v>648600</v>
      </c>
      <c r="G3495" s="3">
        <v>16464500</v>
      </c>
      <c r="H3495" s="3">
        <v>15815900</v>
      </c>
    </row>
    <row r="3496" spans="1:9" x14ac:dyDescent="0.35">
      <c r="A3496" t="str">
        <f t="shared" si="81"/>
        <v>70121</v>
      </c>
      <c r="B3496" t="s">
        <v>33</v>
      </c>
      <c r="C3496" t="s">
        <v>909</v>
      </c>
      <c r="D3496" s="5" t="s">
        <v>11</v>
      </c>
      <c r="E3496" s="5" t="s">
        <v>12</v>
      </c>
      <c r="F3496" s="3" t="s">
        <v>13</v>
      </c>
      <c r="G3496" s="3" t="s">
        <v>13</v>
      </c>
      <c r="H3496" s="3" t="s">
        <v>13</v>
      </c>
      <c r="I3496" s="3">
        <v>2949784600</v>
      </c>
    </row>
    <row r="3497" spans="1:9" x14ac:dyDescent="0.35">
      <c r="A3497" t="str">
        <f>"70191"</f>
        <v>70191</v>
      </c>
      <c r="B3497" t="s">
        <v>33</v>
      </c>
      <c r="C3497" t="s">
        <v>1337</v>
      </c>
      <c r="D3497" s="5" t="str">
        <f>"008"</f>
        <v>008</v>
      </c>
      <c r="E3497" s="5">
        <v>2011</v>
      </c>
      <c r="F3497" s="3">
        <v>0</v>
      </c>
      <c r="G3497" s="3">
        <v>2997600</v>
      </c>
      <c r="H3497" s="3">
        <v>2997600</v>
      </c>
    </row>
    <row r="3498" spans="1:9" x14ac:dyDescent="0.35">
      <c r="A3498" t="str">
        <f>"70191"</f>
        <v>70191</v>
      </c>
      <c r="B3498" t="s">
        <v>33</v>
      </c>
      <c r="C3498" t="s">
        <v>1337</v>
      </c>
      <c r="D3498" s="5" t="s">
        <v>11</v>
      </c>
      <c r="E3498" s="5" t="s">
        <v>12</v>
      </c>
      <c r="F3498" s="3" t="s">
        <v>13</v>
      </c>
      <c r="G3498" s="3" t="s">
        <v>13</v>
      </c>
      <c r="H3498" s="3" t="s">
        <v>13</v>
      </c>
      <c r="I3498" s="3">
        <v>424205400</v>
      </c>
    </row>
    <row r="3499" spans="1:9" x14ac:dyDescent="0.35">
      <c r="A3499" t="s">
        <v>30</v>
      </c>
      <c r="B3499" t="s">
        <v>35</v>
      </c>
      <c r="C3499" t="s">
        <v>32</v>
      </c>
      <c r="D3499" s="5" t="s">
        <v>11</v>
      </c>
      <c r="E3499" s="5" t="s">
        <v>12</v>
      </c>
      <c r="F3499" s="3" t="s">
        <v>13</v>
      </c>
      <c r="G3499" s="3" t="s">
        <v>13</v>
      </c>
      <c r="H3499" s="3" t="s">
        <v>13</v>
      </c>
      <c r="I3499" s="3">
        <v>3373990000</v>
      </c>
    </row>
    <row r="3500" spans="1:9" x14ac:dyDescent="0.35">
      <c r="A3500" t="str">
        <f>"70201"</f>
        <v>70201</v>
      </c>
      <c r="B3500" t="s">
        <v>36</v>
      </c>
      <c r="C3500" t="s">
        <v>182</v>
      </c>
      <c r="D3500" s="5" t="str">
        <f>"007"</f>
        <v>007</v>
      </c>
      <c r="E3500" s="5">
        <v>2007</v>
      </c>
      <c r="F3500" s="3">
        <v>22579900</v>
      </c>
      <c r="G3500" s="3">
        <v>45658300</v>
      </c>
      <c r="H3500" s="3">
        <v>23078400</v>
      </c>
    </row>
    <row r="3501" spans="1:9" x14ac:dyDescent="0.35">
      <c r="A3501" t="str">
        <f>"70201"</f>
        <v>70201</v>
      </c>
      <c r="B3501" t="s">
        <v>36</v>
      </c>
      <c r="C3501" t="s">
        <v>182</v>
      </c>
      <c r="D3501" s="5" t="s">
        <v>11</v>
      </c>
      <c r="E3501" s="5" t="s">
        <v>12</v>
      </c>
      <c r="F3501" s="3" t="s">
        <v>13</v>
      </c>
      <c r="G3501" s="3" t="s">
        <v>13</v>
      </c>
      <c r="H3501" s="3" t="s">
        <v>13</v>
      </c>
      <c r="I3501" s="3">
        <v>101587300</v>
      </c>
    </row>
    <row r="3502" spans="1:9" x14ac:dyDescent="0.35">
      <c r="A3502" t="str">
        <f>"70251"</f>
        <v>70251</v>
      </c>
      <c r="B3502" t="s">
        <v>36</v>
      </c>
      <c r="C3502" t="s">
        <v>185</v>
      </c>
      <c r="D3502" s="5" t="str">
        <f>"007"</f>
        <v>007</v>
      </c>
      <c r="E3502" s="5">
        <v>2003</v>
      </c>
      <c r="F3502" s="3">
        <v>687300</v>
      </c>
      <c r="G3502" s="3">
        <v>7319000</v>
      </c>
      <c r="H3502" s="3">
        <v>6631700</v>
      </c>
    </row>
    <row r="3503" spans="1:9" x14ac:dyDescent="0.35">
      <c r="A3503" t="str">
        <f>"70251"</f>
        <v>70251</v>
      </c>
      <c r="B3503" t="s">
        <v>36</v>
      </c>
      <c r="C3503" t="s">
        <v>185</v>
      </c>
      <c r="D3503" s="5" t="str">
        <f>"010"</f>
        <v>010</v>
      </c>
      <c r="E3503" s="5">
        <v>2006</v>
      </c>
      <c r="F3503" s="3">
        <v>9701900</v>
      </c>
      <c r="G3503" s="3">
        <v>14340000</v>
      </c>
      <c r="H3503" s="3">
        <v>4638100</v>
      </c>
    </row>
    <row r="3504" spans="1:9" x14ac:dyDescent="0.35">
      <c r="A3504" t="str">
        <f>"70251"</f>
        <v>70251</v>
      </c>
      <c r="B3504" t="s">
        <v>36</v>
      </c>
      <c r="C3504" t="s">
        <v>185</v>
      </c>
      <c r="D3504" s="5" t="str">
        <f>"011"</f>
        <v>011</v>
      </c>
      <c r="E3504" s="5">
        <v>2007</v>
      </c>
      <c r="F3504" s="3">
        <v>284900</v>
      </c>
      <c r="G3504" s="3">
        <v>10433500</v>
      </c>
      <c r="H3504" s="3">
        <v>10148600</v>
      </c>
    </row>
    <row r="3505" spans="1:9" x14ac:dyDescent="0.35">
      <c r="A3505" t="str">
        <f>"70251"</f>
        <v>70251</v>
      </c>
      <c r="B3505" t="s">
        <v>36</v>
      </c>
      <c r="C3505" t="s">
        <v>185</v>
      </c>
      <c r="D3505" s="5" t="str">
        <f>"013"</f>
        <v>013</v>
      </c>
      <c r="E3505" s="5">
        <v>2015</v>
      </c>
      <c r="F3505" s="3">
        <v>10082700</v>
      </c>
      <c r="G3505" s="3">
        <v>46938000</v>
      </c>
      <c r="H3505" s="3">
        <v>36855300</v>
      </c>
    </row>
    <row r="3506" spans="1:9" x14ac:dyDescent="0.35">
      <c r="A3506" t="str">
        <f>"70251"</f>
        <v>70251</v>
      </c>
      <c r="B3506" t="s">
        <v>36</v>
      </c>
      <c r="C3506" t="s">
        <v>185</v>
      </c>
      <c r="D3506" s="5" t="s">
        <v>11</v>
      </c>
      <c r="E3506" s="5" t="s">
        <v>12</v>
      </c>
      <c r="F3506" s="3" t="s">
        <v>13</v>
      </c>
      <c r="G3506" s="3" t="s">
        <v>13</v>
      </c>
      <c r="H3506" s="3" t="s">
        <v>13</v>
      </c>
      <c r="I3506" s="3">
        <v>1488260400</v>
      </c>
    </row>
    <row r="3507" spans="1:9" x14ac:dyDescent="0.35">
      <c r="A3507" t="str">
        <f t="shared" ref="A3507:A3514" si="82">"70261"</f>
        <v>70261</v>
      </c>
      <c r="B3507" t="s">
        <v>36</v>
      </c>
      <c r="C3507" t="s">
        <v>1329</v>
      </c>
      <c r="D3507" s="5" t="str">
        <f>"007"</f>
        <v>007</v>
      </c>
      <c r="E3507" s="5">
        <v>2000</v>
      </c>
      <c r="F3507" s="3">
        <v>37039200</v>
      </c>
      <c r="G3507" s="3">
        <v>186457100</v>
      </c>
      <c r="H3507" s="3">
        <v>149417900</v>
      </c>
    </row>
    <row r="3508" spans="1:9" x14ac:dyDescent="0.35">
      <c r="A3508" t="str">
        <f t="shared" si="82"/>
        <v>70261</v>
      </c>
      <c r="B3508" t="s">
        <v>36</v>
      </c>
      <c r="C3508" t="s">
        <v>1329</v>
      </c>
      <c r="D3508" s="5" t="str">
        <f>"008"</f>
        <v>008</v>
      </c>
      <c r="E3508" s="5">
        <v>2001</v>
      </c>
      <c r="F3508" s="3">
        <v>12372100</v>
      </c>
      <c r="G3508" s="3">
        <v>118264700</v>
      </c>
      <c r="H3508" s="3">
        <v>105892600</v>
      </c>
    </row>
    <row r="3509" spans="1:9" x14ac:dyDescent="0.35">
      <c r="A3509" t="str">
        <f t="shared" si="82"/>
        <v>70261</v>
      </c>
      <c r="B3509" t="s">
        <v>36</v>
      </c>
      <c r="C3509" t="s">
        <v>1329</v>
      </c>
      <c r="D3509" s="5" t="str">
        <f>"009"</f>
        <v>009</v>
      </c>
      <c r="E3509" s="5">
        <v>2015</v>
      </c>
      <c r="F3509" s="3">
        <v>26624200</v>
      </c>
      <c r="G3509" s="3">
        <v>44469900</v>
      </c>
      <c r="H3509" s="3">
        <v>17845700</v>
      </c>
    </row>
    <row r="3510" spans="1:9" x14ac:dyDescent="0.35">
      <c r="A3510" t="str">
        <f t="shared" si="82"/>
        <v>70261</v>
      </c>
      <c r="B3510" t="s">
        <v>36</v>
      </c>
      <c r="C3510" t="s">
        <v>1329</v>
      </c>
      <c r="D3510" s="5" t="str">
        <f>"010"</f>
        <v>010</v>
      </c>
      <c r="E3510" s="5">
        <v>2015</v>
      </c>
      <c r="F3510" s="3">
        <v>3650500</v>
      </c>
      <c r="G3510" s="3">
        <v>22233900</v>
      </c>
      <c r="H3510" s="3">
        <v>18583400</v>
      </c>
    </row>
    <row r="3511" spans="1:9" x14ac:dyDescent="0.35">
      <c r="A3511" t="str">
        <f t="shared" si="82"/>
        <v>70261</v>
      </c>
      <c r="B3511" t="s">
        <v>36</v>
      </c>
      <c r="C3511" t="s">
        <v>1329</v>
      </c>
      <c r="D3511" s="5" t="str">
        <f>"011"</f>
        <v>011</v>
      </c>
      <c r="E3511" s="5">
        <v>2017</v>
      </c>
      <c r="F3511" s="3">
        <v>117700</v>
      </c>
      <c r="G3511" s="3">
        <v>28920800</v>
      </c>
      <c r="H3511" s="3">
        <v>28803100</v>
      </c>
    </row>
    <row r="3512" spans="1:9" x14ac:dyDescent="0.35">
      <c r="A3512" t="str">
        <f t="shared" si="82"/>
        <v>70261</v>
      </c>
      <c r="B3512" t="s">
        <v>36</v>
      </c>
      <c r="C3512" t="s">
        <v>1329</v>
      </c>
      <c r="D3512" s="5" t="str">
        <f>"012"</f>
        <v>012</v>
      </c>
      <c r="E3512" s="5">
        <v>2022</v>
      </c>
      <c r="F3512" s="3">
        <v>9137700</v>
      </c>
      <c r="G3512" s="3">
        <v>24101600</v>
      </c>
      <c r="H3512" s="3">
        <v>14963900</v>
      </c>
    </row>
    <row r="3513" spans="1:9" x14ac:dyDescent="0.35">
      <c r="A3513" t="str">
        <f t="shared" si="82"/>
        <v>70261</v>
      </c>
      <c r="B3513" t="s">
        <v>36</v>
      </c>
      <c r="C3513" t="s">
        <v>1329</v>
      </c>
      <c r="D3513" s="5" t="str">
        <f>"013"</f>
        <v>013</v>
      </c>
      <c r="E3513" s="5">
        <v>2024</v>
      </c>
      <c r="F3513" s="3">
        <v>222300</v>
      </c>
      <c r="G3513" s="3">
        <v>25420400</v>
      </c>
      <c r="H3513" s="3">
        <v>25198100</v>
      </c>
    </row>
    <row r="3514" spans="1:9" x14ac:dyDescent="0.35">
      <c r="A3514" t="str">
        <f t="shared" si="82"/>
        <v>70261</v>
      </c>
      <c r="B3514" t="s">
        <v>36</v>
      </c>
      <c r="C3514" t="s">
        <v>1329</v>
      </c>
      <c r="D3514" s="5" t="s">
        <v>11</v>
      </c>
      <c r="E3514" s="5" t="s">
        <v>12</v>
      </c>
      <c r="F3514" s="3" t="s">
        <v>13</v>
      </c>
      <c r="G3514" s="3" t="s">
        <v>13</v>
      </c>
      <c r="H3514" s="3" t="s">
        <v>13</v>
      </c>
      <c r="I3514" s="3">
        <v>3535429400</v>
      </c>
    </row>
    <row r="3515" spans="1:9" x14ac:dyDescent="0.35">
      <c r="A3515" t="str">
        <f>"70265"</f>
        <v>70265</v>
      </c>
      <c r="B3515" t="s">
        <v>36</v>
      </c>
      <c r="C3515" t="s">
        <v>1332</v>
      </c>
      <c r="D3515" s="5" t="str">
        <f>"007"</f>
        <v>007</v>
      </c>
      <c r="E3515" s="5">
        <v>2017</v>
      </c>
      <c r="F3515" s="3">
        <v>4315200</v>
      </c>
      <c r="G3515" s="3">
        <v>21409600</v>
      </c>
      <c r="H3515" s="3">
        <v>17094400</v>
      </c>
    </row>
    <row r="3516" spans="1:9" x14ac:dyDescent="0.35">
      <c r="A3516" t="str">
        <f>"70265"</f>
        <v>70265</v>
      </c>
      <c r="B3516" t="s">
        <v>36</v>
      </c>
      <c r="C3516" t="s">
        <v>1332</v>
      </c>
      <c r="D3516" s="5" t="s">
        <v>11</v>
      </c>
      <c r="E3516" s="5" t="s">
        <v>12</v>
      </c>
      <c r="F3516" s="3" t="s">
        <v>13</v>
      </c>
      <c r="G3516" s="3" t="s">
        <v>13</v>
      </c>
      <c r="H3516" s="3" t="s">
        <v>13</v>
      </c>
      <c r="I3516" s="3">
        <v>370985200</v>
      </c>
    </row>
    <row r="3517" spans="1:9" x14ac:dyDescent="0.35">
      <c r="A3517" t="str">
        <f t="shared" ref="A3517:A3547" si="83">"70266"</f>
        <v>70266</v>
      </c>
      <c r="B3517" t="s">
        <v>36</v>
      </c>
      <c r="C3517" t="s">
        <v>1333</v>
      </c>
      <c r="D3517" s="5" t="str">
        <f>"013"</f>
        <v>013</v>
      </c>
      <c r="E3517" s="5">
        <v>1998</v>
      </c>
      <c r="F3517" s="3">
        <v>5429200</v>
      </c>
      <c r="G3517" s="3">
        <v>21781000</v>
      </c>
      <c r="H3517" s="3">
        <v>16351800</v>
      </c>
    </row>
    <row r="3518" spans="1:9" x14ac:dyDescent="0.35">
      <c r="A3518" t="str">
        <f t="shared" si="83"/>
        <v>70266</v>
      </c>
      <c r="B3518" t="s">
        <v>36</v>
      </c>
      <c r="C3518" t="s">
        <v>1333</v>
      </c>
      <c r="D3518" s="5" t="str">
        <f>"014"</f>
        <v>014</v>
      </c>
      <c r="E3518" s="5">
        <v>2000</v>
      </c>
      <c r="F3518" s="3">
        <v>558400</v>
      </c>
      <c r="G3518" s="3">
        <v>34619700</v>
      </c>
      <c r="H3518" s="3">
        <v>34061300</v>
      </c>
    </row>
    <row r="3519" spans="1:9" x14ac:dyDescent="0.35">
      <c r="A3519" t="str">
        <f t="shared" si="83"/>
        <v>70266</v>
      </c>
      <c r="B3519" t="s">
        <v>36</v>
      </c>
      <c r="C3519" t="s">
        <v>1333</v>
      </c>
      <c r="D3519" s="5" t="str">
        <f>"015"</f>
        <v>015</v>
      </c>
      <c r="E3519" s="5">
        <v>2001</v>
      </c>
      <c r="F3519" s="3">
        <v>394400</v>
      </c>
      <c r="G3519" s="3">
        <v>10985400</v>
      </c>
      <c r="H3519" s="3">
        <v>10591000</v>
      </c>
    </row>
    <row r="3520" spans="1:9" x14ac:dyDescent="0.35">
      <c r="A3520" t="str">
        <f t="shared" si="83"/>
        <v>70266</v>
      </c>
      <c r="B3520" t="s">
        <v>36</v>
      </c>
      <c r="C3520" t="s">
        <v>1333</v>
      </c>
      <c r="D3520" s="5" t="str">
        <f>"016"</f>
        <v>016</v>
      </c>
      <c r="E3520" s="5">
        <v>2001</v>
      </c>
      <c r="F3520" s="3">
        <v>0</v>
      </c>
      <c r="G3520" s="3">
        <v>8753900</v>
      </c>
      <c r="H3520" s="3">
        <v>8753900</v>
      </c>
    </row>
    <row r="3521" spans="1:8" x14ac:dyDescent="0.35">
      <c r="A3521" t="str">
        <f t="shared" si="83"/>
        <v>70266</v>
      </c>
      <c r="B3521" t="s">
        <v>36</v>
      </c>
      <c r="C3521" t="s">
        <v>1333</v>
      </c>
      <c r="D3521" s="5" t="str">
        <f>"017"</f>
        <v>017</v>
      </c>
      <c r="E3521" s="5">
        <v>2001</v>
      </c>
      <c r="F3521" s="3">
        <v>1750100</v>
      </c>
      <c r="G3521" s="3">
        <v>2788900</v>
      </c>
      <c r="H3521" s="3">
        <v>1038800</v>
      </c>
    </row>
    <row r="3522" spans="1:8" x14ac:dyDescent="0.35">
      <c r="A3522" t="str">
        <f t="shared" si="83"/>
        <v>70266</v>
      </c>
      <c r="B3522" t="s">
        <v>36</v>
      </c>
      <c r="C3522" t="s">
        <v>1333</v>
      </c>
      <c r="D3522" s="5" t="str">
        <f>"018"</f>
        <v>018</v>
      </c>
      <c r="E3522" s="5">
        <v>2002</v>
      </c>
      <c r="F3522" s="3">
        <v>51300</v>
      </c>
      <c r="G3522" s="3">
        <v>30699000</v>
      </c>
      <c r="H3522" s="3">
        <v>30647700</v>
      </c>
    </row>
    <row r="3523" spans="1:8" x14ac:dyDescent="0.35">
      <c r="A3523" t="str">
        <f t="shared" si="83"/>
        <v>70266</v>
      </c>
      <c r="B3523" t="s">
        <v>36</v>
      </c>
      <c r="C3523" t="s">
        <v>1333</v>
      </c>
      <c r="D3523" s="5" t="str">
        <f>"019"</f>
        <v>019</v>
      </c>
      <c r="E3523" s="5">
        <v>2003</v>
      </c>
      <c r="F3523" s="3">
        <v>104200</v>
      </c>
      <c r="G3523" s="3">
        <v>13388900</v>
      </c>
      <c r="H3523" s="3">
        <v>13284700</v>
      </c>
    </row>
    <row r="3524" spans="1:8" x14ac:dyDescent="0.35">
      <c r="A3524" t="str">
        <f t="shared" si="83"/>
        <v>70266</v>
      </c>
      <c r="B3524" t="s">
        <v>36</v>
      </c>
      <c r="C3524" t="s">
        <v>1333</v>
      </c>
      <c r="D3524" s="5" t="str">
        <f>"020"</f>
        <v>020</v>
      </c>
      <c r="E3524" s="5">
        <v>2005</v>
      </c>
      <c r="F3524" s="3">
        <v>19161700</v>
      </c>
      <c r="G3524" s="3">
        <v>19187100</v>
      </c>
      <c r="H3524" s="3">
        <v>25400</v>
      </c>
    </row>
    <row r="3525" spans="1:8" x14ac:dyDescent="0.35">
      <c r="A3525" t="str">
        <f t="shared" si="83"/>
        <v>70266</v>
      </c>
      <c r="B3525" t="s">
        <v>36</v>
      </c>
      <c r="C3525" t="s">
        <v>1333</v>
      </c>
      <c r="D3525" s="5" t="str">
        <f>"021"</f>
        <v>021</v>
      </c>
      <c r="E3525" s="5">
        <v>2006</v>
      </c>
      <c r="F3525" s="3">
        <v>1954900</v>
      </c>
      <c r="G3525" s="3">
        <v>23253000</v>
      </c>
      <c r="H3525" s="3">
        <v>21298100</v>
      </c>
    </row>
    <row r="3526" spans="1:8" x14ac:dyDescent="0.35">
      <c r="A3526" t="str">
        <f t="shared" si="83"/>
        <v>70266</v>
      </c>
      <c r="B3526" t="s">
        <v>36</v>
      </c>
      <c r="C3526" t="s">
        <v>1333</v>
      </c>
      <c r="D3526" s="5" t="str">
        <f>"023"</f>
        <v>023</v>
      </c>
      <c r="E3526" s="5">
        <v>2009</v>
      </c>
      <c r="F3526" s="3">
        <v>233700</v>
      </c>
      <c r="G3526" s="3">
        <v>1971000</v>
      </c>
      <c r="H3526" s="3">
        <v>1737300</v>
      </c>
    </row>
    <row r="3527" spans="1:8" x14ac:dyDescent="0.35">
      <c r="A3527" t="str">
        <f t="shared" si="83"/>
        <v>70266</v>
      </c>
      <c r="B3527" t="s">
        <v>36</v>
      </c>
      <c r="C3527" t="s">
        <v>1333</v>
      </c>
      <c r="D3527" s="5" t="str">
        <f>"024"</f>
        <v>024</v>
      </c>
      <c r="E3527" s="5">
        <v>2010</v>
      </c>
      <c r="F3527" s="3">
        <v>8464900</v>
      </c>
      <c r="G3527" s="3">
        <v>17681900</v>
      </c>
      <c r="H3527" s="3">
        <v>9217000</v>
      </c>
    </row>
    <row r="3528" spans="1:8" x14ac:dyDescent="0.35">
      <c r="A3528" t="str">
        <f t="shared" si="83"/>
        <v>70266</v>
      </c>
      <c r="B3528" t="s">
        <v>36</v>
      </c>
      <c r="C3528" t="s">
        <v>1333</v>
      </c>
      <c r="D3528" s="5" t="str">
        <f>"025"</f>
        <v>025</v>
      </c>
      <c r="E3528" s="5">
        <v>2012</v>
      </c>
      <c r="F3528" s="3">
        <v>1012900</v>
      </c>
      <c r="G3528" s="3">
        <v>13359500</v>
      </c>
      <c r="H3528" s="3">
        <v>12346600</v>
      </c>
    </row>
    <row r="3529" spans="1:8" x14ac:dyDescent="0.35">
      <c r="A3529" t="str">
        <f t="shared" si="83"/>
        <v>70266</v>
      </c>
      <c r="B3529" t="s">
        <v>36</v>
      </c>
      <c r="C3529" t="s">
        <v>1333</v>
      </c>
      <c r="D3529" s="5" t="str">
        <f>"026"</f>
        <v>026</v>
      </c>
      <c r="E3529" s="5">
        <v>2013</v>
      </c>
      <c r="F3529" s="3">
        <v>29400</v>
      </c>
      <c r="G3529" s="3">
        <v>0</v>
      </c>
      <c r="H3529" s="3">
        <v>0</v>
      </c>
    </row>
    <row r="3530" spans="1:8" x14ac:dyDescent="0.35">
      <c r="A3530" t="str">
        <f t="shared" si="83"/>
        <v>70266</v>
      </c>
      <c r="B3530" t="s">
        <v>36</v>
      </c>
      <c r="C3530" t="s">
        <v>1333</v>
      </c>
      <c r="D3530" s="5" t="str">
        <f>"027"</f>
        <v>027</v>
      </c>
      <c r="E3530" s="5">
        <v>2014</v>
      </c>
      <c r="F3530" s="3">
        <v>41136100</v>
      </c>
      <c r="G3530" s="3">
        <v>73988300</v>
      </c>
      <c r="H3530" s="3">
        <v>32852200</v>
      </c>
    </row>
    <row r="3531" spans="1:8" x14ac:dyDescent="0.35">
      <c r="A3531" t="str">
        <f t="shared" si="83"/>
        <v>70266</v>
      </c>
      <c r="B3531" t="s">
        <v>36</v>
      </c>
      <c r="C3531" t="s">
        <v>1333</v>
      </c>
      <c r="D3531" s="5" t="str">
        <f>"029"</f>
        <v>029</v>
      </c>
      <c r="E3531" s="5">
        <v>2016</v>
      </c>
      <c r="F3531" s="3">
        <v>1268100</v>
      </c>
      <c r="G3531" s="3">
        <v>37481600</v>
      </c>
      <c r="H3531" s="3">
        <v>36213500</v>
      </c>
    </row>
    <row r="3532" spans="1:8" x14ac:dyDescent="0.35">
      <c r="A3532" t="str">
        <f t="shared" si="83"/>
        <v>70266</v>
      </c>
      <c r="B3532" t="s">
        <v>36</v>
      </c>
      <c r="C3532" t="s">
        <v>1333</v>
      </c>
      <c r="D3532" s="5" t="str">
        <f>"030"</f>
        <v>030</v>
      </c>
      <c r="E3532" s="5">
        <v>2016</v>
      </c>
      <c r="F3532" s="3">
        <v>563400</v>
      </c>
      <c r="G3532" s="3">
        <v>6006600</v>
      </c>
      <c r="H3532" s="3">
        <v>5443200</v>
      </c>
    </row>
    <row r="3533" spans="1:8" x14ac:dyDescent="0.35">
      <c r="A3533" t="str">
        <f t="shared" si="83"/>
        <v>70266</v>
      </c>
      <c r="B3533" t="s">
        <v>36</v>
      </c>
      <c r="C3533" t="s">
        <v>1333</v>
      </c>
      <c r="D3533" s="5" t="str">
        <f>"031"</f>
        <v>031</v>
      </c>
      <c r="E3533" s="5">
        <v>2017</v>
      </c>
      <c r="F3533" s="3">
        <v>143600</v>
      </c>
      <c r="G3533" s="3">
        <v>21090400</v>
      </c>
      <c r="H3533" s="3">
        <v>20946800</v>
      </c>
    </row>
    <row r="3534" spans="1:8" x14ac:dyDescent="0.35">
      <c r="A3534" t="str">
        <f t="shared" si="83"/>
        <v>70266</v>
      </c>
      <c r="B3534" t="s">
        <v>36</v>
      </c>
      <c r="C3534" t="s">
        <v>1333</v>
      </c>
      <c r="D3534" s="5" t="str">
        <f>"032"</f>
        <v>032</v>
      </c>
      <c r="E3534" s="5">
        <v>2017</v>
      </c>
      <c r="F3534" s="3">
        <v>115900</v>
      </c>
      <c r="G3534" s="3">
        <v>698600</v>
      </c>
      <c r="H3534" s="3">
        <v>582700</v>
      </c>
    </row>
    <row r="3535" spans="1:8" x14ac:dyDescent="0.35">
      <c r="A3535" t="str">
        <f t="shared" si="83"/>
        <v>70266</v>
      </c>
      <c r="B3535" t="s">
        <v>36</v>
      </c>
      <c r="C3535" t="s">
        <v>1333</v>
      </c>
      <c r="D3535" s="5" t="str">
        <f>"033"</f>
        <v>033</v>
      </c>
      <c r="E3535" s="5">
        <v>2017</v>
      </c>
      <c r="F3535" s="3">
        <v>746100</v>
      </c>
      <c r="G3535" s="3">
        <v>15170200</v>
      </c>
      <c r="H3535" s="3">
        <v>14424100</v>
      </c>
    </row>
    <row r="3536" spans="1:8" x14ac:dyDescent="0.35">
      <c r="A3536" t="str">
        <f t="shared" si="83"/>
        <v>70266</v>
      </c>
      <c r="B3536" t="s">
        <v>36</v>
      </c>
      <c r="C3536" t="s">
        <v>1333</v>
      </c>
      <c r="D3536" s="5" t="str">
        <f>"034"</f>
        <v>034</v>
      </c>
      <c r="E3536" s="5">
        <v>2018</v>
      </c>
      <c r="F3536" s="3">
        <v>0</v>
      </c>
      <c r="G3536" s="3">
        <v>51521300</v>
      </c>
      <c r="H3536" s="3">
        <v>51521300</v>
      </c>
    </row>
    <row r="3537" spans="1:9" x14ac:dyDescent="0.35">
      <c r="A3537" t="str">
        <f t="shared" si="83"/>
        <v>70266</v>
      </c>
      <c r="B3537" t="s">
        <v>36</v>
      </c>
      <c r="C3537" t="s">
        <v>1333</v>
      </c>
      <c r="D3537" s="5" t="str">
        <f>"035"</f>
        <v>035</v>
      </c>
      <c r="E3537" s="5">
        <v>2018</v>
      </c>
      <c r="F3537" s="3">
        <v>15256700</v>
      </c>
      <c r="G3537" s="3">
        <v>75602300</v>
      </c>
      <c r="H3537" s="3">
        <v>60345600</v>
      </c>
    </row>
    <row r="3538" spans="1:9" x14ac:dyDescent="0.35">
      <c r="A3538" t="str">
        <f t="shared" si="83"/>
        <v>70266</v>
      </c>
      <c r="B3538" t="s">
        <v>36</v>
      </c>
      <c r="C3538" t="s">
        <v>1333</v>
      </c>
      <c r="D3538" s="5" t="str">
        <f>"036"</f>
        <v>036</v>
      </c>
      <c r="E3538" s="5">
        <v>2019</v>
      </c>
      <c r="F3538" s="3">
        <v>0</v>
      </c>
      <c r="G3538" s="3">
        <v>20589000</v>
      </c>
      <c r="H3538" s="3">
        <v>20589000</v>
      </c>
    </row>
    <row r="3539" spans="1:9" x14ac:dyDescent="0.35">
      <c r="A3539" t="str">
        <f t="shared" si="83"/>
        <v>70266</v>
      </c>
      <c r="B3539" t="s">
        <v>36</v>
      </c>
      <c r="C3539" t="s">
        <v>1333</v>
      </c>
      <c r="D3539" s="5" t="str">
        <f>"037"</f>
        <v>037</v>
      </c>
      <c r="E3539" s="5">
        <v>2019</v>
      </c>
      <c r="F3539" s="3">
        <v>6783100</v>
      </c>
      <c r="G3539" s="3">
        <v>14186200</v>
      </c>
      <c r="H3539" s="3">
        <v>7403100</v>
      </c>
    </row>
    <row r="3540" spans="1:9" x14ac:dyDescent="0.35">
      <c r="A3540" t="str">
        <f t="shared" si="83"/>
        <v>70266</v>
      </c>
      <c r="B3540" t="s">
        <v>36</v>
      </c>
      <c r="C3540" t="s">
        <v>1333</v>
      </c>
      <c r="D3540" s="5" t="str">
        <f>"038"</f>
        <v>038</v>
      </c>
      <c r="E3540" s="5">
        <v>2019</v>
      </c>
      <c r="F3540" s="3">
        <v>2169600</v>
      </c>
      <c r="G3540" s="3">
        <v>3033100</v>
      </c>
      <c r="H3540" s="3">
        <v>863500</v>
      </c>
    </row>
    <row r="3541" spans="1:9" x14ac:dyDescent="0.35">
      <c r="A3541" t="str">
        <f t="shared" si="83"/>
        <v>70266</v>
      </c>
      <c r="B3541" t="s">
        <v>36</v>
      </c>
      <c r="C3541" t="s">
        <v>1333</v>
      </c>
      <c r="D3541" s="5" t="str">
        <f>"039"</f>
        <v>039</v>
      </c>
      <c r="E3541" s="5">
        <v>2020</v>
      </c>
      <c r="F3541" s="3">
        <v>0</v>
      </c>
      <c r="G3541" s="3">
        <v>1280800</v>
      </c>
      <c r="H3541" s="3">
        <v>1280800</v>
      </c>
    </row>
    <row r="3542" spans="1:9" x14ac:dyDescent="0.35">
      <c r="A3542" t="str">
        <f t="shared" si="83"/>
        <v>70266</v>
      </c>
      <c r="B3542" t="s">
        <v>36</v>
      </c>
      <c r="C3542" t="s">
        <v>1333</v>
      </c>
      <c r="D3542" s="5" t="str">
        <f>"040"</f>
        <v>040</v>
      </c>
      <c r="E3542" s="5">
        <v>2021</v>
      </c>
      <c r="F3542" s="3">
        <v>179200</v>
      </c>
      <c r="G3542" s="3">
        <v>4474400</v>
      </c>
      <c r="H3542" s="3">
        <v>4295200</v>
      </c>
    </row>
    <row r="3543" spans="1:9" x14ac:dyDescent="0.35">
      <c r="A3543" t="str">
        <f t="shared" si="83"/>
        <v>70266</v>
      </c>
      <c r="B3543" t="s">
        <v>36</v>
      </c>
      <c r="C3543" t="s">
        <v>1333</v>
      </c>
      <c r="D3543" s="5" t="str">
        <f>"041"</f>
        <v>041</v>
      </c>
      <c r="E3543" s="5">
        <v>2022</v>
      </c>
      <c r="F3543" s="3">
        <v>401400</v>
      </c>
      <c r="G3543" s="3">
        <v>1302000</v>
      </c>
      <c r="H3543" s="3">
        <v>900600</v>
      </c>
    </row>
    <row r="3544" spans="1:9" x14ac:dyDescent="0.35">
      <c r="A3544" t="str">
        <f t="shared" si="83"/>
        <v>70266</v>
      </c>
      <c r="B3544" t="s">
        <v>36</v>
      </c>
      <c r="C3544" t="s">
        <v>1333</v>
      </c>
      <c r="D3544" s="5" t="str">
        <f>"042"</f>
        <v>042</v>
      </c>
      <c r="E3544" s="5">
        <v>2022</v>
      </c>
      <c r="F3544" s="3">
        <v>246000</v>
      </c>
      <c r="G3544" s="3">
        <v>335000</v>
      </c>
      <c r="H3544" s="3">
        <v>89000</v>
      </c>
    </row>
    <row r="3545" spans="1:9" x14ac:dyDescent="0.35">
      <c r="A3545" t="str">
        <f t="shared" si="83"/>
        <v>70266</v>
      </c>
      <c r="B3545" t="s">
        <v>36</v>
      </c>
      <c r="C3545" t="s">
        <v>1333</v>
      </c>
      <c r="D3545" s="5" t="str">
        <f>"043"</f>
        <v>043</v>
      </c>
      <c r="E3545" s="5">
        <v>2022</v>
      </c>
      <c r="F3545" s="3">
        <v>7100</v>
      </c>
      <c r="G3545" s="3">
        <v>6200</v>
      </c>
      <c r="H3545" s="3">
        <v>0</v>
      </c>
    </row>
    <row r="3546" spans="1:9" x14ac:dyDescent="0.35">
      <c r="A3546" t="str">
        <f t="shared" si="83"/>
        <v>70266</v>
      </c>
      <c r="B3546" t="s">
        <v>36</v>
      </c>
      <c r="C3546" t="s">
        <v>1333</v>
      </c>
      <c r="D3546" s="5" t="str">
        <f>"044"</f>
        <v>044</v>
      </c>
      <c r="E3546" s="5">
        <v>2024</v>
      </c>
      <c r="F3546" s="3">
        <v>14547000</v>
      </c>
      <c r="G3546" s="3">
        <v>32094900</v>
      </c>
      <c r="H3546" s="3">
        <v>17547900</v>
      </c>
    </row>
    <row r="3547" spans="1:9" x14ac:dyDescent="0.35">
      <c r="A3547" t="str">
        <f t="shared" si="83"/>
        <v>70266</v>
      </c>
      <c r="B3547" t="s">
        <v>36</v>
      </c>
      <c r="C3547" t="s">
        <v>1333</v>
      </c>
      <c r="D3547" s="5" t="s">
        <v>11</v>
      </c>
      <c r="E3547" s="5" t="s">
        <v>12</v>
      </c>
      <c r="F3547" s="3" t="s">
        <v>13</v>
      </c>
      <c r="G3547" s="3" t="s">
        <v>13</v>
      </c>
      <c r="H3547" s="3" t="s">
        <v>13</v>
      </c>
      <c r="I3547" s="3">
        <v>6702768700</v>
      </c>
    </row>
    <row r="3548" spans="1:9" x14ac:dyDescent="0.35">
      <c r="A3548" t="s">
        <v>30</v>
      </c>
      <c r="B3548" t="s">
        <v>38</v>
      </c>
      <c r="C3548" t="s">
        <v>32</v>
      </c>
      <c r="D3548" s="5" t="s">
        <v>11</v>
      </c>
      <c r="E3548" s="5" t="s">
        <v>12</v>
      </c>
      <c r="F3548" s="3" t="s">
        <v>13</v>
      </c>
      <c r="G3548" s="3" t="s">
        <v>13</v>
      </c>
      <c r="H3548" s="3" t="s">
        <v>13</v>
      </c>
      <c r="I3548" s="3">
        <v>12199031000</v>
      </c>
    </row>
    <row r="3549" spans="1:9" x14ac:dyDescent="0.35">
      <c r="A3549" t="s">
        <v>30</v>
      </c>
      <c r="B3549" t="s">
        <v>39</v>
      </c>
      <c r="C3549" t="s">
        <v>1338</v>
      </c>
      <c r="D3549" s="5" t="s">
        <v>11</v>
      </c>
      <c r="E3549" s="5" t="s">
        <v>12</v>
      </c>
      <c r="F3549" s="3" t="s">
        <v>13</v>
      </c>
      <c r="G3549" s="3" t="s">
        <v>13</v>
      </c>
      <c r="H3549" s="3" t="s">
        <v>13</v>
      </c>
      <c r="I3549" s="3">
        <v>23352985300</v>
      </c>
    </row>
    <row r="3550" spans="1:9" x14ac:dyDescent="0.35">
      <c r="A3550" t="str">
        <f>"71002"</f>
        <v>71002</v>
      </c>
      <c r="B3550" t="s">
        <v>9</v>
      </c>
      <c r="C3550" t="s">
        <v>1339</v>
      </c>
      <c r="D3550" s="5" t="s">
        <v>11</v>
      </c>
      <c r="E3550" s="5" t="s">
        <v>12</v>
      </c>
      <c r="F3550" s="3" t="s">
        <v>13</v>
      </c>
      <c r="G3550" s="3" t="s">
        <v>13</v>
      </c>
      <c r="H3550" s="3" t="s">
        <v>13</v>
      </c>
      <c r="I3550" s="3">
        <v>137596400</v>
      </c>
    </row>
    <row r="3551" spans="1:9" x14ac:dyDescent="0.35">
      <c r="A3551" t="str">
        <f>"71004"</f>
        <v>71004</v>
      </c>
      <c r="B3551" t="s">
        <v>9</v>
      </c>
      <c r="C3551" t="s">
        <v>1340</v>
      </c>
      <c r="D3551" s="5" t="s">
        <v>11</v>
      </c>
      <c r="E3551" s="5" t="s">
        <v>12</v>
      </c>
      <c r="F3551" s="3" t="s">
        <v>13</v>
      </c>
      <c r="G3551" s="3" t="s">
        <v>13</v>
      </c>
      <c r="H3551" s="3" t="s">
        <v>13</v>
      </c>
      <c r="I3551" s="3">
        <v>128092600</v>
      </c>
    </row>
    <row r="3552" spans="1:9" x14ac:dyDescent="0.35">
      <c r="A3552" t="str">
        <f>"71006"</f>
        <v>71006</v>
      </c>
      <c r="B3552" t="s">
        <v>9</v>
      </c>
      <c r="C3552" t="s">
        <v>80</v>
      </c>
      <c r="D3552" s="5" t="s">
        <v>11</v>
      </c>
      <c r="E3552" s="5" t="s">
        <v>12</v>
      </c>
      <c r="F3552" s="3" t="s">
        <v>13</v>
      </c>
      <c r="G3552" s="3" t="s">
        <v>13</v>
      </c>
      <c r="H3552" s="3" t="s">
        <v>13</v>
      </c>
      <c r="I3552" s="3">
        <v>87082000</v>
      </c>
    </row>
    <row r="3553" spans="1:9" x14ac:dyDescent="0.35">
      <c r="A3553" t="str">
        <f>"71008"</f>
        <v>71008</v>
      </c>
      <c r="B3553" t="s">
        <v>9</v>
      </c>
      <c r="C3553" t="s">
        <v>1341</v>
      </c>
      <c r="D3553" s="5" t="s">
        <v>11</v>
      </c>
      <c r="E3553" s="5" t="s">
        <v>12</v>
      </c>
      <c r="F3553" s="3" t="s">
        <v>13</v>
      </c>
      <c r="G3553" s="3" t="s">
        <v>13</v>
      </c>
      <c r="H3553" s="3" t="s">
        <v>13</v>
      </c>
      <c r="I3553" s="3">
        <v>94361000</v>
      </c>
    </row>
    <row r="3554" spans="1:9" x14ac:dyDescent="0.35">
      <c r="A3554" t="str">
        <f>"71010"</f>
        <v>71010</v>
      </c>
      <c r="B3554" t="s">
        <v>9</v>
      </c>
      <c r="C3554" t="s">
        <v>1342</v>
      </c>
      <c r="D3554" s="5" t="s">
        <v>11</v>
      </c>
      <c r="E3554" s="5" t="s">
        <v>12</v>
      </c>
      <c r="F3554" s="3" t="s">
        <v>13</v>
      </c>
      <c r="G3554" s="3" t="s">
        <v>13</v>
      </c>
      <c r="H3554" s="3" t="s">
        <v>13</v>
      </c>
      <c r="I3554" s="3">
        <v>58969400</v>
      </c>
    </row>
    <row r="3555" spans="1:9" x14ac:dyDescent="0.35">
      <c r="A3555" t="str">
        <f>"71012"</f>
        <v>71012</v>
      </c>
      <c r="B3555" t="s">
        <v>9</v>
      </c>
      <c r="C3555" t="s">
        <v>1343</v>
      </c>
      <c r="D3555" s="5" t="s">
        <v>11</v>
      </c>
      <c r="E3555" s="5" t="s">
        <v>12</v>
      </c>
      <c r="F3555" s="3" t="s">
        <v>13</v>
      </c>
      <c r="G3555" s="3" t="s">
        <v>13</v>
      </c>
      <c r="H3555" s="3" t="s">
        <v>13</v>
      </c>
      <c r="I3555" s="3">
        <v>66674500</v>
      </c>
    </row>
    <row r="3556" spans="1:9" x14ac:dyDescent="0.35">
      <c r="A3556" t="str">
        <f>"71014"</f>
        <v>71014</v>
      </c>
      <c r="B3556" t="s">
        <v>9</v>
      </c>
      <c r="C3556" t="s">
        <v>1344</v>
      </c>
      <c r="D3556" s="5" t="s">
        <v>11</v>
      </c>
      <c r="E3556" s="5" t="s">
        <v>12</v>
      </c>
      <c r="F3556" s="3" t="s">
        <v>13</v>
      </c>
      <c r="G3556" s="3" t="s">
        <v>13</v>
      </c>
      <c r="H3556" s="3" t="s">
        <v>13</v>
      </c>
      <c r="I3556" s="3">
        <v>1023130000</v>
      </c>
    </row>
    <row r="3557" spans="1:9" x14ac:dyDescent="0.35">
      <c r="A3557" t="str">
        <f>"71016"</f>
        <v>71016</v>
      </c>
      <c r="B3557" t="s">
        <v>9</v>
      </c>
      <c r="C3557" t="s">
        <v>1345</v>
      </c>
      <c r="D3557" s="5" t="s">
        <v>11</v>
      </c>
      <c r="E3557" s="5" t="s">
        <v>12</v>
      </c>
      <c r="F3557" s="3" t="s">
        <v>13</v>
      </c>
      <c r="G3557" s="3" t="s">
        <v>13</v>
      </c>
      <c r="H3557" s="3" t="s">
        <v>13</v>
      </c>
      <c r="I3557" s="3">
        <v>110644700</v>
      </c>
    </row>
    <row r="3558" spans="1:9" x14ac:dyDescent="0.35">
      <c r="A3558" t="str">
        <f>"71018"</f>
        <v>71018</v>
      </c>
      <c r="B3558" t="s">
        <v>9</v>
      </c>
      <c r="C3558" t="s">
        <v>485</v>
      </c>
      <c r="D3558" s="5" t="s">
        <v>11</v>
      </c>
      <c r="E3558" s="5" t="s">
        <v>12</v>
      </c>
      <c r="F3558" s="3" t="s">
        <v>13</v>
      </c>
      <c r="G3558" s="3" t="s">
        <v>13</v>
      </c>
      <c r="H3558" s="3" t="s">
        <v>13</v>
      </c>
      <c r="I3558" s="3">
        <v>45001300</v>
      </c>
    </row>
    <row r="3559" spans="1:9" x14ac:dyDescent="0.35">
      <c r="A3559" t="str">
        <f>"71020"</f>
        <v>71020</v>
      </c>
      <c r="B3559" t="s">
        <v>9</v>
      </c>
      <c r="C3559" t="s">
        <v>20</v>
      </c>
      <c r="D3559" s="5" t="s">
        <v>11</v>
      </c>
      <c r="E3559" s="5" t="s">
        <v>12</v>
      </c>
      <c r="F3559" s="3" t="s">
        <v>13</v>
      </c>
      <c r="G3559" s="3" t="s">
        <v>13</v>
      </c>
      <c r="H3559" s="3" t="s">
        <v>13</v>
      </c>
      <c r="I3559" s="3">
        <v>238287500</v>
      </c>
    </row>
    <row r="3560" spans="1:9" x14ac:dyDescent="0.35">
      <c r="A3560" t="str">
        <f>"71022"</f>
        <v>71022</v>
      </c>
      <c r="B3560" t="s">
        <v>9</v>
      </c>
      <c r="C3560" t="s">
        <v>464</v>
      </c>
      <c r="D3560" s="5" t="s">
        <v>11</v>
      </c>
      <c r="E3560" s="5" t="s">
        <v>12</v>
      </c>
      <c r="F3560" s="3" t="s">
        <v>13</v>
      </c>
      <c r="G3560" s="3" t="s">
        <v>13</v>
      </c>
      <c r="H3560" s="3" t="s">
        <v>13</v>
      </c>
      <c r="I3560" s="3">
        <v>124122200</v>
      </c>
    </row>
    <row r="3561" spans="1:9" x14ac:dyDescent="0.35">
      <c r="A3561" t="str">
        <f>"71024"</f>
        <v>71024</v>
      </c>
      <c r="B3561" t="s">
        <v>9</v>
      </c>
      <c r="C3561" t="s">
        <v>987</v>
      </c>
      <c r="D3561" s="5" t="s">
        <v>11</v>
      </c>
      <c r="E3561" s="5" t="s">
        <v>12</v>
      </c>
      <c r="F3561" s="3" t="s">
        <v>13</v>
      </c>
      <c r="G3561" s="3" t="s">
        <v>13</v>
      </c>
      <c r="H3561" s="3" t="s">
        <v>13</v>
      </c>
      <c r="I3561" s="3">
        <v>87752900</v>
      </c>
    </row>
    <row r="3562" spans="1:9" x14ac:dyDescent="0.35">
      <c r="A3562" t="str">
        <f>"71026"</f>
        <v>71026</v>
      </c>
      <c r="B3562" t="s">
        <v>9</v>
      </c>
      <c r="C3562" t="s">
        <v>1346</v>
      </c>
      <c r="D3562" s="5" t="s">
        <v>11</v>
      </c>
      <c r="E3562" s="5" t="s">
        <v>12</v>
      </c>
      <c r="F3562" s="3" t="s">
        <v>13</v>
      </c>
      <c r="G3562" s="3" t="s">
        <v>13</v>
      </c>
      <c r="H3562" s="3" t="s">
        <v>13</v>
      </c>
      <c r="I3562" s="3">
        <v>171582000</v>
      </c>
    </row>
    <row r="3563" spans="1:9" x14ac:dyDescent="0.35">
      <c r="A3563" t="str">
        <f>"71028"</f>
        <v>71028</v>
      </c>
      <c r="B3563" t="s">
        <v>9</v>
      </c>
      <c r="C3563" t="s">
        <v>1347</v>
      </c>
      <c r="D3563" s="5" t="s">
        <v>11</v>
      </c>
      <c r="E3563" s="5" t="s">
        <v>12</v>
      </c>
      <c r="F3563" s="3" t="s">
        <v>13</v>
      </c>
      <c r="G3563" s="3" t="s">
        <v>13</v>
      </c>
      <c r="H3563" s="3" t="s">
        <v>13</v>
      </c>
      <c r="I3563" s="3">
        <v>54111000</v>
      </c>
    </row>
    <row r="3564" spans="1:9" x14ac:dyDescent="0.35">
      <c r="A3564" t="str">
        <f>"71030"</f>
        <v>71030</v>
      </c>
      <c r="B3564" t="s">
        <v>9</v>
      </c>
      <c r="C3564" t="s">
        <v>26</v>
      </c>
      <c r="D3564" s="5" t="s">
        <v>11</v>
      </c>
      <c r="E3564" s="5" t="s">
        <v>12</v>
      </c>
      <c r="F3564" s="3" t="s">
        <v>13</v>
      </c>
      <c r="G3564" s="3" t="s">
        <v>13</v>
      </c>
      <c r="H3564" s="3" t="s">
        <v>13</v>
      </c>
      <c r="I3564" s="3">
        <v>203795400</v>
      </c>
    </row>
    <row r="3565" spans="1:9" x14ac:dyDescent="0.35">
      <c r="A3565" t="str">
        <f>"71032"</f>
        <v>71032</v>
      </c>
      <c r="B3565" t="s">
        <v>9</v>
      </c>
      <c r="C3565" t="s">
        <v>1049</v>
      </c>
      <c r="D3565" s="5" t="s">
        <v>11</v>
      </c>
      <c r="E3565" s="5" t="s">
        <v>12</v>
      </c>
      <c r="F3565" s="3" t="s">
        <v>13</v>
      </c>
      <c r="G3565" s="3" t="s">
        <v>13</v>
      </c>
      <c r="H3565" s="3" t="s">
        <v>13</v>
      </c>
      <c r="I3565" s="3">
        <v>146084300</v>
      </c>
    </row>
    <row r="3566" spans="1:9" x14ac:dyDescent="0.35">
      <c r="A3566" t="str">
        <f>"71034"</f>
        <v>71034</v>
      </c>
      <c r="B3566" t="s">
        <v>9</v>
      </c>
      <c r="C3566" t="s">
        <v>1348</v>
      </c>
      <c r="D3566" s="5" t="s">
        <v>11</v>
      </c>
      <c r="E3566" s="5" t="s">
        <v>12</v>
      </c>
      <c r="F3566" s="3" t="s">
        <v>13</v>
      </c>
      <c r="G3566" s="3" t="s">
        <v>13</v>
      </c>
      <c r="H3566" s="3" t="s">
        <v>13</v>
      </c>
      <c r="I3566" s="3">
        <v>145203300</v>
      </c>
    </row>
    <row r="3567" spans="1:9" x14ac:dyDescent="0.35">
      <c r="A3567" t="str">
        <f>"71036"</f>
        <v>71036</v>
      </c>
      <c r="B3567" t="s">
        <v>9</v>
      </c>
      <c r="C3567" t="s">
        <v>1349</v>
      </c>
      <c r="D3567" s="5" t="s">
        <v>11</v>
      </c>
      <c r="E3567" s="5" t="s">
        <v>12</v>
      </c>
      <c r="F3567" s="3" t="s">
        <v>13</v>
      </c>
      <c r="G3567" s="3" t="s">
        <v>13</v>
      </c>
      <c r="H3567" s="3" t="s">
        <v>13</v>
      </c>
      <c r="I3567" s="3">
        <v>670203700</v>
      </c>
    </row>
    <row r="3568" spans="1:9" x14ac:dyDescent="0.35">
      <c r="A3568" t="str">
        <f>"71038"</f>
        <v>71038</v>
      </c>
      <c r="B3568" t="s">
        <v>9</v>
      </c>
      <c r="C3568" t="s">
        <v>288</v>
      </c>
      <c r="D3568" s="5" t="s">
        <v>11</v>
      </c>
      <c r="E3568" s="5" t="s">
        <v>12</v>
      </c>
      <c r="F3568" s="3" t="s">
        <v>13</v>
      </c>
      <c r="G3568" s="3" t="s">
        <v>13</v>
      </c>
      <c r="H3568" s="3" t="s">
        <v>13</v>
      </c>
      <c r="I3568" s="3">
        <v>152443700</v>
      </c>
    </row>
    <row r="3569" spans="1:9" x14ac:dyDescent="0.35">
      <c r="A3569" t="str">
        <f>"71040"</f>
        <v>71040</v>
      </c>
      <c r="B3569" t="s">
        <v>9</v>
      </c>
      <c r="C3569" t="s">
        <v>1350</v>
      </c>
      <c r="D3569" s="5" t="s">
        <v>11</v>
      </c>
      <c r="E3569" s="5" t="s">
        <v>12</v>
      </c>
      <c r="F3569" s="3" t="s">
        <v>13</v>
      </c>
      <c r="G3569" s="3" t="s">
        <v>13</v>
      </c>
      <c r="H3569" s="3" t="s">
        <v>13</v>
      </c>
      <c r="I3569" s="3">
        <v>103494100</v>
      </c>
    </row>
    <row r="3570" spans="1:9" x14ac:dyDescent="0.35">
      <c r="A3570" t="str">
        <f>"71042"</f>
        <v>71042</v>
      </c>
      <c r="B3570" t="s">
        <v>9</v>
      </c>
      <c r="C3570" t="s">
        <v>204</v>
      </c>
      <c r="D3570" s="5" t="s">
        <v>11</v>
      </c>
      <c r="E3570" s="5" t="s">
        <v>12</v>
      </c>
      <c r="F3570" s="3" t="s">
        <v>13</v>
      </c>
      <c r="G3570" s="3" t="s">
        <v>13</v>
      </c>
      <c r="H3570" s="3" t="s">
        <v>13</v>
      </c>
      <c r="I3570" s="3">
        <v>144698200</v>
      </c>
    </row>
    <row r="3571" spans="1:9" x14ac:dyDescent="0.35">
      <c r="A3571" t="str">
        <f>"71044"</f>
        <v>71044</v>
      </c>
      <c r="B3571" t="s">
        <v>9</v>
      </c>
      <c r="C3571" t="s">
        <v>1351</v>
      </c>
      <c r="D3571" s="5" t="s">
        <v>11</v>
      </c>
      <c r="E3571" s="5" t="s">
        <v>12</v>
      </c>
      <c r="F3571" s="3" t="s">
        <v>13</v>
      </c>
      <c r="G3571" s="3" t="s">
        <v>13</v>
      </c>
      <c r="H3571" s="3" t="s">
        <v>13</v>
      </c>
      <c r="I3571" s="3">
        <v>128549400</v>
      </c>
    </row>
    <row r="3572" spans="1:9" x14ac:dyDescent="0.35">
      <c r="A3572" t="s">
        <v>30</v>
      </c>
      <c r="B3572" t="s">
        <v>31</v>
      </c>
      <c r="C3572" t="s">
        <v>32</v>
      </c>
      <c r="D3572" s="5" t="s">
        <v>11</v>
      </c>
      <c r="E3572" s="5" t="s">
        <v>12</v>
      </c>
      <c r="F3572" s="3" t="s">
        <v>13</v>
      </c>
      <c r="G3572" s="3" t="s">
        <v>13</v>
      </c>
      <c r="H3572" s="3" t="s">
        <v>13</v>
      </c>
      <c r="I3572" s="3">
        <v>4121879600</v>
      </c>
    </row>
    <row r="3573" spans="1:9" x14ac:dyDescent="0.35">
      <c r="A3573" t="str">
        <f>"71100"</f>
        <v>71100</v>
      </c>
      <c r="B3573" t="s">
        <v>33</v>
      </c>
      <c r="C3573" t="s">
        <v>1339</v>
      </c>
      <c r="D3573" s="5" t="s">
        <v>11</v>
      </c>
      <c r="E3573" s="5" t="s">
        <v>12</v>
      </c>
      <c r="F3573" s="3" t="s">
        <v>13</v>
      </c>
      <c r="G3573" s="3" t="s">
        <v>13</v>
      </c>
      <c r="H3573" s="3" t="s">
        <v>13</v>
      </c>
      <c r="I3573" s="3">
        <v>18497900</v>
      </c>
    </row>
    <row r="3574" spans="1:9" x14ac:dyDescent="0.35">
      <c r="A3574" t="str">
        <f>"71101"</f>
        <v>71101</v>
      </c>
      <c r="B3574" t="s">
        <v>33</v>
      </c>
      <c r="C3574" t="s">
        <v>1340</v>
      </c>
      <c r="D3574" s="5" t="str">
        <f>"001"</f>
        <v>001</v>
      </c>
      <c r="E3574" s="5">
        <v>2006</v>
      </c>
      <c r="F3574" s="3">
        <v>2073000</v>
      </c>
      <c r="G3574" s="3">
        <v>5786900</v>
      </c>
      <c r="H3574" s="3">
        <v>3713900</v>
      </c>
    </row>
    <row r="3575" spans="1:9" x14ac:dyDescent="0.35">
      <c r="A3575" t="str">
        <f>"71101"</f>
        <v>71101</v>
      </c>
      <c r="B3575" t="s">
        <v>33</v>
      </c>
      <c r="C3575" t="s">
        <v>1340</v>
      </c>
      <c r="D3575" s="5" t="str">
        <f>"002"</f>
        <v>002</v>
      </c>
      <c r="E3575" s="5">
        <v>2015</v>
      </c>
      <c r="F3575" s="3">
        <v>1800400</v>
      </c>
      <c r="G3575" s="3">
        <v>4601200</v>
      </c>
      <c r="H3575" s="3">
        <v>2800800</v>
      </c>
    </row>
    <row r="3576" spans="1:9" x14ac:dyDescent="0.35">
      <c r="A3576" t="str">
        <f>"71101"</f>
        <v>71101</v>
      </c>
      <c r="B3576" t="s">
        <v>33</v>
      </c>
      <c r="C3576" t="s">
        <v>1340</v>
      </c>
      <c r="D3576" s="5" t="str">
        <f>"003"</f>
        <v>003</v>
      </c>
      <c r="E3576" s="5">
        <v>2022</v>
      </c>
      <c r="F3576" s="3">
        <v>1502900</v>
      </c>
      <c r="G3576" s="3">
        <v>4417800</v>
      </c>
      <c r="H3576" s="3">
        <v>2914900</v>
      </c>
    </row>
    <row r="3577" spans="1:9" x14ac:dyDescent="0.35">
      <c r="A3577" t="str">
        <f>"71101"</f>
        <v>71101</v>
      </c>
      <c r="B3577" t="s">
        <v>33</v>
      </c>
      <c r="C3577" t="s">
        <v>1340</v>
      </c>
      <c r="D3577" s="5" t="s">
        <v>11</v>
      </c>
      <c r="E3577" s="5" t="s">
        <v>12</v>
      </c>
      <c r="F3577" s="3" t="s">
        <v>13</v>
      </c>
      <c r="G3577" s="3" t="s">
        <v>13</v>
      </c>
      <c r="H3577" s="3" t="s">
        <v>13</v>
      </c>
      <c r="I3577" s="3">
        <v>58767900</v>
      </c>
    </row>
    <row r="3578" spans="1:9" x14ac:dyDescent="0.35">
      <c r="A3578" t="str">
        <f>"71106"</f>
        <v>71106</v>
      </c>
      <c r="B3578" t="s">
        <v>33</v>
      </c>
      <c r="C3578" t="s">
        <v>1352</v>
      </c>
      <c r="D3578" s="5" t="str">
        <f>"001"</f>
        <v>001</v>
      </c>
      <c r="E3578" s="5">
        <v>2006</v>
      </c>
      <c r="F3578" s="3">
        <v>3452100</v>
      </c>
      <c r="G3578" s="3">
        <v>5536200</v>
      </c>
      <c r="H3578" s="3">
        <v>2084100</v>
      </c>
    </row>
    <row r="3579" spans="1:9" x14ac:dyDescent="0.35">
      <c r="A3579" t="str">
        <f>"71106"</f>
        <v>71106</v>
      </c>
      <c r="B3579" t="s">
        <v>33</v>
      </c>
      <c r="C3579" t="s">
        <v>1352</v>
      </c>
      <c r="D3579" s="5" t="str">
        <f>"002"</f>
        <v>002</v>
      </c>
      <c r="E3579" s="5">
        <v>2006</v>
      </c>
      <c r="F3579" s="3">
        <v>4698300</v>
      </c>
      <c r="G3579" s="3">
        <v>48550100</v>
      </c>
      <c r="H3579" s="3">
        <v>43851800</v>
      </c>
    </row>
    <row r="3580" spans="1:9" x14ac:dyDescent="0.35">
      <c r="A3580" t="str">
        <f>"71106"</f>
        <v>71106</v>
      </c>
      <c r="B3580" t="s">
        <v>33</v>
      </c>
      <c r="C3580" t="s">
        <v>1352</v>
      </c>
      <c r="D3580" s="5" t="str">
        <f>"003"</f>
        <v>003</v>
      </c>
      <c r="E3580" s="5">
        <v>2009</v>
      </c>
      <c r="F3580" s="3">
        <v>3897200</v>
      </c>
      <c r="G3580" s="3">
        <v>30439600</v>
      </c>
      <c r="H3580" s="3">
        <v>26542400</v>
      </c>
    </row>
    <row r="3581" spans="1:9" x14ac:dyDescent="0.35">
      <c r="A3581" t="str">
        <f>"71106"</f>
        <v>71106</v>
      </c>
      <c r="B3581" t="s">
        <v>33</v>
      </c>
      <c r="C3581" t="s">
        <v>1352</v>
      </c>
      <c r="D3581" s="5" t="s">
        <v>11</v>
      </c>
      <c r="E3581" s="5" t="s">
        <v>12</v>
      </c>
      <c r="F3581" s="3" t="s">
        <v>13</v>
      </c>
      <c r="G3581" s="3" t="s">
        <v>13</v>
      </c>
      <c r="H3581" s="3" t="s">
        <v>13</v>
      </c>
      <c r="I3581" s="3">
        <v>103772800</v>
      </c>
    </row>
    <row r="3582" spans="1:9" x14ac:dyDescent="0.35">
      <c r="A3582" t="str">
        <f>"71122"</f>
        <v>71122</v>
      </c>
      <c r="B3582" t="s">
        <v>33</v>
      </c>
      <c r="C3582" t="s">
        <v>751</v>
      </c>
      <c r="D3582" s="5" t="s">
        <v>11</v>
      </c>
      <c r="E3582" s="5" t="s">
        <v>12</v>
      </c>
      <c r="F3582" s="3" t="s">
        <v>13</v>
      </c>
      <c r="G3582" s="3" t="s">
        <v>13</v>
      </c>
      <c r="H3582" s="3" t="s">
        <v>13</v>
      </c>
      <c r="I3582" s="3">
        <v>95144800</v>
      </c>
    </row>
    <row r="3583" spans="1:9" x14ac:dyDescent="0.35">
      <c r="A3583" t="str">
        <f>"71151"</f>
        <v>71151</v>
      </c>
      <c r="B3583" t="s">
        <v>33</v>
      </c>
      <c r="C3583" t="s">
        <v>987</v>
      </c>
      <c r="D3583" s="5" t="s">
        <v>11</v>
      </c>
      <c r="E3583" s="5" t="s">
        <v>12</v>
      </c>
      <c r="F3583" s="3" t="s">
        <v>13</v>
      </c>
      <c r="G3583" s="3" t="s">
        <v>13</v>
      </c>
      <c r="H3583" s="3" t="s">
        <v>13</v>
      </c>
      <c r="I3583" s="3">
        <v>18384000</v>
      </c>
    </row>
    <row r="3584" spans="1:9" x14ac:dyDescent="0.35">
      <c r="A3584" t="str">
        <f>"71171"</f>
        <v>71171</v>
      </c>
      <c r="B3584" t="s">
        <v>33</v>
      </c>
      <c r="C3584" t="s">
        <v>1346</v>
      </c>
      <c r="D3584" s="5" t="str">
        <f>"002"</f>
        <v>002</v>
      </c>
      <c r="E3584" s="5">
        <v>2009</v>
      </c>
      <c r="F3584" s="3">
        <v>5240500</v>
      </c>
      <c r="G3584" s="3">
        <v>19128800</v>
      </c>
      <c r="H3584" s="3">
        <v>13888300</v>
      </c>
    </row>
    <row r="3585" spans="1:9" x14ac:dyDescent="0.35">
      <c r="A3585" t="str">
        <f>"71171"</f>
        <v>71171</v>
      </c>
      <c r="B3585" t="s">
        <v>33</v>
      </c>
      <c r="C3585" t="s">
        <v>1346</v>
      </c>
      <c r="D3585" s="5" t="s">
        <v>11</v>
      </c>
      <c r="E3585" s="5" t="s">
        <v>12</v>
      </c>
      <c r="F3585" s="3" t="s">
        <v>13</v>
      </c>
      <c r="G3585" s="3" t="s">
        <v>13</v>
      </c>
      <c r="H3585" s="3" t="s">
        <v>13</v>
      </c>
      <c r="I3585" s="3">
        <v>210852800</v>
      </c>
    </row>
    <row r="3586" spans="1:9" x14ac:dyDescent="0.35">
      <c r="A3586" t="str">
        <f>"71178"</f>
        <v>71178</v>
      </c>
      <c r="B3586" t="s">
        <v>33</v>
      </c>
      <c r="C3586" t="s">
        <v>1348</v>
      </c>
      <c r="D3586" s="5" t="s">
        <v>11</v>
      </c>
      <c r="E3586" s="5" t="s">
        <v>12</v>
      </c>
      <c r="F3586" s="3" t="s">
        <v>13</v>
      </c>
      <c r="G3586" s="3" t="s">
        <v>13</v>
      </c>
      <c r="H3586" s="3" t="s">
        <v>13</v>
      </c>
      <c r="I3586" s="3">
        <v>54328500</v>
      </c>
    </row>
    <row r="3587" spans="1:9" x14ac:dyDescent="0.35">
      <c r="A3587" t="str">
        <f>"71186"</f>
        <v>71186</v>
      </c>
      <c r="B3587" t="s">
        <v>33</v>
      </c>
      <c r="C3587" t="s">
        <v>1353</v>
      </c>
      <c r="D3587" s="5" t="str">
        <f>"001"</f>
        <v>001</v>
      </c>
      <c r="E3587" s="5">
        <v>2006</v>
      </c>
      <c r="F3587" s="3">
        <v>2509000</v>
      </c>
      <c r="G3587" s="3">
        <v>6557700</v>
      </c>
      <c r="H3587" s="3">
        <v>4048700</v>
      </c>
    </row>
    <row r="3588" spans="1:9" x14ac:dyDescent="0.35">
      <c r="A3588" t="str">
        <f>"71186"</f>
        <v>71186</v>
      </c>
      <c r="B3588" t="s">
        <v>33</v>
      </c>
      <c r="C3588" t="s">
        <v>1353</v>
      </c>
      <c r="D3588" s="5" t="str">
        <f>"002"</f>
        <v>002</v>
      </c>
      <c r="E3588" s="5">
        <v>2023</v>
      </c>
      <c r="F3588" s="3">
        <v>2837000</v>
      </c>
      <c r="G3588" s="3">
        <v>3815700</v>
      </c>
      <c r="H3588" s="3">
        <v>978700</v>
      </c>
    </row>
    <row r="3589" spans="1:9" x14ac:dyDescent="0.35">
      <c r="A3589" t="str">
        <f>"71186"</f>
        <v>71186</v>
      </c>
      <c r="B3589" t="s">
        <v>33</v>
      </c>
      <c r="C3589" t="s">
        <v>1353</v>
      </c>
      <c r="D3589" s="5" t="s">
        <v>11</v>
      </c>
      <c r="E3589" s="5" t="s">
        <v>12</v>
      </c>
      <c r="F3589" s="3" t="s">
        <v>13</v>
      </c>
      <c r="G3589" s="3" t="s">
        <v>13</v>
      </c>
      <c r="H3589" s="3" t="s">
        <v>13</v>
      </c>
      <c r="I3589" s="3">
        <v>40188900</v>
      </c>
    </row>
    <row r="3590" spans="1:9" x14ac:dyDescent="0.35">
      <c r="A3590" t="s">
        <v>30</v>
      </c>
      <c r="B3590" t="s">
        <v>35</v>
      </c>
      <c r="C3590" t="s">
        <v>32</v>
      </c>
      <c r="D3590" s="5" t="s">
        <v>11</v>
      </c>
      <c r="E3590" s="5" t="s">
        <v>12</v>
      </c>
      <c r="F3590" s="3" t="s">
        <v>13</v>
      </c>
      <c r="G3590" s="3" t="s">
        <v>13</v>
      </c>
      <c r="H3590" s="3" t="s">
        <v>13</v>
      </c>
      <c r="I3590" s="3">
        <v>599937600</v>
      </c>
    </row>
    <row r="3591" spans="1:9" x14ac:dyDescent="0.35">
      <c r="A3591" t="str">
        <f t="shared" ref="A3591:A3600" si="84">"71251"</f>
        <v>71251</v>
      </c>
      <c r="B3591" t="s">
        <v>36</v>
      </c>
      <c r="C3591" t="s">
        <v>464</v>
      </c>
      <c r="D3591" s="5" t="str">
        <f>"004"</f>
        <v>004</v>
      </c>
      <c r="E3591" s="5">
        <v>1996</v>
      </c>
      <c r="F3591" s="3">
        <v>32843000</v>
      </c>
      <c r="G3591" s="3">
        <v>97434400</v>
      </c>
      <c r="H3591" s="3">
        <v>64591400</v>
      </c>
    </row>
    <row r="3592" spans="1:9" x14ac:dyDescent="0.35">
      <c r="A3592" t="str">
        <f t="shared" si="84"/>
        <v>71251</v>
      </c>
      <c r="B3592" t="s">
        <v>36</v>
      </c>
      <c r="C3592" t="s">
        <v>464</v>
      </c>
      <c r="D3592" s="5" t="str">
        <f>"007"</f>
        <v>007</v>
      </c>
      <c r="E3592" s="5">
        <v>2001</v>
      </c>
      <c r="F3592" s="3">
        <v>2052300</v>
      </c>
      <c r="G3592" s="3">
        <v>46068900</v>
      </c>
      <c r="H3592" s="3">
        <v>44016600</v>
      </c>
    </row>
    <row r="3593" spans="1:9" x14ac:dyDescent="0.35">
      <c r="A3593" t="str">
        <f t="shared" si="84"/>
        <v>71251</v>
      </c>
      <c r="B3593" t="s">
        <v>36</v>
      </c>
      <c r="C3593" t="s">
        <v>464</v>
      </c>
      <c r="D3593" s="5" t="str">
        <f>"009"</f>
        <v>009</v>
      </c>
      <c r="E3593" s="5">
        <v>2013</v>
      </c>
      <c r="F3593" s="3">
        <v>1398400</v>
      </c>
      <c r="G3593" s="3">
        <v>20433000</v>
      </c>
      <c r="H3593" s="3">
        <v>19034600</v>
      </c>
    </row>
    <row r="3594" spans="1:9" x14ac:dyDescent="0.35">
      <c r="A3594" t="str">
        <f t="shared" si="84"/>
        <v>71251</v>
      </c>
      <c r="B3594" t="s">
        <v>36</v>
      </c>
      <c r="C3594" t="s">
        <v>464</v>
      </c>
      <c r="D3594" s="5" t="str">
        <f>"010"</f>
        <v>010</v>
      </c>
      <c r="E3594" s="5">
        <v>2015</v>
      </c>
      <c r="F3594" s="3">
        <v>14047900</v>
      </c>
      <c r="G3594" s="3">
        <v>33818300</v>
      </c>
      <c r="H3594" s="3">
        <v>19770400</v>
      </c>
    </row>
    <row r="3595" spans="1:9" x14ac:dyDescent="0.35">
      <c r="A3595" t="str">
        <f t="shared" si="84"/>
        <v>71251</v>
      </c>
      <c r="B3595" t="s">
        <v>36</v>
      </c>
      <c r="C3595" t="s">
        <v>464</v>
      </c>
      <c r="D3595" s="5" t="str">
        <f>"011"</f>
        <v>011</v>
      </c>
      <c r="E3595" s="5">
        <v>2016</v>
      </c>
      <c r="F3595" s="3">
        <v>827800</v>
      </c>
      <c r="G3595" s="3">
        <v>10701500</v>
      </c>
      <c r="H3595" s="3">
        <v>9873700</v>
      </c>
    </row>
    <row r="3596" spans="1:9" x14ac:dyDescent="0.35">
      <c r="A3596" t="str">
        <f t="shared" si="84"/>
        <v>71251</v>
      </c>
      <c r="B3596" t="s">
        <v>36</v>
      </c>
      <c r="C3596" t="s">
        <v>464</v>
      </c>
      <c r="D3596" s="5" t="str">
        <f>"012"</f>
        <v>012</v>
      </c>
      <c r="E3596" s="5">
        <v>2021</v>
      </c>
      <c r="F3596" s="3">
        <v>0</v>
      </c>
      <c r="G3596" s="3">
        <v>2141900</v>
      </c>
      <c r="H3596" s="3">
        <v>2141900</v>
      </c>
    </row>
    <row r="3597" spans="1:9" x14ac:dyDescent="0.35">
      <c r="A3597" t="str">
        <f t="shared" si="84"/>
        <v>71251</v>
      </c>
      <c r="B3597" t="s">
        <v>36</v>
      </c>
      <c r="C3597" t="s">
        <v>464</v>
      </c>
      <c r="D3597" s="5" t="str">
        <f>"013"</f>
        <v>013</v>
      </c>
      <c r="E3597" s="5">
        <v>2021</v>
      </c>
      <c r="F3597" s="3">
        <v>19536900</v>
      </c>
      <c r="G3597" s="3">
        <v>42388100</v>
      </c>
      <c r="H3597" s="3">
        <v>22851200</v>
      </c>
    </row>
    <row r="3598" spans="1:9" x14ac:dyDescent="0.35">
      <c r="A3598" t="str">
        <f t="shared" si="84"/>
        <v>71251</v>
      </c>
      <c r="B3598" t="s">
        <v>36</v>
      </c>
      <c r="C3598" t="s">
        <v>464</v>
      </c>
      <c r="D3598" s="5" t="str">
        <f>"014"</f>
        <v>014</v>
      </c>
      <c r="E3598" s="5">
        <v>2023</v>
      </c>
      <c r="F3598" s="3">
        <v>3745800</v>
      </c>
      <c r="G3598" s="3">
        <v>4475300</v>
      </c>
      <c r="H3598" s="3">
        <v>729500</v>
      </c>
    </row>
    <row r="3599" spans="1:9" x14ac:dyDescent="0.35">
      <c r="A3599" t="str">
        <f t="shared" si="84"/>
        <v>71251</v>
      </c>
      <c r="B3599" t="s">
        <v>36</v>
      </c>
      <c r="C3599" t="s">
        <v>464</v>
      </c>
      <c r="D3599" s="5" t="str">
        <f>"015"</f>
        <v>015</v>
      </c>
      <c r="E3599" s="5">
        <v>2024</v>
      </c>
      <c r="F3599" s="3">
        <v>21448900</v>
      </c>
      <c r="G3599" s="3">
        <v>33218000</v>
      </c>
      <c r="H3599" s="3">
        <v>11769100</v>
      </c>
    </row>
    <row r="3600" spans="1:9" x14ac:dyDescent="0.35">
      <c r="A3600" t="str">
        <f t="shared" si="84"/>
        <v>71251</v>
      </c>
      <c r="B3600" t="s">
        <v>36</v>
      </c>
      <c r="C3600" t="s">
        <v>464</v>
      </c>
      <c r="D3600" s="5" t="s">
        <v>11</v>
      </c>
      <c r="E3600" s="5" t="s">
        <v>12</v>
      </c>
      <c r="F3600" s="3" t="s">
        <v>13</v>
      </c>
      <c r="G3600" s="3" t="s">
        <v>13</v>
      </c>
      <c r="H3600" s="3" t="s">
        <v>13</v>
      </c>
      <c r="I3600" s="3">
        <v>2120736500</v>
      </c>
    </row>
    <row r="3601" spans="1:9" x14ac:dyDescent="0.35">
      <c r="A3601" t="str">
        <f>"71261"</f>
        <v>71261</v>
      </c>
      <c r="B3601" t="s">
        <v>36</v>
      </c>
      <c r="C3601" t="s">
        <v>1354</v>
      </c>
      <c r="D3601" s="5" t="str">
        <f>"003"</f>
        <v>003</v>
      </c>
      <c r="E3601" s="5">
        <v>2012</v>
      </c>
      <c r="F3601" s="3">
        <v>16204500</v>
      </c>
      <c r="G3601" s="3">
        <v>28714600</v>
      </c>
      <c r="H3601" s="3">
        <v>12510100</v>
      </c>
    </row>
    <row r="3602" spans="1:9" x14ac:dyDescent="0.35">
      <c r="A3602" t="str">
        <f>"71261"</f>
        <v>71261</v>
      </c>
      <c r="B3602" t="s">
        <v>36</v>
      </c>
      <c r="C3602" t="s">
        <v>1354</v>
      </c>
      <c r="D3602" s="5" t="str">
        <f>"004"</f>
        <v>004</v>
      </c>
      <c r="E3602" s="5">
        <v>2018</v>
      </c>
      <c r="F3602" s="3">
        <v>3086000</v>
      </c>
      <c r="G3602" s="3">
        <v>7813400</v>
      </c>
      <c r="H3602" s="3">
        <v>4727400</v>
      </c>
    </row>
    <row r="3603" spans="1:9" x14ac:dyDescent="0.35">
      <c r="A3603" t="str">
        <f>"71261"</f>
        <v>71261</v>
      </c>
      <c r="B3603" t="s">
        <v>36</v>
      </c>
      <c r="C3603" t="s">
        <v>1354</v>
      </c>
      <c r="D3603" s="5" t="s">
        <v>11</v>
      </c>
      <c r="E3603" s="5" t="s">
        <v>12</v>
      </c>
      <c r="F3603" s="3" t="s">
        <v>13</v>
      </c>
      <c r="G3603" s="3" t="s">
        <v>13</v>
      </c>
      <c r="H3603" s="3" t="s">
        <v>13</v>
      </c>
      <c r="I3603" s="3">
        <v>177850100</v>
      </c>
    </row>
    <row r="3604" spans="1:9" x14ac:dyDescent="0.35">
      <c r="A3604" t="str">
        <f>"71271"</f>
        <v>71271</v>
      </c>
      <c r="B3604" t="s">
        <v>36</v>
      </c>
      <c r="C3604" t="s">
        <v>1355</v>
      </c>
      <c r="D3604" s="5" t="str">
        <f>"004"</f>
        <v>004</v>
      </c>
      <c r="E3604" s="5">
        <v>2025</v>
      </c>
      <c r="F3604" s="3">
        <v>4457600</v>
      </c>
      <c r="G3604" s="3">
        <v>6710300</v>
      </c>
      <c r="H3604" s="3">
        <v>2252700</v>
      </c>
    </row>
    <row r="3605" spans="1:9" x14ac:dyDescent="0.35">
      <c r="A3605" t="str">
        <f>"71271"</f>
        <v>71271</v>
      </c>
      <c r="B3605" t="s">
        <v>36</v>
      </c>
      <c r="C3605" t="s">
        <v>1355</v>
      </c>
      <c r="D3605" s="5" t="s">
        <v>11</v>
      </c>
      <c r="E3605" s="5" t="s">
        <v>12</v>
      </c>
      <c r="F3605" s="3" t="s">
        <v>13</v>
      </c>
      <c r="G3605" s="3" t="s">
        <v>13</v>
      </c>
      <c r="H3605" s="3" t="s">
        <v>13</v>
      </c>
      <c r="I3605" s="3">
        <v>90050800</v>
      </c>
    </row>
    <row r="3606" spans="1:9" x14ac:dyDescent="0.35">
      <c r="A3606" t="str">
        <f>"71291"</f>
        <v>71291</v>
      </c>
      <c r="B3606" t="s">
        <v>36</v>
      </c>
      <c r="C3606" t="s">
        <v>1356</v>
      </c>
      <c r="D3606" s="5" t="str">
        <f>"006"</f>
        <v>006</v>
      </c>
      <c r="E3606" s="5">
        <v>2004</v>
      </c>
      <c r="F3606" s="3">
        <v>3812800</v>
      </c>
      <c r="G3606" s="3">
        <v>21296300</v>
      </c>
      <c r="H3606" s="3">
        <v>17483500</v>
      </c>
    </row>
    <row r="3607" spans="1:9" x14ac:dyDescent="0.35">
      <c r="A3607" t="str">
        <f>"71291"</f>
        <v>71291</v>
      </c>
      <c r="B3607" t="s">
        <v>36</v>
      </c>
      <c r="C3607" t="s">
        <v>1356</v>
      </c>
      <c r="D3607" s="5" t="str">
        <f>"007"</f>
        <v>007</v>
      </c>
      <c r="E3607" s="5">
        <v>2005</v>
      </c>
      <c r="F3607" s="3">
        <v>31842200</v>
      </c>
      <c r="G3607" s="3">
        <v>63339000</v>
      </c>
      <c r="H3607" s="3">
        <v>31496800</v>
      </c>
    </row>
    <row r="3608" spans="1:9" x14ac:dyDescent="0.35">
      <c r="A3608" t="str">
        <f>"71291"</f>
        <v>71291</v>
      </c>
      <c r="B3608" t="s">
        <v>36</v>
      </c>
      <c r="C3608" t="s">
        <v>1356</v>
      </c>
      <c r="D3608" s="5" t="str">
        <f>"008"</f>
        <v>008</v>
      </c>
      <c r="E3608" s="5">
        <v>2019</v>
      </c>
      <c r="F3608" s="3">
        <v>0</v>
      </c>
      <c r="G3608" s="3">
        <v>27868900</v>
      </c>
      <c r="H3608" s="3">
        <v>27868900</v>
      </c>
    </row>
    <row r="3609" spans="1:9" x14ac:dyDescent="0.35">
      <c r="A3609" t="str">
        <f>"71291"</f>
        <v>71291</v>
      </c>
      <c r="B3609" t="s">
        <v>36</v>
      </c>
      <c r="C3609" t="s">
        <v>1356</v>
      </c>
      <c r="D3609" s="5" t="s">
        <v>11</v>
      </c>
      <c r="E3609" s="5" t="s">
        <v>12</v>
      </c>
      <c r="F3609" s="3" t="s">
        <v>13</v>
      </c>
      <c r="G3609" s="3" t="s">
        <v>13</v>
      </c>
      <c r="H3609" s="3" t="s">
        <v>13</v>
      </c>
      <c r="I3609" s="3">
        <v>1801011500</v>
      </c>
    </row>
    <row r="3610" spans="1:9" x14ac:dyDescent="0.35">
      <c r="A3610" t="s">
        <v>30</v>
      </c>
      <c r="B3610" t="s">
        <v>38</v>
      </c>
      <c r="C3610" t="s">
        <v>32</v>
      </c>
      <c r="D3610" s="5" t="s">
        <v>11</v>
      </c>
      <c r="E3610" s="5" t="s">
        <v>12</v>
      </c>
      <c r="F3610" s="3" t="s">
        <v>13</v>
      </c>
      <c r="G3610" s="3" t="s">
        <v>13</v>
      </c>
      <c r="H3610" s="3" t="s">
        <v>13</v>
      </c>
      <c r="I3610" s="3">
        <v>4189648900</v>
      </c>
    </row>
    <row r="3611" spans="1:9" x14ac:dyDescent="0.35">
      <c r="A3611" t="s">
        <v>30</v>
      </c>
      <c r="B3611" t="s">
        <v>39</v>
      </c>
      <c r="C3611" t="s">
        <v>1351</v>
      </c>
      <c r="D3611" s="5" t="s">
        <v>11</v>
      </c>
      <c r="E3611" s="5" t="s">
        <v>12</v>
      </c>
      <c r="F3611" s="3" t="s">
        <v>13</v>
      </c>
      <c r="G3611" s="3" t="s">
        <v>13</v>
      </c>
      <c r="H3611" s="3" t="s">
        <v>13</v>
      </c>
      <c r="I3611" s="3">
        <v>8911466100</v>
      </c>
    </row>
    <row r="3612" spans="1:9" x14ac:dyDescent="0.35">
      <c r="A3612" t="str">
        <f>"72001"</f>
        <v>72001</v>
      </c>
      <c r="B3612" t="s">
        <v>9</v>
      </c>
      <c r="C3612" t="s">
        <v>1357</v>
      </c>
      <c r="D3612" s="5" t="s">
        <v>11</v>
      </c>
      <c r="E3612" s="5" t="s">
        <v>12</v>
      </c>
      <c r="F3612" s="3" t="s">
        <v>13</v>
      </c>
      <c r="G3612" s="3" t="s">
        <v>13</v>
      </c>
      <c r="H3612" s="3" t="s">
        <v>13</v>
      </c>
      <c r="I3612" s="3">
        <v>753087200</v>
      </c>
    </row>
    <row r="3613" spans="1:9" x14ac:dyDescent="0.35">
      <c r="A3613" t="s">
        <v>30</v>
      </c>
      <c r="B3613" t="s">
        <v>31</v>
      </c>
      <c r="C3613" t="s">
        <v>32</v>
      </c>
      <c r="D3613" s="5" t="s">
        <v>11</v>
      </c>
      <c r="E3613" s="5" t="s">
        <v>12</v>
      </c>
      <c r="F3613" s="3" t="s">
        <v>13</v>
      </c>
      <c r="G3613" s="3" t="s">
        <v>13</v>
      </c>
      <c r="H3613" s="3" t="s">
        <v>13</v>
      </c>
      <c r="I3613" s="3">
        <v>753087200</v>
      </c>
    </row>
    <row r="3614" spans="1:9" x14ac:dyDescent="0.35">
      <c r="A3614" t="s">
        <v>30</v>
      </c>
      <c r="B3614" t="s">
        <v>39</v>
      </c>
      <c r="C3614" t="s">
        <v>1357</v>
      </c>
      <c r="D3614" s="5" t="s">
        <v>11</v>
      </c>
      <c r="E3614" s="5" t="s">
        <v>12</v>
      </c>
      <c r="F3614" s="3" t="s">
        <v>13</v>
      </c>
      <c r="G3614" s="3" t="s">
        <v>13</v>
      </c>
      <c r="H3614" s="3" t="s">
        <v>13</v>
      </c>
      <c r="I3614" s="3">
        <v>753087200</v>
      </c>
    </row>
    <row r="3617" spans="1:9" x14ac:dyDescent="0.35">
      <c r="A3617" t="s">
        <v>1358</v>
      </c>
      <c r="B3617" t="s">
        <v>1359</v>
      </c>
      <c r="C3617" t="s">
        <v>1358</v>
      </c>
      <c r="D3617" s="5" t="s">
        <v>1358</v>
      </c>
      <c r="E3617" s="5" t="s">
        <v>1358</v>
      </c>
      <c r="F3617" s="3" t="s">
        <v>1358</v>
      </c>
      <c r="G3617" s="3" t="s">
        <v>1358</v>
      </c>
      <c r="H3617" s="3" t="s">
        <v>1358</v>
      </c>
      <c r="I3617" s="3">
        <v>378076426400</v>
      </c>
    </row>
    <row r="3618" spans="1:9" x14ac:dyDescent="0.35">
      <c r="A3618" t="s">
        <v>1358</v>
      </c>
      <c r="B3618" t="s">
        <v>1360</v>
      </c>
      <c r="C3618" t="s">
        <v>1358</v>
      </c>
      <c r="D3618" s="5" t="s">
        <v>1358</v>
      </c>
      <c r="E3618" s="5" t="s">
        <v>1358</v>
      </c>
      <c r="F3618" s="3" t="s">
        <v>1358</v>
      </c>
      <c r="G3618" s="3" t="s">
        <v>1358</v>
      </c>
      <c r="H3618" s="3" t="s">
        <v>1358</v>
      </c>
      <c r="I3618" s="3">
        <v>194886826735</v>
      </c>
    </row>
    <row r="3619" spans="1:9" x14ac:dyDescent="0.35">
      <c r="A3619" t="s">
        <v>1358</v>
      </c>
      <c r="B3619" t="s">
        <v>1361</v>
      </c>
      <c r="C3619" t="s">
        <v>1358</v>
      </c>
      <c r="D3619" s="5" t="s">
        <v>1358</v>
      </c>
      <c r="E3619" s="5" t="s">
        <v>1358</v>
      </c>
      <c r="F3619" s="3" t="s">
        <v>1358</v>
      </c>
      <c r="G3619" s="3" t="s">
        <v>1358</v>
      </c>
      <c r="H3619" s="3" t="s">
        <v>1358</v>
      </c>
      <c r="I3619" s="3">
        <v>434427303402</v>
      </c>
    </row>
    <row r="3620" spans="1:9" x14ac:dyDescent="0.35">
      <c r="A3620" t="s">
        <v>1358</v>
      </c>
      <c r="B3620" t="s">
        <v>1362</v>
      </c>
      <c r="C3620" t="s">
        <v>1358</v>
      </c>
      <c r="D3620" s="5" t="s">
        <v>1358</v>
      </c>
      <c r="E3620" s="5" t="s">
        <v>1358</v>
      </c>
      <c r="F3620" s="3" t="s">
        <v>1358</v>
      </c>
      <c r="G3620" s="3" t="s">
        <v>1358</v>
      </c>
      <c r="H3620" s="3" t="s">
        <v>1358</v>
      </c>
      <c r="I3620" s="3">
        <v>1007390556537</v>
      </c>
    </row>
    <row r="3621" spans="1:9" x14ac:dyDescent="0.35">
      <c r="A3621" t="s">
        <v>1358</v>
      </c>
      <c r="B3621" t="s">
        <v>1363</v>
      </c>
      <c r="C3621" t="s">
        <v>1358</v>
      </c>
      <c r="D3621" s="5" t="s">
        <v>1358</v>
      </c>
      <c r="E3621" s="5" t="s">
        <v>1358</v>
      </c>
      <c r="F3621" s="3" t="s">
        <v>1358</v>
      </c>
      <c r="G3621" s="3" t="s">
        <v>1358</v>
      </c>
      <c r="H3621" s="3" t="s">
        <v>1358</v>
      </c>
      <c r="I3621" s="3">
        <v>1057778622500</v>
      </c>
    </row>
    <row r="3622" spans="1:9" x14ac:dyDescent="0.35">
      <c r="A3622" t="s">
        <v>1358</v>
      </c>
      <c r="B3622" t="s">
        <v>1364</v>
      </c>
      <c r="C3622" t="s">
        <v>1358</v>
      </c>
      <c r="D3622" s="5" t="s">
        <v>1358</v>
      </c>
      <c r="E3622" s="5" t="s">
        <v>1358</v>
      </c>
      <c r="F3622" s="3" t="s">
        <v>1358</v>
      </c>
      <c r="G3622" s="3" t="s">
        <v>1358</v>
      </c>
      <c r="H3622" s="3" t="s">
        <v>1358</v>
      </c>
      <c r="I3622" s="3">
        <v>50388065963</v>
      </c>
    </row>
    <row r="3623" spans="1:9" x14ac:dyDescent="0.35">
      <c r="A3623" t="s">
        <v>1358</v>
      </c>
      <c r="B3623" t="s">
        <v>1365</v>
      </c>
      <c r="C3623" t="s">
        <v>1358</v>
      </c>
      <c r="D3623" s="5" t="s">
        <v>1358</v>
      </c>
      <c r="E3623" s="5" t="s">
        <v>1358</v>
      </c>
      <c r="F3623" s="3" t="s">
        <v>1358</v>
      </c>
      <c r="G3623" s="3" t="s">
        <v>1358</v>
      </c>
      <c r="H3623" s="3" t="s">
        <v>1358</v>
      </c>
      <c r="I3623" s="3">
        <v>1007390556537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146A0504FDE4E857300889FC2E733" ma:contentTypeVersion="14" ma:contentTypeDescription="Create a new document." ma:contentTypeScope="" ma:versionID="d5b1c31a34f23fb3430f5f19c87db4e0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9eb6913b20c3cd8c4861606090783dcc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  <xsd:element ref="ns3:Version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Status" ma:index="18" nillable="true" ma:displayName="VersionStatus" ma:format="RadioButtons" ma:internalName="VersionStatus">
      <xsd:simpleType>
        <xsd:restriction base="dms:Choice">
          <xsd:enumeration value="DRAFT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ffectiveDate xmlns="7b1f4bc1-1c69-4382-97c7-524a76d943bf" xsi:nil="true"/>
    <_x002e_DocumentType xmlns="9e30f06f-ad7a-453a-8e08-8a8878e30bd1">
      <Value>123</Value>
      <Value>203</Value>
    </_x002e_DocumentType>
    <_x002e_DocumentYear xmlns="9e30f06f-ad7a-453a-8e08-8a8878e30bd1">2026</_x002e_DocumentYear>
    <_dlc_DocId xmlns="bb65cc95-6d4e-4879-a879-9838761499af">33E6D4FPPFNA-2091641682-9497</_dlc_DocId>
    <_x002e_Owner xmlns="9e30f06f-ad7a-453a-8e08-8a8878e30bd1">
      <Value>40</Value>
      <Value>41</Value>
    </_x002e_Owner>
    <_dlc_DocIdUrl xmlns="bb65cc95-6d4e-4879-a879-9838761499af">
      <Url>https://revenue-auth-prod.wi.gov/_layouts/15/DocIdRedir.aspx?ID=33E6D4FPPFNA-2091641682-9497</Url>
      <Description>33E6D4FPPFNA-2091641682-9497</Description>
    </_dlc_DocIdUrl>
    <VersionStatus xmlns="9e30f06f-ad7a-453a-8e08-8a8878e30bd1" xsi:nil="true"/>
  </documentManagement>
</p:properties>
</file>

<file path=customXml/itemProps1.xml><?xml version="1.0" encoding="utf-8"?>
<ds:datastoreItem xmlns:ds="http://schemas.openxmlformats.org/officeDocument/2006/customXml" ds:itemID="{60E2577D-EE6D-4893-88D6-D84F028CBFD4}"/>
</file>

<file path=customXml/itemProps2.xml><?xml version="1.0" encoding="utf-8"?>
<ds:datastoreItem xmlns:ds="http://schemas.openxmlformats.org/officeDocument/2006/customXml" ds:itemID="{75B45686-614C-4676-88A9-0405CF3B220C}"/>
</file>

<file path=customXml/itemProps3.xml><?xml version="1.0" encoding="utf-8"?>
<ds:datastoreItem xmlns:ds="http://schemas.openxmlformats.org/officeDocument/2006/customXml" ds:itemID="{6A2269F2-8C53-4FEF-BA01-30EEB133A2F4}"/>
</file>

<file path=customXml/itemProps4.xml><?xml version="1.0" encoding="utf-8"?>
<ds:datastoreItem xmlns:ds="http://schemas.openxmlformats.org/officeDocument/2006/customXml" ds:itemID="{0AAABAED-928D-4F62-93D6-696162AB37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TID303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Cusick, Carrie A - DOR</cp:lastModifiedBy>
  <dcterms:created xsi:type="dcterms:W3CDTF">2026-08-11T19:31:34Z</dcterms:created>
  <dcterms:modified xsi:type="dcterms:W3CDTF">2026-08-12T14:54:32Z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0x0101005CF146A0504FDE4E857300889FC2E733</vt:lpwstr>
  </property>
  <property fmtid="{D5CDD505-2E9C-101B-9397-08002B2CF9AE}" pid="3" name="_dlc_DocIdItemGuid">
    <vt:lpwstr>a701569e-5276-4fc3-bf8f-a7541096c020</vt:lpwstr>
  </property>
</Properties>
</file>