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gov-my.sharepoint.com/personal/matthew_lentz_wisconsin_gov/Documents/Docs to upload/2022 Aug/final/4 - TID302WI_TID SOC/"/>
    </mc:Choice>
  </mc:AlternateContent>
  <xr:revisionPtr revIDLastSave="1" documentId="13_ncr:1_{2919B1BB-981A-4634-BF35-3E2462645D64}" xr6:coauthVersionLast="47" xr6:coauthVersionMax="47" xr10:uidLastSave="{A4C317EA-F03E-4FF5-B34A-B2C605121DD4}"/>
  <bookViews>
    <workbookView xWindow="-24380" yWindow="-2560" windowWidth="19400" windowHeight="12930" xr2:uid="{00000000-000D-0000-FFFF-FFFF00000000}"/>
  </bookViews>
  <sheets>
    <sheet name="TIDSO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E5" i="1"/>
  <c r="G5" i="1"/>
  <c r="H5" i="1"/>
  <c r="B6" i="1"/>
  <c r="E6" i="1"/>
  <c r="G6" i="1"/>
  <c r="H6" i="1"/>
  <c r="B7" i="1"/>
  <c r="E7" i="1"/>
  <c r="G7" i="1"/>
  <c r="H7" i="1"/>
  <c r="B8" i="1"/>
  <c r="E8" i="1"/>
  <c r="G8" i="1"/>
  <c r="H8" i="1"/>
  <c r="B9" i="1"/>
  <c r="E9" i="1"/>
  <c r="G9" i="1"/>
  <c r="H9" i="1"/>
  <c r="B10" i="1"/>
  <c r="E10" i="1"/>
  <c r="G10" i="1"/>
  <c r="H10" i="1"/>
  <c r="B11" i="1"/>
  <c r="E11" i="1"/>
  <c r="G11" i="1"/>
  <c r="H11" i="1"/>
  <c r="B12" i="1"/>
  <c r="E12" i="1"/>
  <c r="G12" i="1"/>
  <c r="H12" i="1"/>
  <c r="B13" i="1"/>
  <c r="E13" i="1"/>
  <c r="G13" i="1"/>
  <c r="H13" i="1"/>
  <c r="B14" i="1"/>
  <c r="E14" i="1"/>
  <c r="G14" i="1"/>
  <c r="H14" i="1"/>
  <c r="B15" i="1"/>
  <c r="E15" i="1"/>
  <c r="G15" i="1"/>
  <c r="H15" i="1"/>
  <c r="B16" i="1"/>
  <c r="E16" i="1"/>
  <c r="G16" i="1"/>
  <c r="H16" i="1"/>
  <c r="B17" i="1"/>
  <c r="E17" i="1"/>
  <c r="G17" i="1"/>
  <c r="H17" i="1"/>
  <c r="B18" i="1"/>
  <c r="E18" i="1"/>
  <c r="G18" i="1"/>
  <c r="H18" i="1"/>
  <c r="B19" i="1"/>
  <c r="E19" i="1"/>
  <c r="G19" i="1"/>
  <c r="H19" i="1"/>
  <c r="B20" i="1"/>
  <c r="E20" i="1"/>
  <c r="G20" i="1"/>
  <c r="H20" i="1"/>
  <c r="B21" i="1"/>
  <c r="E21" i="1"/>
  <c r="G21" i="1"/>
  <c r="H21" i="1"/>
  <c r="B22" i="1"/>
  <c r="E22" i="1"/>
  <c r="G22" i="1"/>
  <c r="H22" i="1"/>
  <c r="B23" i="1"/>
  <c r="E23" i="1"/>
  <c r="G23" i="1"/>
  <c r="H23" i="1"/>
  <c r="B24" i="1"/>
  <c r="E24" i="1"/>
  <c r="G24" i="1"/>
  <c r="H24" i="1"/>
  <c r="B25" i="1"/>
  <c r="E25" i="1"/>
  <c r="G25" i="1"/>
  <c r="H25" i="1"/>
  <c r="B26" i="1"/>
  <c r="E26" i="1"/>
  <c r="G26" i="1"/>
  <c r="H26" i="1"/>
  <c r="B27" i="1"/>
  <c r="E27" i="1"/>
  <c r="G27" i="1"/>
  <c r="H27" i="1"/>
  <c r="B28" i="1"/>
  <c r="E28" i="1"/>
  <c r="G28" i="1"/>
  <c r="H28" i="1"/>
  <c r="B29" i="1"/>
  <c r="E29" i="1"/>
  <c r="G29" i="1"/>
  <c r="H29" i="1"/>
  <c r="B30" i="1"/>
  <c r="E30" i="1"/>
  <c r="G30" i="1"/>
  <c r="H30" i="1"/>
  <c r="B31" i="1"/>
  <c r="E31" i="1"/>
  <c r="G31" i="1"/>
  <c r="H31" i="1"/>
  <c r="B32" i="1"/>
  <c r="E32" i="1"/>
  <c r="G32" i="1"/>
  <c r="H32" i="1"/>
  <c r="B33" i="1"/>
  <c r="E33" i="1"/>
  <c r="G33" i="1"/>
  <c r="H33" i="1"/>
  <c r="B34" i="1"/>
  <c r="E34" i="1"/>
  <c r="G34" i="1"/>
  <c r="H34" i="1"/>
  <c r="B35" i="1"/>
  <c r="E35" i="1"/>
  <c r="G35" i="1"/>
  <c r="H35" i="1"/>
  <c r="B36" i="1"/>
  <c r="E36" i="1"/>
  <c r="G36" i="1"/>
  <c r="H36" i="1"/>
  <c r="B37" i="1"/>
  <c r="E37" i="1"/>
  <c r="G37" i="1"/>
  <c r="H37" i="1"/>
  <c r="B38" i="1"/>
  <c r="E38" i="1"/>
  <c r="G38" i="1"/>
  <c r="H38" i="1"/>
  <c r="B39" i="1"/>
  <c r="E39" i="1"/>
  <c r="G39" i="1"/>
  <c r="H39" i="1"/>
  <c r="B40" i="1"/>
  <c r="E40" i="1"/>
  <c r="G40" i="1"/>
  <c r="H40" i="1"/>
  <c r="B41" i="1"/>
  <c r="E41" i="1"/>
  <c r="G41" i="1"/>
  <c r="H41" i="1"/>
  <c r="B42" i="1"/>
  <c r="E42" i="1"/>
  <c r="G42" i="1"/>
  <c r="H42" i="1"/>
  <c r="B43" i="1"/>
  <c r="E43" i="1"/>
  <c r="G43" i="1"/>
  <c r="H43" i="1"/>
  <c r="B44" i="1"/>
  <c r="E44" i="1"/>
  <c r="G44" i="1"/>
  <c r="H44" i="1"/>
  <c r="B45" i="1"/>
  <c r="E45" i="1"/>
  <c r="G45" i="1"/>
  <c r="H45" i="1"/>
  <c r="B46" i="1"/>
  <c r="E46" i="1"/>
  <c r="G46" i="1"/>
  <c r="H46" i="1"/>
  <c r="B47" i="1"/>
  <c r="E47" i="1"/>
  <c r="G47" i="1"/>
  <c r="H47" i="1"/>
  <c r="B48" i="1"/>
  <c r="E48" i="1"/>
  <c r="G48" i="1"/>
  <c r="H48" i="1"/>
  <c r="B49" i="1"/>
  <c r="E49" i="1"/>
  <c r="G49" i="1"/>
  <c r="H49" i="1"/>
  <c r="B50" i="1"/>
  <c r="E50" i="1"/>
  <c r="G50" i="1"/>
  <c r="H50" i="1"/>
  <c r="B51" i="1"/>
  <c r="E51" i="1"/>
  <c r="G51" i="1"/>
  <c r="H51" i="1"/>
  <c r="B52" i="1"/>
  <c r="E52" i="1"/>
  <c r="G52" i="1"/>
  <c r="H52" i="1"/>
  <c r="B53" i="1"/>
  <c r="E53" i="1"/>
  <c r="G53" i="1"/>
  <c r="H53" i="1"/>
  <c r="B54" i="1"/>
  <c r="E54" i="1"/>
  <c r="G54" i="1"/>
  <c r="H54" i="1"/>
  <c r="B55" i="1"/>
  <c r="E55" i="1"/>
  <c r="G55" i="1"/>
  <c r="H55" i="1"/>
  <c r="B56" i="1"/>
  <c r="E56" i="1"/>
  <c r="G56" i="1"/>
  <c r="H56" i="1"/>
  <c r="B57" i="1"/>
  <c r="E57" i="1"/>
  <c r="G57" i="1"/>
  <c r="H57" i="1"/>
  <c r="B58" i="1"/>
  <c r="E58" i="1"/>
  <c r="G58" i="1"/>
  <c r="H58" i="1"/>
  <c r="B59" i="1"/>
  <c r="E59" i="1"/>
  <c r="G59" i="1"/>
  <c r="H59" i="1"/>
  <c r="B60" i="1"/>
  <c r="E60" i="1"/>
  <c r="G60" i="1"/>
  <c r="H60" i="1"/>
  <c r="B61" i="1"/>
  <c r="E61" i="1"/>
  <c r="G61" i="1"/>
  <c r="H61" i="1"/>
  <c r="B62" i="1"/>
  <c r="E62" i="1"/>
  <c r="G62" i="1"/>
  <c r="H62" i="1"/>
  <c r="B63" i="1"/>
  <c r="E63" i="1"/>
  <c r="G63" i="1"/>
  <c r="H63" i="1"/>
  <c r="B64" i="1"/>
  <c r="E64" i="1"/>
  <c r="G64" i="1"/>
  <c r="H64" i="1"/>
  <c r="B65" i="1"/>
  <c r="E65" i="1"/>
  <c r="G65" i="1"/>
  <c r="H65" i="1"/>
  <c r="B66" i="1"/>
  <c r="E66" i="1"/>
  <c r="G66" i="1"/>
  <c r="H66" i="1"/>
  <c r="B67" i="1"/>
  <c r="E67" i="1"/>
  <c r="G67" i="1"/>
  <c r="H67" i="1"/>
  <c r="B68" i="1"/>
  <c r="E68" i="1"/>
  <c r="G68" i="1"/>
  <c r="H68" i="1"/>
  <c r="B69" i="1"/>
  <c r="E69" i="1"/>
  <c r="G69" i="1"/>
  <c r="H69" i="1"/>
  <c r="B70" i="1"/>
  <c r="E70" i="1"/>
  <c r="G70" i="1"/>
  <c r="H70" i="1"/>
  <c r="B71" i="1"/>
  <c r="E71" i="1"/>
  <c r="G71" i="1"/>
  <c r="H71" i="1"/>
  <c r="B72" i="1"/>
  <c r="E72" i="1"/>
  <c r="G72" i="1"/>
  <c r="H72" i="1"/>
  <c r="B73" i="1"/>
  <c r="E73" i="1"/>
  <c r="G73" i="1"/>
  <c r="H73" i="1"/>
  <c r="B74" i="1"/>
  <c r="E74" i="1"/>
  <c r="G74" i="1"/>
  <c r="H74" i="1"/>
  <c r="B75" i="1"/>
  <c r="E75" i="1"/>
  <c r="G75" i="1"/>
  <c r="H75" i="1"/>
  <c r="B76" i="1"/>
  <c r="E76" i="1"/>
  <c r="G76" i="1"/>
  <c r="H76" i="1"/>
  <c r="B77" i="1"/>
  <c r="E77" i="1"/>
  <c r="G77" i="1"/>
  <c r="H77" i="1"/>
  <c r="B78" i="1"/>
  <c r="E78" i="1"/>
  <c r="G78" i="1"/>
  <c r="H78" i="1"/>
  <c r="B79" i="1"/>
  <c r="E79" i="1"/>
  <c r="G79" i="1"/>
  <c r="H79" i="1"/>
  <c r="B80" i="1"/>
  <c r="E80" i="1"/>
  <c r="G80" i="1"/>
  <c r="H80" i="1"/>
  <c r="B81" i="1"/>
  <c r="E81" i="1"/>
  <c r="G81" i="1"/>
  <c r="H81" i="1"/>
  <c r="B82" i="1"/>
  <c r="E82" i="1"/>
  <c r="G82" i="1"/>
  <c r="H82" i="1"/>
  <c r="B83" i="1"/>
  <c r="E83" i="1"/>
  <c r="G83" i="1"/>
  <c r="H83" i="1"/>
  <c r="B84" i="1"/>
  <c r="E84" i="1"/>
  <c r="G84" i="1"/>
  <c r="H84" i="1"/>
  <c r="B85" i="1"/>
  <c r="E85" i="1"/>
  <c r="G85" i="1"/>
  <c r="H85" i="1"/>
  <c r="B86" i="1"/>
  <c r="E86" i="1"/>
  <c r="G86" i="1"/>
  <c r="H86" i="1"/>
  <c r="B87" i="1"/>
  <c r="E87" i="1"/>
  <c r="G87" i="1"/>
  <c r="H87" i="1"/>
  <c r="B88" i="1"/>
  <c r="E88" i="1"/>
  <c r="G88" i="1"/>
  <c r="H88" i="1"/>
  <c r="B89" i="1"/>
  <c r="E89" i="1"/>
  <c r="G89" i="1"/>
  <c r="H89" i="1"/>
  <c r="B90" i="1"/>
  <c r="E90" i="1"/>
  <c r="G90" i="1"/>
  <c r="H90" i="1"/>
  <c r="B91" i="1"/>
  <c r="E91" i="1"/>
  <c r="G91" i="1"/>
  <c r="H91" i="1"/>
  <c r="B92" i="1"/>
  <c r="E92" i="1"/>
  <c r="G92" i="1"/>
  <c r="H92" i="1"/>
  <c r="B93" i="1"/>
  <c r="E93" i="1"/>
  <c r="G93" i="1"/>
  <c r="H93" i="1"/>
  <c r="B94" i="1"/>
  <c r="E94" i="1"/>
  <c r="G94" i="1"/>
  <c r="H94" i="1"/>
  <c r="B95" i="1"/>
  <c r="E95" i="1"/>
  <c r="G95" i="1"/>
  <c r="H95" i="1"/>
  <c r="B96" i="1"/>
  <c r="E96" i="1"/>
  <c r="G96" i="1"/>
  <c r="H96" i="1"/>
  <c r="B97" i="1"/>
  <c r="E97" i="1"/>
  <c r="G97" i="1"/>
  <c r="H97" i="1"/>
  <c r="B98" i="1"/>
  <c r="E98" i="1"/>
  <c r="G98" i="1"/>
  <c r="H98" i="1"/>
  <c r="B99" i="1"/>
  <c r="E99" i="1"/>
  <c r="G99" i="1"/>
  <c r="H99" i="1"/>
  <c r="B100" i="1"/>
  <c r="E100" i="1"/>
  <c r="G100" i="1"/>
  <c r="H100" i="1"/>
  <c r="B101" i="1"/>
  <c r="E101" i="1"/>
  <c r="G101" i="1"/>
  <c r="H101" i="1"/>
  <c r="B102" i="1"/>
  <c r="E102" i="1"/>
  <c r="G102" i="1"/>
  <c r="H102" i="1"/>
  <c r="B103" i="1"/>
  <c r="E103" i="1"/>
  <c r="G103" i="1"/>
  <c r="H103" i="1"/>
  <c r="B104" i="1"/>
  <c r="E104" i="1"/>
  <c r="G104" i="1"/>
  <c r="H104" i="1"/>
  <c r="B105" i="1"/>
  <c r="E105" i="1"/>
  <c r="G105" i="1"/>
  <c r="H105" i="1"/>
  <c r="B106" i="1"/>
  <c r="E106" i="1"/>
  <c r="G106" i="1"/>
  <c r="H106" i="1"/>
  <c r="B107" i="1"/>
  <c r="E107" i="1"/>
  <c r="G107" i="1"/>
  <c r="H107" i="1"/>
  <c r="B108" i="1"/>
  <c r="E108" i="1"/>
  <c r="G108" i="1"/>
  <c r="H108" i="1"/>
  <c r="B109" i="1"/>
  <c r="E109" i="1"/>
  <c r="G109" i="1"/>
  <c r="H109" i="1"/>
  <c r="B110" i="1"/>
  <c r="E110" i="1"/>
  <c r="G110" i="1"/>
  <c r="H110" i="1"/>
  <c r="B111" i="1"/>
  <c r="E111" i="1"/>
  <c r="G111" i="1"/>
  <c r="H111" i="1"/>
  <c r="B112" i="1"/>
  <c r="E112" i="1"/>
  <c r="G112" i="1"/>
  <c r="H112" i="1"/>
  <c r="B113" i="1"/>
  <c r="E113" i="1"/>
  <c r="G113" i="1"/>
  <c r="H113" i="1"/>
  <c r="B114" i="1"/>
  <c r="E114" i="1"/>
  <c r="G114" i="1"/>
  <c r="H114" i="1"/>
  <c r="B115" i="1"/>
  <c r="E115" i="1"/>
  <c r="G115" i="1"/>
  <c r="H115" i="1"/>
  <c r="B116" i="1"/>
  <c r="E116" i="1"/>
  <c r="G116" i="1"/>
  <c r="H116" i="1"/>
  <c r="B117" i="1"/>
  <c r="E117" i="1"/>
  <c r="G117" i="1"/>
  <c r="H117" i="1"/>
  <c r="B118" i="1"/>
  <c r="E118" i="1"/>
  <c r="G118" i="1"/>
  <c r="H118" i="1"/>
  <c r="B119" i="1"/>
  <c r="E119" i="1"/>
  <c r="G119" i="1"/>
  <c r="H119" i="1"/>
  <c r="B120" i="1"/>
  <c r="E120" i="1"/>
  <c r="G120" i="1"/>
  <c r="H120" i="1"/>
  <c r="B121" i="1"/>
  <c r="E121" i="1"/>
  <c r="G121" i="1"/>
  <c r="H121" i="1"/>
  <c r="B122" i="1"/>
  <c r="E122" i="1"/>
  <c r="G122" i="1"/>
  <c r="H122" i="1"/>
  <c r="B123" i="1"/>
  <c r="E123" i="1"/>
  <c r="G123" i="1"/>
  <c r="H123" i="1"/>
  <c r="B124" i="1"/>
  <c r="E124" i="1"/>
  <c r="G124" i="1"/>
  <c r="H124" i="1"/>
  <c r="B125" i="1"/>
  <c r="E125" i="1"/>
  <c r="G125" i="1"/>
  <c r="H125" i="1"/>
  <c r="B126" i="1"/>
  <c r="E126" i="1"/>
  <c r="G126" i="1"/>
  <c r="H126" i="1"/>
  <c r="B127" i="1"/>
  <c r="E127" i="1"/>
  <c r="G127" i="1"/>
  <c r="H127" i="1"/>
  <c r="B128" i="1"/>
  <c r="E128" i="1"/>
  <c r="G128" i="1"/>
  <c r="H128" i="1"/>
  <c r="B129" i="1"/>
  <c r="E129" i="1"/>
  <c r="G129" i="1"/>
  <c r="H129" i="1"/>
  <c r="B130" i="1"/>
  <c r="E130" i="1"/>
  <c r="G130" i="1"/>
  <c r="H130" i="1"/>
  <c r="B131" i="1"/>
  <c r="E131" i="1"/>
  <c r="G131" i="1"/>
  <c r="H131" i="1"/>
  <c r="B132" i="1"/>
  <c r="E132" i="1"/>
  <c r="G132" i="1"/>
  <c r="H132" i="1"/>
  <c r="B133" i="1"/>
  <c r="E133" i="1"/>
  <c r="G133" i="1"/>
  <c r="H133" i="1"/>
  <c r="B134" i="1"/>
  <c r="E134" i="1"/>
  <c r="G134" i="1"/>
  <c r="H134" i="1"/>
  <c r="B135" i="1"/>
  <c r="E135" i="1"/>
  <c r="G135" i="1"/>
  <c r="H135" i="1"/>
  <c r="B136" i="1"/>
  <c r="E136" i="1"/>
  <c r="G136" i="1"/>
  <c r="H136" i="1"/>
  <c r="B137" i="1"/>
  <c r="E137" i="1"/>
  <c r="G137" i="1"/>
  <c r="H137" i="1"/>
  <c r="B138" i="1"/>
  <c r="E138" i="1"/>
  <c r="G138" i="1"/>
  <c r="H138" i="1"/>
  <c r="B139" i="1"/>
  <c r="E139" i="1"/>
  <c r="G139" i="1"/>
  <c r="H139" i="1"/>
  <c r="B140" i="1"/>
  <c r="E140" i="1"/>
  <c r="G140" i="1"/>
  <c r="H140" i="1"/>
  <c r="B141" i="1"/>
  <c r="E141" i="1"/>
  <c r="G141" i="1"/>
  <c r="H141" i="1"/>
  <c r="B142" i="1"/>
  <c r="E142" i="1"/>
  <c r="G142" i="1"/>
  <c r="H142" i="1"/>
  <c r="B143" i="1"/>
  <c r="E143" i="1"/>
  <c r="G143" i="1"/>
  <c r="H143" i="1"/>
  <c r="B144" i="1"/>
  <c r="E144" i="1"/>
  <c r="G144" i="1"/>
  <c r="H144" i="1"/>
  <c r="B145" i="1"/>
  <c r="E145" i="1"/>
  <c r="G145" i="1"/>
  <c r="H145" i="1"/>
  <c r="B146" i="1"/>
  <c r="E146" i="1"/>
  <c r="G146" i="1"/>
  <c r="H146" i="1"/>
  <c r="B147" i="1"/>
  <c r="E147" i="1"/>
  <c r="G147" i="1"/>
  <c r="H147" i="1"/>
  <c r="B148" i="1"/>
  <c r="E148" i="1"/>
  <c r="G148" i="1"/>
  <c r="H148" i="1"/>
  <c r="B149" i="1"/>
  <c r="E149" i="1"/>
  <c r="G149" i="1"/>
  <c r="H149" i="1"/>
  <c r="B150" i="1"/>
  <c r="E150" i="1"/>
  <c r="G150" i="1"/>
  <c r="H150" i="1"/>
  <c r="B151" i="1"/>
  <c r="E151" i="1"/>
  <c r="G151" i="1"/>
  <c r="H151" i="1"/>
  <c r="B152" i="1"/>
  <c r="E152" i="1"/>
  <c r="G152" i="1"/>
  <c r="H152" i="1"/>
  <c r="B153" i="1"/>
  <c r="E153" i="1"/>
  <c r="G153" i="1"/>
  <c r="H153" i="1"/>
  <c r="B154" i="1"/>
  <c r="E154" i="1"/>
  <c r="G154" i="1"/>
  <c r="H154" i="1"/>
  <c r="B155" i="1"/>
  <c r="E155" i="1"/>
  <c r="G155" i="1"/>
  <c r="H155" i="1"/>
  <c r="B156" i="1"/>
  <c r="E156" i="1"/>
  <c r="G156" i="1"/>
  <c r="H156" i="1"/>
  <c r="B157" i="1"/>
  <c r="E157" i="1"/>
  <c r="G157" i="1"/>
  <c r="H157" i="1"/>
  <c r="B158" i="1"/>
  <c r="E158" i="1"/>
  <c r="G158" i="1"/>
  <c r="H158" i="1"/>
  <c r="B159" i="1"/>
  <c r="E159" i="1"/>
  <c r="G159" i="1"/>
  <c r="H159" i="1"/>
  <c r="B160" i="1"/>
  <c r="E160" i="1"/>
  <c r="G160" i="1"/>
  <c r="H160" i="1"/>
  <c r="B161" i="1"/>
  <c r="E161" i="1"/>
  <c r="G161" i="1"/>
  <c r="H161" i="1"/>
  <c r="B162" i="1"/>
  <c r="E162" i="1"/>
  <c r="G162" i="1"/>
  <c r="H162" i="1"/>
  <c r="B163" i="1"/>
  <c r="E163" i="1"/>
  <c r="G163" i="1"/>
  <c r="H163" i="1"/>
  <c r="B164" i="1"/>
  <c r="E164" i="1"/>
  <c r="G164" i="1"/>
  <c r="H164" i="1"/>
  <c r="B165" i="1"/>
  <c r="E165" i="1"/>
  <c r="G165" i="1"/>
  <c r="H165" i="1"/>
  <c r="B166" i="1"/>
  <c r="E166" i="1"/>
  <c r="G166" i="1"/>
  <c r="H166" i="1"/>
  <c r="B167" i="1"/>
  <c r="E167" i="1"/>
  <c r="G167" i="1"/>
  <c r="H167" i="1"/>
  <c r="B168" i="1"/>
  <c r="E168" i="1"/>
  <c r="G168" i="1"/>
  <c r="H168" i="1"/>
  <c r="B169" i="1"/>
  <c r="E169" i="1"/>
  <c r="G169" i="1"/>
  <c r="H169" i="1"/>
  <c r="B170" i="1"/>
  <c r="E170" i="1"/>
  <c r="G170" i="1"/>
  <c r="H170" i="1"/>
  <c r="B171" i="1"/>
  <c r="E171" i="1"/>
  <c r="G171" i="1"/>
  <c r="H171" i="1"/>
  <c r="B172" i="1"/>
  <c r="E172" i="1"/>
  <c r="G172" i="1"/>
  <c r="H172" i="1"/>
  <c r="B173" i="1"/>
  <c r="E173" i="1"/>
  <c r="G173" i="1"/>
  <c r="H173" i="1"/>
  <c r="B174" i="1"/>
  <c r="E174" i="1"/>
  <c r="G174" i="1"/>
  <c r="H174" i="1"/>
  <c r="B175" i="1"/>
  <c r="E175" i="1"/>
  <c r="G175" i="1"/>
  <c r="H175" i="1"/>
  <c r="B176" i="1"/>
  <c r="E176" i="1"/>
  <c r="G176" i="1"/>
  <c r="H176" i="1"/>
  <c r="B177" i="1"/>
  <c r="E177" i="1"/>
  <c r="G177" i="1"/>
  <c r="H177" i="1"/>
  <c r="B178" i="1"/>
  <c r="E178" i="1"/>
  <c r="G178" i="1"/>
  <c r="H178" i="1"/>
  <c r="B179" i="1"/>
  <c r="E179" i="1"/>
  <c r="G179" i="1"/>
  <c r="H179" i="1"/>
  <c r="B180" i="1"/>
  <c r="E180" i="1"/>
  <c r="G180" i="1"/>
  <c r="H180" i="1"/>
  <c r="B181" i="1"/>
  <c r="E181" i="1"/>
  <c r="G181" i="1"/>
  <c r="H181" i="1"/>
  <c r="B182" i="1"/>
  <c r="E182" i="1"/>
  <c r="G182" i="1"/>
  <c r="H182" i="1"/>
  <c r="B183" i="1"/>
  <c r="E183" i="1"/>
  <c r="G183" i="1"/>
  <c r="H183" i="1"/>
  <c r="B184" i="1"/>
  <c r="E184" i="1"/>
  <c r="G184" i="1"/>
  <c r="H184" i="1"/>
  <c r="B185" i="1"/>
  <c r="E185" i="1"/>
  <c r="G185" i="1"/>
  <c r="H185" i="1"/>
  <c r="B186" i="1"/>
  <c r="E186" i="1"/>
  <c r="G186" i="1"/>
  <c r="H186" i="1"/>
  <c r="B187" i="1"/>
  <c r="E187" i="1"/>
  <c r="G187" i="1"/>
  <c r="H187" i="1"/>
  <c r="B188" i="1"/>
  <c r="E188" i="1"/>
  <c r="G188" i="1"/>
  <c r="H188" i="1"/>
  <c r="B189" i="1"/>
  <c r="E189" i="1"/>
  <c r="G189" i="1"/>
  <c r="H189" i="1"/>
  <c r="B190" i="1"/>
  <c r="E190" i="1"/>
  <c r="G190" i="1"/>
  <c r="H190" i="1"/>
  <c r="B191" i="1"/>
  <c r="E191" i="1"/>
  <c r="G191" i="1"/>
  <c r="H191" i="1"/>
  <c r="B192" i="1"/>
  <c r="E192" i="1"/>
  <c r="G192" i="1"/>
  <c r="H192" i="1"/>
  <c r="B193" i="1"/>
  <c r="E193" i="1"/>
  <c r="G193" i="1"/>
  <c r="H193" i="1"/>
  <c r="B194" i="1"/>
  <c r="E194" i="1"/>
  <c r="G194" i="1"/>
  <c r="H194" i="1"/>
  <c r="B195" i="1"/>
  <c r="E195" i="1"/>
  <c r="G195" i="1"/>
  <c r="H195" i="1"/>
  <c r="B196" i="1"/>
  <c r="E196" i="1"/>
  <c r="G196" i="1"/>
  <c r="H196" i="1"/>
  <c r="B197" i="1"/>
  <c r="E197" i="1"/>
  <c r="G197" i="1"/>
  <c r="H197" i="1"/>
  <c r="B198" i="1"/>
  <c r="E198" i="1"/>
  <c r="G198" i="1"/>
  <c r="H198" i="1"/>
  <c r="B199" i="1"/>
  <c r="E199" i="1"/>
  <c r="G199" i="1"/>
  <c r="H199" i="1"/>
  <c r="B200" i="1"/>
  <c r="E200" i="1"/>
  <c r="G200" i="1"/>
  <c r="H200" i="1"/>
  <c r="B201" i="1"/>
  <c r="E201" i="1"/>
  <c r="G201" i="1"/>
  <c r="H201" i="1"/>
  <c r="B202" i="1"/>
  <c r="E202" i="1"/>
  <c r="G202" i="1"/>
  <c r="H202" i="1"/>
  <c r="B203" i="1"/>
  <c r="E203" i="1"/>
  <c r="G203" i="1"/>
  <c r="H203" i="1"/>
  <c r="B204" i="1"/>
  <c r="E204" i="1"/>
  <c r="G204" i="1"/>
  <c r="H204" i="1"/>
  <c r="B205" i="1"/>
  <c r="E205" i="1"/>
  <c r="G205" i="1"/>
  <c r="H205" i="1"/>
  <c r="B206" i="1"/>
  <c r="E206" i="1"/>
  <c r="G206" i="1"/>
  <c r="H206" i="1"/>
  <c r="B207" i="1"/>
  <c r="E207" i="1"/>
  <c r="G207" i="1"/>
  <c r="H207" i="1"/>
  <c r="B208" i="1"/>
  <c r="E208" i="1"/>
  <c r="G208" i="1"/>
  <c r="H208" i="1"/>
  <c r="B209" i="1"/>
  <c r="E209" i="1"/>
  <c r="G209" i="1"/>
  <c r="H209" i="1"/>
  <c r="B210" i="1"/>
  <c r="E210" i="1"/>
  <c r="G210" i="1"/>
  <c r="H210" i="1"/>
  <c r="B211" i="1"/>
  <c r="E211" i="1"/>
  <c r="G211" i="1"/>
  <c r="H211" i="1"/>
  <c r="B212" i="1"/>
  <c r="E212" i="1"/>
  <c r="G212" i="1"/>
  <c r="H212" i="1"/>
  <c r="B213" i="1"/>
  <c r="E213" i="1"/>
  <c r="G213" i="1"/>
  <c r="H213" i="1"/>
  <c r="B214" i="1"/>
  <c r="E214" i="1"/>
  <c r="G214" i="1"/>
  <c r="H214" i="1"/>
  <c r="B215" i="1"/>
  <c r="E215" i="1"/>
  <c r="G215" i="1"/>
  <c r="H215" i="1"/>
  <c r="B216" i="1"/>
  <c r="E216" i="1"/>
  <c r="G216" i="1"/>
  <c r="H216" i="1"/>
  <c r="B217" i="1"/>
  <c r="E217" i="1"/>
  <c r="G217" i="1"/>
  <c r="H217" i="1"/>
  <c r="B218" i="1"/>
  <c r="E218" i="1"/>
  <c r="G218" i="1"/>
  <c r="H218" i="1"/>
  <c r="B219" i="1"/>
  <c r="E219" i="1"/>
  <c r="G219" i="1"/>
  <c r="H219" i="1"/>
  <c r="B220" i="1"/>
  <c r="E220" i="1"/>
  <c r="G220" i="1"/>
  <c r="H220" i="1"/>
  <c r="B221" i="1"/>
  <c r="E221" i="1"/>
  <c r="G221" i="1"/>
  <c r="H221" i="1"/>
  <c r="B222" i="1"/>
  <c r="E222" i="1"/>
  <c r="G222" i="1"/>
  <c r="H222" i="1"/>
  <c r="B223" i="1"/>
  <c r="E223" i="1"/>
  <c r="G223" i="1"/>
  <c r="H223" i="1"/>
  <c r="B224" i="1"/>
  <c r="E224" i="1"/>
  <c r="G224" i="1"/>
  <c r="H224" i="1"/>
  <c r="B225" i="1"/>
  <c r="E225" i="1"/>
  <c r="G225" i="1"/>
  <c r="H225" i="1"/>
  <c r="B226" i="1"/>
  <c r="E226" i="1"/>
  <c r="G226" i="1"/>
  <c r="H226" i="1"/>
  <c r="B227" i="1"/>
  <c r="E227" i="1"/>
  <c r="G227" i="1"/>
  <c r="H227" i="1"/>
  <c r="B228" i="1"/>
  <c r="E228" i="1"/>
  <c r="G228" i="1"/>
  <c r="H228" i="1"/>
  <c r="B229" i="1"/>
  <c r="E229" i="1"/>
  <c r="G229" i="1"/>
  <c r="H229" i="1"/>
  <c r="B230" i="1"/>
  <c r="E230" i="1"/>
  <c r="G230" i="1"/>
  <c r="H230" i="1"/>
  <c r="B231" i="1"/>
  <c r="E231" i="1"/>
  <c r="G231" i="1"/>
  <c r="H231" i="1"/>
  <c r="B232" i="1"/>
  <c r="E232" i="1"/>
  <c r="G232" i="1"/>
  <c r="H232" i="1"/>
  <c r="B233" i="1"/>
  <c r="E233" i="1"/>
  <c r="G233" i="1"/>
  <c r="H233" i="1"/>
  <c r="B234" i="1"/>
  <c r="E234" i="1"/>
  <c r="G234" i="1"/>
  <c r="H234" i="1"/>
  <c r="B235" i="1"/>
  <c r="E235" i="1"/>
  <c r="G235" i="1"/>
  <c r="H235" i="1"/>
  <c r="B236" i="1"/>
  <c r="E236" i="1"/>
  <c r="G236" i="1"/>
  <c r="H236" i="1"/>
  <c r="B237" i="1"/>
  <c r="E237" i="1"/>
  <c r="G237" i="1"/>
  <c r="H237" i="1"/>
  <c r="B238" i="1"/>
  <c r="E238" i="1"/>
  <c r="G238" i="1"/>
  <c r="H238" i="1"/>
  <c r="B239" i="1"/>
  <c r="E239" i="1"/>
  <c r="G239" i="1"/>
  <c r="H239" i="1"/>
  <c r="B240" i="1"/>
  <c r="E240" i="1"/>
  <c r="G240" i="1"/>
  <c r="H240" i="1"/>
  <c r="B241" i="1"/>
  <c r="E241" i="1"/>
  <c r="G241" i="1"/>
  <c r="H241" i="1"/>
  <c r="B242" i="1"/>
  <c r="E242" i="1"/>
  <c r="G242" i="1"/>
  <c r="H242" i="1"/>
  <c r="B243" i="1"/>
  <c r="E243" i="1"/>
  <c r="G243" i="1"/>
  <c r="H243" i="1"/>
  <c r="B244" i="1"/>
  <c r="E244" i="1"/>
  <c r="G244" i="1"/>
  <c r="H244" i="1"/>
  <c r="B245" i="1"/>
  <c r="E245" i="1"/>
  <c r="G245" i="1"/>
  <c r="H245" i="1"/>
  <c r="B246" i="1"/>
  <c r="E246" i="1"/>
  <c r="G246" i="1"/>
  <c r="H246" i="1"/>
  <c r="B247" i="1"/>
  <c r="E247" i="1"/>
  <c r="G247" i="1"/>
  <c r="H247" i="1"/>
  <c r="B248" i="1"/>
  <c r="E248" i="1"/>
  <c r="G248" i="1"/>
  <c r="H248" i="1"/>
  <c r="B249" i="1"/>
  <c r="E249" i="1"/>
  <c r="G249" i="1"/>
  <c r="H249" i="1"/>
  <c r="B250" i="1"/>
  <c r="E250" i="1"/>
  <c r="G250" i="1"/>
  <c r="H250" i="1"/>
  <c r="B251" i="1"/>
  <c r="E251" i="1"/>
  <c r="G251" i="1"/>
  <c r="H251" i="1"/>
  <c r="B252" i="1"/>
  <c r="E252" i="1"/>
  <c r="G252" i="1"/>
  <c r="H252" i="1"/>
  <c r="B253" i="1"/>
  <c r="E253" i="1"/>
  <c r="G253" i="1"/>
  <c r="H253" i="1"/>
  <c r="B254" i="1"/>
  <c r="E254" i="1"/>
  <c r="G254" i="1"/>
  <c r="H254" i="1"/>
  <c r="B255" i="1"/>
  <c r="E255" i="1"/>
  <c r="G255" i="1"/>
  <c r="H255" i="1"/>
  <c r="B256" i="1"/>
  <c r="E256" i="1"/>
  <c r="G256" i="1"/>
  <c r="H256" i="1"/>
  <c r="B257" i="1"/>
  <c r="E257" i="1"/>
  <c r="G257" i="1"/>
  <c r="H257" i="1"/>
  <c r="B258" i="1"/>
  <c r="E258" i="1"/>
  <c r="G258" i="1"/>
  <c r="H258" i="1"/>
  <c r="B259" i="1"/>
  <c r="E259" i="1"/>
  <c r="G259" i="1"/>
  <c r="H259" i="1"/>
  <c r="B260" i="1"/>
  <c r="E260" i="1"/>
  <c r="G260" i="1"/>
  <c r="H260" i="1"/>
  <c r="B261" i="1"/>
  <c r="E261" i="1"/>
  <c r="G261" i="1"/>
  <c r="H261" i="1"/>
  <c r="B262" i="1"/>
  <c r="E262" i="1"/>
  <c r="G262" i="1"/>
  <c r="H262" i="1"/>
  <c r="B263" i="1"/>
  <c r="E263" i="1"/>
  <c r="G263" i="1"/>
  <c r="H263" i="1"/>
  <c r="B264" i="1"/>
  <c r="E264" i="1"/>
  <c r="G264" i="1"/>
  <c r="H264" i="1"/>
  <c r="B265" i="1"/>
  <c r="E265" i="1"/>
  <c r="G265" i="1"/>
  <c r="H265" i="1"/>
  <c r="B266" i="1"/>
  <c r="E266" i="1"/>
  <c r="G266" i="1"/>
  <c r="H266" i="1"/>
  <c r="B267" i="1"/>
  <c r="E267" i="1"/>
  <c r="G267" i="1"/>
  <c r="H267" i="1"/>
  <c r="B268" i="1"/>
  <c r="E268" i="1"/>
  <c r="G268" i="1"/>
  <c r="H268" i="1"/>
  <c r="B269" i="1"/>
  <c r="E269" i="1"/>
  <c r="G269" i="1"/>
  <c r="H269" i="1"/>
  <c r="B270" i="1"/>
  <c r="E270" i="1"/>
  <c r="G270" i="1"/>
  <c r="H270" i="1"/>
  <c r="B271" i="1"/>
  <c r="E271" i="1"/>
  <c r="G271" i="1"/>
  <c r="H271" i="1"/>
  <c r="B272" i="1"/>
  <c r="E272" i="1"/>
  <c r="G272" i="1"/>
  <c r="H272" i="1"/>
  <c r="B273" i="1"/>
  <c r="E273" i="1"/>
  <c r="G273" i="1"/>
  <c r="H273" i="1"/>
  <c r="B274" i="1"/>
  <c r="E274" i="1"/>
  <c r="G274" i="1"/>
  <c r="H274" i="1"/>
  <c r="B275" i="1"/>
  <c r="E275" i="1"/>
  <c r="G275" i="1"/>
  <c r="H275" i="1"/>
  <c r="B276" i="1"/>
  <c r="E276" i="1"/>
  <c r="G276" i="1"/>
  <c r="H276" i="1"/>
  <c r="B277" i="1"/>
  <c r="E277" i="1"/>
  <c r="G277" i="1"/>
  <c r="H277" i="1"/>
  <c r="B278" i="1"/>
  <c r="E278" i="1"/>
  <c r="G278" i="1"/>
  <c r="H278" i="1"/>
  <c r="B279" i="1"/>
  <c r="E279" i="1"/>
  <c r="G279" i="1"/>
  <c r="H279" i="1"/>
  <c r="B280" i="1"/>
  <c r="E280" i="1"/>
  <c r="G280" i="1"/>
  <c r="H280" i="1"/>
  <c r="B281" i="1"/>
  <c r="E281" i="1"/>
  <c r="G281" i="1"/>
  <c r="H281" i="1"/>
  <c r="B282" i="1"/>
  <c r="E282" i="1"/>
  <c r="G282" i="1"/>
  <c r="H282" i="1"/>
  <c r="B283" i="1"/>
  <c r="E283" i="1"/>
  <c r="G283" i="1"/>
  <c r="H283" i="1"/>
  <c r="B284" i="1"/>
  <c r="E284" i="1"/>
  <c r="G284" i="1"/>
  <c r="H284" i="1"/>
  <c r="B285" i="1"/>
  <c r="E285" i="1"/>
  <c r="G285" i="1"/>
  <c r="H285" i="1"/>
  <c r="B286" i="1"/>
  <c r="E286" i="1"/>
  <c r="G286" i="1"/>
  <c r="H286" i="1"/>
  <c r="B287" i="1"/>
  <c r="E287" i="1"/>
  <c r="G287" i="1"/>
  <c r="H287" i="1"/>
  <c r="B288" i="1"/>
  <c r="E288" i="1"/>
  <c r="G288" i="1"/>
  <c r="H288" i="1"/>
  <c r="B289" i="1"/>
  <c r="E289" i="1"/>
  <c r="G289" i="1"/>
  <c r="H289" i="1"/>
  <c r="B290" i="1"/>
  <c r="E290" i="1"/>
  <c r="G290" i="1"/>
  <c r="H290" i="1"/>
  <c r="B291" i="1"/>
  <c r="E291" i="1"/>
  <c r="G291" i="1"/>
  <c r="H291" i="1"/>
  <c r="B292" i="1"/>
  <c r="E292" i="1"/>
  <c r="G292" i="1"/>
  <c r="H292" i="1"/>
  <c r="B293" i="1"/>
  <c r="E293" i="1"/>
  <c r="G293" i="1"/>
  <c r="H293" i="1"/>
  <c r="B294" i="1"/>
  <c r="E294" i="1"/>
  <c r="G294" i="1"/>
  <c r="H294" i="1"/>
  <c r="B295" i="1"/>
  <c r="E295" i="1"/>
  <c r="G295" i="1"/>
  <c r="H295" i="1"/>
  <c r="B296" i="1"/>
  <c r="E296" i="1"/>
  <c r="G296" i="1"/>
  <c r="H296" i="1"/>
  <c r="B297" i="1"/>
  <c r="E297" i="1"/>
  <c r="G297" i="1"/>
  <c r="H297" i="1"/>
  <c r="B298" i="1"/>
  <c r="E298" i="1"/>
  <c r="G298" i="1"/>
  <c r="H298" i="1"/>
  <c r="B299" i="1"/>
  <c r="E299" i="1"/>
  <c r="G299" i="1"/>
  <c r="H299" i="1"/>
  <c r="B300" i="1"/>
  <c r="E300" i="1"/>
  <c r="G300" i="1"/>
  <c r="H300" i="1"/>
  <c r="B301" i="1"/>
  <c r="E301" i="1"/>
  <c r="G301" i="1"/>
  <c r="H301" i="1"/>
  <c r="B302" i="1"/>
  <c r="E302" i="1"/>
  <c r="G302" i="1"/>
  <c r="H302" i="1"/>
  <c r="B303" i="1"/>
  <c r="E303" i="1"/>
  <c r="G303" i="1"/>
  <c r="H303" i="1"/>
  <c r="B304" i="1"/>
  <c r="E304" i="1"/>
  <c r="G304" i="1"/>
  <c r="H304" i="1"/>
  <c r="B305" i="1"/>
  <c r="E305" i="1"/>
  <c r="G305" i="1"/>
  <c r="H305" i="1"/>
  <c r="B306" i="1"/>
  <c r="E306" i="1"/>
  <c r="G306" i="1"/>
  <c r="H306" i="1"/>
  <c r="B307" i="1"/>
  <c r="E307" i="1"/>
  <c r="G307" i="1"/>
  <c r="H307" i="1"/>
  <c r="B308" i="1"/>
  <c r="E308" i="1"/>
  <c r="G308" i="1"/>
  <c r="H308" i="1"/>
  <c r="B309" i="1"/>
  <c r="E309" i="1"/>
  <c r="G309" i="1"/>
  <c r="H309" i="1"/>
  <c r="B310" i="1"/>
  <c r="E310" i="1"/>
  <c r="G310" i="1"/>
  <c r="H310" i="1"/>
  <c r="B311" i="1"/>
  <c r="E311" i="1"/>
  <c r="G311" i="1"/>
  <c r="H311" i="1"/>
  <c r="B312" i="1"/>
  <c r="E312" i="1"/>
  <c r="G312" i="1"/>
  <c r="H312" i="1"/>
  <c r="B313" i="1"/>
  <c r="E313" i="1"/>
  <c r="G313" i="1"/>
  <c r="H313" i="1"/>
  <c r="B314" i="1"/>
  <c r="E314" i="1"/>
  <c r="G314" i="1"/>
  <c r="H314" i="1"/>
  <c r="B315" i="1"/>
  <c r="E315" i="1"/>
  <c r="G315" i="1"/>
  <c r="H315" i="1"/>
  <c r="B316" i="1"/>
  <c r="E316" i="1"/>
  <c r="G316" i="1"/>
  <c r="H316" i="1"/>
  <c r="B317" i="1"/>
  <c r="E317" i="1"/>
  <c r="G317" i="1"/>
  <c r="H317" i="1"/>
  <c r="B318" i="1"/>
  <c r="E318" i="1"/>
  <c r="G318" i="1"/>
  <c r="H318" i="1"/>
  <c r="B319" i="1"/>
  <c r="E319" i="1"/>
  <c r="G319" i="1"/>
  <c r="H319" i="1"/>
  <c r="B320" i="1"/>
  <c r="E320" i="1"/>
  <c r="G320" i="1"/>
  <c r="H320" i="1"/>
  <c r="B321" i="1"/>
  <c r="E321" i="1"/>
  <c r="G321" i="1"/>
  <c r="H321" i="1"/>
  <c r="B322" i="1"/>
  <c r="E322" i="1"/>
  <c r="G322" i="1"/>
  <c r="H322" i="1"/>
  <c r="B323" i="1"/>
  <c r="E323" i="1"/>
  <c r="G323" i="1"/>
  <c r="H323" i="1"/>
  <c r="B324" i="1"/>
  <c r="E324" i="1"/>
  <c r="G324" i="1"/>
  <c r="H324" i="1"/>
  <c r="B325" i="1"/>
  <c r="E325" i="1"/>
  <c r="G325" i="1"/>
  <c r="H325" i="1"/>
  <c r="B326" i="1"/>
  <c r="E326" i="1"/>
  <c r="G326" i="1"/>
  <c r="H326" i="1"/>
  <c r="B327" i="1"/>
  <c r="E327" i="1"/>
  <c r="G327" i="1"/>
  <c r="H327" i="1"/>
  <c r="B328" i="1"/>
  <c r="E328" i="1"/>
  <c r="G328" i="1"/>
  <c r="H328" i="1"/>
  <c r="B329" i="1"/>
  <c r="E329" i="1"/>
  <c r="G329" i="1"/>
  <c r="H329" i="1"/>
  <c r="B330" i="1"/>
  <c r="E330" i="1"/>
  <c r="G330" i="1"/>
  <c r="H330" i="1"/>
  <c r="B331" i="1"/>
  <c r="E331" i="1"/>
  <c r="G331" i="1"/>
  <c r="H331" i="1"/>
  <c r="B332" i="1"/>
  <c r="E332" i="1"/>
  <c r="G332" i="1"/>
  <c r="H332" i="1"/>
  <c r="B333" i="1"/>
  <c r="E333" i="1"/>
  <c r="G333" i="1"/>
  <c r="H333" i="1"/>
  <c r="B334" i="1"/>
  <c r="E334" i="1"/>
  <c r="G334" i="1"/>
  <c r="H334" i="1"/>
  <c r="B335" i="1"/>
  <c r="E335" i="1"/>
  <c r="G335" i="1"/>
  <c r="H335" i="1"/>
  <c r="B336" i="1"/>
  <c r="E336" i="1"/>
  <c r="G336" i="1"/>
  <c r="H336" i="1"/>
  <c r="B337" i="1"/>
  <c r="E337" i="1"/>
  <c r="G337" i="1"/>
  <c r="H337" i="1"/>
  <c r="B338" i="1"/>
  <c r="E338" i="1"/>
  <c r="G338" i="1"/>
  <c r="H338" i="1"/>
  <c r="B339" i="1"/>
  <c r="E339" i="1"/>
  <c r="G339" i="1"/>
  <c r="H339" i="1"/>
  <c r="B340" i="1"/>
  <c r="E340" i="1"/>
  <c r="G340" i="1"/>
  <c r="H340" i="1"/>
  <c r="B341" i="1"/>
  <c r="E341" i="1"/>
  <c r="G341" i="1"/>
  <c r="H341" i="1"/>
  <c r="B342" i="1"/>
  <c r="E342" i="1"/>
  <c r="G342" i="1"/>
  <c r="H342" i="1"/>
  <c r="B343" i="1"/>
  <c r="E343" i="1"/>
  <c r="G343" i="1"/>
  <c r="H343" i="1"/>
  <c r="B344" i="1"/>
  <c r="E344" i="1"/>
  <c r="G344" i="1"/>
  <c r="H344" i="1"/>
  <c r="B345" i="1"/>
  <c r="E345" i="1"/>
  <c r="G345" i="1"/>
  <c r="H345" i="1"/>
  <c r="B346" i="1"/>
  <c r="E346" i="1"/>
  <c r="G346" i="1"/>
  <c r="H346" i="1"/>
  <c r="B347" i="1"/>
  <c r="E347" i="1"/>
  <c r="G347" i="1"/>
  <c r="H347" i="1"/>
  <c r="B348" i="1"/>
  <c r="E348" i="1"/>
  <c r="G348" i="1"/>
  <c r="H348" i="1"/>
  <c r="B349" i="1"/>
  <c r="E349" i="1"/>
  <c r="G349" i="1"/>
  <c r="H349" i="1"/>
  <c r="B350" i="1"/>
  <c r="E350" i="1"/>
  <c r="G350" i="1"/>
  <c r="H350" i="1"/>
  <c r="B351" i="1"/>
  <c r="E351" i="1"/>
  <c r="G351" i="1"/>
  <c r="H351" i="1"/>
  <c r="B352" i="1"/>
  <c r="E352" i="1"/>
  <c r="G352" i="1"/>
  <c r="H352" i="1"/>
  <c r="B353" i="1"/>
  <c r="E353" i="1"/>
  <c r="G353" i="1"/>
  <c r="H353" i="1"/>
  <c r="B354" i="1"/>
  <c r="E354" i="1"/>
  <c r="G354" i="1"/>
  <c r="H354" i="1"/>
  <c r="B355" i="1"/>
  <c r="E355" i="1"/>
  <c r="G355" i="1"/>
  <c r="H355" i="1"/>
  <c r="B356" i="1"/>
  <c r="E356" i="1"/>
  <c r="G356" i="1"/>
  <c r="H356" i="1"/>
  <c r="B357" i="1"/>
  <c r="E357" i="1"/>
  <c r="G357" i="1"/>
  <c r="H357" i="1"/>
  <c r="B358" i="1"/>
  <c r="E358" i="1"/>
  <c r="G358" i="1"/>
  <c r="H358" i="1"/>
  <c r="B359" i="1"/>
  <c r="E359" i="1"/>
  <c r="G359" i="1"/>
  <c r="H359" i="1"/>
  <c r="B360" i="1"/>
  <c r="E360" i="1"/>
  <c r="G360" i="1"/>
  <c r="H360" i="1"/>
  <c r="B361" i="1"/>
  <c r="E361" i="1"/>
  <c r="G361" i="1"/>
  <c r="H361" i="1"/>
  <c r="B362" i="1"/>
  <c r="E362" i="1"/>
  <c r="G362" i="1"/>
  <c r="H362" i="1"/>
  <c r="B363" i="1"/>
  <c r="E363" i="1"/>
  <c r="G363" i="1"/>
  <c r="H363" i="1"/>
  <c r="B364" i="1"/>
  <c r="E364" i="1"/>
  <c r="G364" i="1"/>
  <c r="H364" i="1"/>
  <c r="B365" i="1"/>
  <c r="E365" i="1"/>
  <c r="G365" i="1"/>
  <c r="H365" i="1"/>
  <c r="B366" i="1"/>
  <c r="E366" i="1"/>
  <c r="G366" i="1"/>
  <c r="H366" i="1"/>
  <c r="B367" i="1"/>
  <c r="E367" i="1"/>
  <c r="G367" i="1"/>
  <c r="H367" i="1"/>
  <c r="B368" i="1"/>
  <c r="E368" i="1"/>
  <c r="G368" i="1"/>
  <c r="H368" i="1"/>
  <c r="B369" i="1"/>
  <c r="E369" i="1"/>
  <c r="G369" i="1"/>
  <c r="H369" i="1"/>
  <c r="B370" i="1"/>
  <c r="E370" i="1"/>
  <c r="G370" i="1"/>
  <c r="H370" i="1"/>
  <c r="B371" i="1"/>
  <c r="E371" i="1"/>
  <c r="G371" i="1"/>
  <c r="H371" i="1"/>
  <c r="B372" i="1"/>
  <c r="E372" i="1"/>
  <c r="G372" i="1"/>
  <c r="H372" i="1"/>
  <c r="B373" i="1"/>
  <c r="E373" i="1"/>
  <c r="G373" i="1"/>
  <c r="H373" i="1"/>
  <c r="B374" i="1"/>
  <c r="E374" i="1"/>
  <c r="G374" i="1"/>
  <c r="H374" i="1"/>
  <c r="B375" i="1"/>
  <c r="E375" i="1"/>
  <c r="G375" i="1"/>
  <c r="H375" i="1"/>
  <c r="B376" i="1"/>
  <c r="E376" i="1"/>
  <c r="G376" i="1"/>
  <c r="H376" i="1"/>
  <c r="B377" i="1"/>
  <c r="E377" i="1"/>
  <c r="G377" i="1"/>
  <c r="H377" i="1"/>
  <c r="B378" i="1"/>
  <c r="E378" i="1"/>
  <c r="G378" i="1"/>
  <c r="H378" i="1"/>
  <c r="B379" i="1"/>
  <c r="E379" i="1"/>
  <c r="G379" i="1"/>
  <c r="H379" i="1"/>
  <c r="B380" i="1"/>
  <c r="E380" i="1"/>
  <c r="G380" i="1"/>
  <c r="H380" i="1"/>
  <c r="B381" i="1"/>
  <c r="E381" i="1"/>
  <c r="G381" i="1"/>
  <c r="H381" i="1"/>
  <c r="B382" i="1"/>
  <c r="E382" i="1"/>
  <c r="G382" i="1"/>
  <c r="H382" i="1"/>
  <c r="B383" i="1"/>
  <c r="E383" i="1"/>
  <c r="G383" i="1"/>
  <c r="H383" i="1"/>
  <c r="B384" i="1"/>
  <c r="E384" i="1"/>
  <c r="G384" i="1"/>
  <c r="H384" i="1"/>
  <c r="B385" i="1"/>
  <c r="E385" i="1"/>
  <c r="G385" i="1"/>
  <c r="H385" i="1"/>
  <c r="B386" i="1"/>
  <c r="E386" i="1"/>
  <c r="G386" i="1"/>
  <c r="H386" i="1"/>
  <c r="B387" i="1"/>
  <c r="E387" i="1"/>
  <c r="G387" i="1"/>
  <c r="H387" i="1"/>
  <c r="B388" i="1"/>
  <c r="E388" i="1"/>
  <c r="G388" i="1"/>
  <c r="H388" i="1"/>
  <c r="B389" i="1"/>
  <c r="E389" i="1"/>
  <c r="G389" i="1"/>
  <c r="H389" i="1"/>
  <c r="B390" i="1"/>
  <c r="E390" i="1"/>
  <c r="G390" i="1"/>
  <c r="H390" i="1"/>
  <c r="B391" i="1"/>
  <c r="E391" i="1"/>
  <c r="G391" i="1"/>
  <c r="H391" i="1"/>
  <c r="B392" i="1"/>
  <c r="E392" i="1"/>
  <c r="G392" i="1"/>
  <c r="H392" i="1"/>
  <c r="B393" i="1"/>
  <c r="E393" i="1"/>
  <c r="G393" i="1"/>
  <c r="H393" i="1"/>
  <c r="B394" i="1"/>
  <c r="E394" i="1"/>
  <c r="G394" i="1"/>
  <c r="H394" i="1"/>
  <c r="B395" i="1"/>
  <c r="E395" i="1"/>
  <c r="G395" i="1"/>
  <c r="H395" i="1"/>
  <c r="B396" i="1"/>
  <c r="E396" i="1"/>
  <c r="G396" i="1"/>
  <c r="H396" i="1"/>
  <c r="B397" i="1"/>
  <c r="E397" i="1"/>
  <c r="G397" i="1"/>
  <c r="H397" i="1"/>
  <c r="B398" i="1"/>
  <c r="E398" i="1"/>
  <c r="G398" i="1"/>
  <c r="H398" i="1"/>
  <c r="B399" i="1"/>
  <c r="E399" i="1"/>
  <c r="G399" i="1"/>
  <c r="H399" i="1"/>
  <c r="B400" i="1"/>
  <c r="E400" i="1"/>
  <c r="G400" i="1"/>
  <c r="H400" i="1"/>
  <c r="B401" i="1"/>
  <c r="E401" i="1"/>
  <c r="G401" i="1"/>
  <c r="H401" i="1"/>
  <c r="B402" i="1"/>
  <c r="E402" i="1"/>
  <c r="G402" i="1"/>
  <c r="H402" i="1"/>
  <c r="B403" i="1"/>
  <c r="E403" i="1"/>
  <c r="G403" i="1"/>
  <c r="H403" i="1"/>
  <c r="B404" i="1"/>
  <c r="E404" i="1"/>
  <c r="G404" i="1"/>
  <c r="H404" i="1"/>
  <c r="B405" i="1"/>
  <c r="E405" i="1"/>
  <c r="G405" i="1"/>
  <c r="H405" i="1"/>
  <c r="B406" i="1"/>
  <c r="E406" i="1"/>
  <c r="G406" i="1"/>
  <c r="H406" i="1"/>
  <c r="B407" i="1"/>
  <c r="E407" i="1"/>
  <c r="G407" i="1"/>
  <c r="H407" i="1"/>
  <c r="B408" i="1"/>
  <c r="E408" i="1"/>
  <c r="G408" i="1"/>
  <c r="H408" i="1"/>
  <c r="B409" i="1"/>
  <c r="E409" i="1"/>
  <c r="G409" i="1"/>
  <c r="H409" i="1"/>
  <c r="B410" i="1"/>
  <c r="E410" i="1"/>
  <c r="G410" i="1"/>
  <c r="H410" i="1"/>
  <c r="B411" i="1"/>
  <c r="E411" i="1"/>
  <c r="G411" i="1"/>
  <c r="H411" i="1"/>
  <c r="B412" i="1"/>
  <c r="E412" i="1"/>
  <c r="G412" i="1"/>
  <c r="H412" i="1"/>
  <c r="B413" i="1"/>
  <c r="E413" i="1"/>
  <c r="G413" i="1"/>
  <c r="H413" i="1"/>
  <c r="B414" i="1"/>
  <c r="E414" i="1"/>
  <c r="G414" i="1"/>
  <c r="H414" i="1"/>
  <c r="B415" i="1"/>
  <c r="E415" i="1"/>
  <c r="G415" i="1"/>
  <c r="H415" i="1"/>
  <c r="B416" i="1"/>
  <c r="E416" i="1"/>
  <c r="G416" i="1"/>
  <c r="H416" i="1"/>
  <c r="B417" i="1"/>
  <c r="E417" i="1"/>
  <c r="G417" i="1"/>
  <c r="H417" i="1"/>
  <c r="B418" i="1"/>
  <c r="E418" i="1"/>
  <c r="G418" i="1"/>
  <c r="H418" i="1"/>
  <c r="B419" i="1"/>
  <c r="E419" i="1"/>
  <c r="G419" i="1"/>
  <c r="H419" i="1"/>
  <c r="B420" i="1"/>
  <c r="E420" i="1"/>
  <c r="G420" i="1"/>
  <c r="H420" i="1"/>
  <c r="B421" i="1"/>
  <c r="E421" i="1"/>
  <c r="G421" i="1"/>
  <c r="H421" i="1"/>
  <c r="B422" i="1"/>
  <c r="E422" i="1"/>
  <c r="G422" i="1"/>
  <c r="H422" i="1"/>
  <c r="B423" i="1"/>
  <c r="E423" i="1"/>
  <c r="G423" i="1"/>
  <c r="H423" i="1"/>
  <c r="B424" i="1"/>
  <c r="E424" i="1"/>
  <c r="G424" i="1"/>
  <c r="H424" i="1"/>
  <c r="B425" i="1"/>
  <c r="E425" i="1"/>
  <c r="G425" i="1"/>
  <c r="H425" i="1"/>
  <c r="B426" i="1"/>
  <c r="E426" i="1"/>
  <c r="G426" i="1"/>
  <c r="H426" i="1"/>
  <c r="B427" i="1"/>
  <c r="E427" i="1"/>
  <c r="G427" i="1"/>
  <c r="H427" i="1"/>
  <c r="B428" i="1"/>
  <c r="E428" i="1"/>
  <c r="G428" i="1"/>
  <c r="H428" i="1"/>
  <c r="B429" i="1"/>
  <c r="E429" i="1"/>
  <c r="G429" i="1"/>
  <c r="H429" i="1"/>
  <c r="B430" i="1"/>
  <c r="E430" i="1"/>
  <c r="G430" i="1"/>
  <c r="H430" i="1"/>
  <c r="B431" i="1"/>
  <c r="E431" i="1"/>
  <c r="G431" i="1"/>
  <c r="H431" i="1"/>
  <c r="B432" i="1"/>
  <c r="E432" i="1"/>
  <c r="G432" i="1"/>
  <c r="H432" i="1"/>
  <c r="B433" i="1"/>
  <c r="E433" i="1"/>
  <c r="G433" i="1"/>
  <c r="H433" i="1"/>
  <c r="B434" i="1"/>
  <c r="E434" i="1"/>
  <c r="G434" i="1"/>
  <c r="H434" i="1"/>
  <c r="B435" i="1"/>
  <c r="E435" i="1"/>
  <c r="G435" i="1"/>
  <c r="H435" i="1"/>
  <c r="B436" i="1"/>
  <c r="E436" i="1"/>
  <c r="G436" i="1"/>
  <c r="H436" i="1"/>
  <c r="B437" i="1"/>
  <c r="E437" i="1"/>
  <c r="G437" i="1"/>
  <c r="H437" i="1"/>
  <c r="B438" i="1"/>
  <c r="E438" i="1"/>
  <c r="G438" i="1"/>
  <c r="H438" i="1"/>
  <c r="B439" i="1"/>
  <c r="E439" i="1"/>
  <c r="G439" i="1"/>
  <c r="H439" i="1"/>
  <c r="B440" i="1"/>
  <c r="E440" i="1"/>
  <c r="G440" i="1"/>
  <c r="H440" i="1"/>
  <c r="B441" i="1"/>
  <c r="E441" i="1"/>
  <c r="G441" i="1"/>
  <c r="H441" i="1"/>
  <c r="B442" i="1"/>
  <c r="E442" i="1"/>
  <c r="G442" i="1"/>
  <c r="H442" i="1"/>
  <c r="B443" i="1"/>
  <c r="E443" i="1"/>
  <c r="G443" i="1"/>
  <c r="H443" i="1"/>
  <c r="B444" i="1"/>
  <c r="E444" i="1"/>
  <c r="G444" i="1"/>
  <c r="H444" i="1"/>
  <c r="B445" i="1"/>
  <c r="E445" i="1"/>
  <c r="G445" i="1"/>
  <c r="H445" i="1"/>
  <c r="B446" i="1"/>
  <c r="E446" i="1"/>
  <c r="G446" i="1"/>
  <c r="H446" i="1"/>
  <c r="B447" i="1"/>
  <c r="E447" i="1"/>
  <c r="G447" i="1"/>
  <c r="H447" i="1"/>
  <c r="B448" i="1"/>
  <c r="E448" i="1"/>
  <c r="G448" i="1"/>
  <c r="H448" i="1"/>
  <c r="B449" i="1"/>
  <c r="E449" i="1"/>
  <c r="G449" i="1"/>
  <c r="H449" i="1"/>
  <c r="B450" i="1"/>
  <c r="E450" i="1"/>
  <c r="G450" i="1"/>
  <c r="H450" i="1"/>
  <c r="B451" i="1"/>
  <c r="E451" i="1"/>
  <c r="G451" i="1"/>
  <c r="H451" i="1"/>
  <c r="B452" i="1"/>
  <c r="E452" i="1"/>
  <c r="G452" i="1"/>
  <c r="H452" i="1"/>
  <c r="B453" i="1"/>
  <c r="E453" i="1"/>
  <c r="G453" i="1"/>
  <c r="H453" i="1"/>
  <c r="B454" i="1"/>
  <c r="E454" i="1"/>
  <c r="G454" i="1"/>
  <c r="H454" i="1"/>
  <c r="B455" i="1"/>
  <c r="E455" i="1"/>
  <c r="G455" i="1"/>
  <c r="H455" i="1"/>
  <c r="B456" i="1"/>
  <c r="E456" i="1"/>
  <c r="G456" i="1"/>
  <c r="H456" i="1"/>
  <c r="B457" i="1"/>
  <c r="E457" i="1"/>
  <c r="G457" i="1"/>
  <c r="H457" i="1"/>
  <c r="B458" i="1"/>
  <c r="E458" i="1"/>
  <c r="G458" i="1"/>
  <c r="H458" i="1"/>
  <c r="B459" i="1"/>
  <c r="E459" i="1"/>
  <c r="G459" i="1"/>
  <c r="H459" i="1"/>
  <c r="B460" i="1"/>
  <c r="E460" i="1"/>
  <c r="G460" i="1"/>
  <c r="H460" i="1"/>
  <c r="B461" i="1"/>
  <c r="E461" i="1"/>
  <c r="G461" i="1"/>
  <c r="H461" i="1"/>
  <c r="B462" i="1"/>
  <c r="E462" i="1"/>
  <c r="G462" i="1"/>
  <c r="H462" i="1"/>
  <c r="B463" i="1"/>
  <c r="E463" i="1"/>
  <c r="G463" i="1"/>
  <c r="H463" i="1"/>
  <c r="B464" i="1"/>
  <c r="E464" i="1"/>
  <c r="G464" i="1"/>
  <c r="H464" i="1"/>
  <c r="B465" i="1"/>
  <c r="E465" i="1"/>
  <c r="G465" i="1"/>
  <c r="H465" i="1"/>
  <c r="B466" i="1"/>
  <c r="E466" i="1"/>
  <c r="G466" i="1"/>
  <c r="H466" i="1"/>
  <c r="B467" i="1"/>
  <c r="E467" i="1"/>
  <c r="G467" i="1"/>
  <c r="H467" i="1"/>
  <c r="B468" i="1"/>
  <c r="E468" i="1"/>
  <c r="G468" i="1"/>
  <c r="H468" i="1"/>
  <c r="B469" i="1"/>
  <c r="E469" i="1"/>
  <c r="G469" i="1"/>
  <c r="H469" i="1"/>
  <c r="B470" i="1"/>
  <c r="E470" i="1"/>
  <c r="G470" i="1"/>
  <c r="H470" i="1"/>
  <c r="B471" i="1"/>
  <c r="E471" i="1"/>
  <c r="G471" i="1"/>
  <c r="H471" i="1"/>
  <c r="B472" i="1"/>
  <c r="E472" i="1"/>
  <c r="G472" i="1"/>
  <c r="H472" i="1"/>
  <c r="B473" i="1"/>
  <c r="E473" i="1"/>
  <c r="G473" i="1"/>
  <c r="H473" i="1"/>
  <c r="B474" i="1"/>
  <c r="E474" i="1"/>
  <c r="G474" i="1"/>
  <c r="H474" i="1"/>
  <c r="B475" i="1"/>
  <c r="E475" i="1"/>
  <c r="G475" i="1"/>
  <c r="H475" i="1"/>
  <c r="B476" i="1"/>
  <c r="E476" i="1"/>
  <c r="G476" i="1"/>
  <c r="H476" i="1"/>
  <c r="B477" i="1"/>
  <c r="E477" i="1"/>
  <c r="G477" i="1"/>
  <c r="H477" i="1"/>
  <c r="B478" i="1"/>
  <c r="E478" i="1"/>
  <c r="G478" i="1"/>
  <c r="H478" i="1"/>
  <c r="B479" i="1"/>
  <c r="E479" i="1"/>
  <c r="G479" i="1"/>
  <c r="H479" i="1"/>
  <c r="B480" i="1"/>
  <c r="E480" i="1"/>
  <c r="G480" i="1"/>
  <c r="H480" i="1"/>
  <c r="B481" i="1"/>
  <c r="E481" i="1"/>
  <c r="G481" i="1"/>
  <c r="H481" i="1"/>
  <c r="B482" i="1"/>
  <c r="E482" i="1"/>
  <c r="G482" i="1"/>
  <c r="H482" i="1"/>
  <c r="B483" i="1"/>
  <c r="E483" i="1"/>
  <c r="G483" i="1"/>
  <c r="H483" i="1"/>
  <c r="B484" i="1"/>
  <c r="E484" i="1"/>
  <c r="G484" i="1"/>
  <c r="H484" i="1"/>
  <c r="B485" i="1"/>
  <c r="E485" i="1"/>
  <c r="G485" i="1"/>
  <c r="H485" i="1"/>
  <c r="B486" i="1"/>
  <c r="E486" i="1"/>
  <c r="G486" i="1"/>
  <c r="H486" i="1"/>
  <c r="B487" i="1"/>
  <c r="E487" i="1"/>
  <c r="G487" i="1"/>
  <c r="H487" i="1"/>
  <c r="B488" i="1"/>
  <c r="E488" i="1"/>
  <c r="G488" i="1"/>
  <c r="H488" i="1"/>
  <c r="B489" i="1"/>
  <c r="E489" i="1"/>
  <c r="G489" i="1"/>
  <c r="H489" i="1"/>
  <c r="B490" i="1"/>
  <c r="E490" i="1"/>
  <c r="G490" i="1"/>
  <c r="H490" i="1"/>
  <c r="B491" i="1"/>
  <c r="E491" i="1"/>
  <c r="G491" i="1"/>
  <c r="H491" i="1"/>
  <c r="B492" i="1"/>
  <c r="E492" i="1"/>
  <c r="G492" i="1"/>
  <c r="H492" i="1"/>
  <c r="B493" i="1"/>
  <c r="E493" i="1"/>
  <c r="G493" i="1"/>
  <c r="H493" i="1"/>
  <c r="B494" i="1"/>
  <c r="E494" i="1"/>
  <c r="G494" i="1"/>
  <c r="H494" i="1"/>
  <c r="B495" i="1"/>
  <c r="E495" i="1"/>
  <c r="G495" i="1"/>
  <c r="H495" i="1"/>
  <c r="B496" i="1"/>
  <c r="E496" i="1"/>
  <c r="G496" i="1"/>
  <c r="H496" i="1"/>
  <c r="B497" i="1"/>
  <c r="E497" i="1"/>
  <c r="G497" i="1"/>
  <c r="H497" i="1"/>
  <c r="B498" i="1"/>
  <c r="E498" i="1"/>
  <c r="G498" i="1"/>
  <c r="H498" i="1"/>
  <c r="B499" i="1"/>
  <c r="E499" i="1"/>
  <c r="G499" i="1"/>
  <c r="H499" i="1"/>
  <c r="B500" i="1"/>
  <c r="E500" i="1"/>
  <c r="G500" i="1"/>
  <c r="H500" i="1"/>
  <c r="B501" i="1"/>
  <c r="E501" i="1"/>
  <c r="G501" i="1"/>
  <c r="H501" i="1"/>
  <c r="B502" i="1"/>
  <c r="E502" i="1"/>
  <c r="G502" i="1"/>
  <c r="H502" i="1"/>
  <c r="B503" i="1"/>
  <c r="E503" i="1"/>
  <c r="G503" i="1"/>
  <c r="H503" i="1"/>
  <c r="B504" i="1"/>
  <c r="E504" i="1"/>
  <c r="G504" i="1"/>
  <c r="H504" i="1"/>
  <c r="B505" i="1"/>
  <c r="E505" i="1"/>
  <c r="G505" i="1"/>
  <c r="H505" i="1"/>
  <c r="B506" i="1"/>
  <c r="E506" i="1"/>
  <c r="G506" i="1"/>
  <c r="H506" i="1"/>
  <c r="B507" i="1"/>
  <c r="E507" i="1"/>
  <c r="G507" i="1"/>
  <c r="H507" i="1"/>
  <c r="B508" i="1"/>
  <c r="E508" i="1"/>
  <c r="G508" i="1"/>
  <c r="H508" i="1"/>
  <c r="B509" i="1"/>
  <c r="E509" i="1"/>
  <c r="G509" i="1"/>
  <c r="H509" i="1"/>
  <c r="B510" i="1"/>
  <c r="E510" i="1"/>
  <c r="G510" i="1"/>
  <c r="H510" i="1"/>
  <c r="B511" i="1"/>
  <c r="E511" i="1"/>
  <c r="G511" i="1"/>
  <c r="H511" i="1"/>
  <c r="B512" i="1"/>
  <c r="E512" i="1"/>
  <c r="G512" i="1"/>
  <c r="H512" i="1"/>
  <c r="B513" i="1"/>
  <c r="E513" i="1"/>
  <c r="G513" i="1"/>
  <c r="H513" i="1"/>
  <c r="B514" i="1"/>
  <c r="E514" i="1"/>
  <c r="G514" i="1"/>
  <c r="H514" i="1"/>
  <c r="B515" i="1"/>
  <c r="E515" i="1"/>
  <c r="G515" i="1"/>
  <c r="H515" i="1"/>
  <c r="B516" i="1"/>
  <c r="E516" i="1"/>
  <c r="G516" i="1"/>
  <c r="H516" i="1"/>
  <c r="B517" i="1"/>
  <c r="E517" i="1"/>
  <c r="G517" i="1"/>
  <c r="H517" i="1"/>
  <c r="B518" i="1"/>
  <c r="E518" i="1"/>
  <c r="G518" i="1"/>
  <c r="H518" i="1"/>
  <c r="B519" i="1"/>
  <c r="E519" i="1"/>
  <c r="G519" i="1"/>
  <c r="H519" i="1"/>
  <c r="B520" i="1"/>
  <c r="E520" i="1"/>
  <c r="G520" i="1"/>
  <c r="H520" i="1"/>
  <c r="B521" i="1"/>
  <c r="E521" i="1"/>
  <c r="G521" i="1"/>
  <c r="H521" i="1"/>
  <c r="B522" i="1"/>
  <c r="E522" i="1"/>
  <c r="G522" i="1"/>
  <c r="H522" i="1"/>
  <c r="B523" i="1"/>
  <c r="E523" i="1"/>
  <c r="G523" i="1"/>
  <c r="H523" i="1"/>
  <c r="B524" i="1"/>
  <c r="E524" i="1"/>
  <c r="G524" i="1"/>
  <c r="H524" i="1"/>
  <c r="B525" i="1"/>
  <c r="E525" i="1"/>
  <c r="G525" i="1"/>
  <c r="H525" i="1"/>
  <c r="B526" i="1"/>
  <c r="E526" i="1"/>
  <c r="G526" i="1"/>
  <c r="H526" i="1"/>
  <c r="B527" i="1"/>
  <c r="E527" i="1"/>
  <c r="G527" i="1"/>
  <c r="H527" i="1"/>
  <c r="B528" i="1"/>
  <c r="E528" i="1"/>
  <c r="G528" i="1"/>
  <c r="H528" i="1"/>
  <c r="B529" i="1"/>
  <c r="E529" i="1"/>
  <c r="G529" i="1"/>
  <c r="H529" i="1"/>
  <c r="B530" i="1"/>
  <c r="E530" i="1"/>
  <c r="G530" i="1"/>
  <c r="H530" i="1"/>
  <c r="B531" i="1"/>
  <c r="E531" i="1"/>
  <c r="G531" i="1"/>
  <c r="H531" i="1"/>
  <c r="B532" i="1"/>
  <c r="E532" i="1"/>
  <c r="G532" i="1"/>
  <c r="H532" i="1"/>
  <c r="B533" i="1"/>
  <c r="E533" i="1"/>
  <c r="G533" i="1"/>
  <c r="H533" i="1"/>
  <c r="B534" i="1"/>
  <c r="E534" i="1"/>
  <c r="G534" i="1"/>
  <c r="H534" i="1"/>
  <c r="B535" i="1"/>
  <c r="E535" i="1"/>
  <c r="G535" i="1"/>
  <c r="H535" i="1"/>
  <c r="B536" i="1"/>
  <c r="E536" i="1"/>
  <c r="G536" i="1"/>
  <c r="H536" i="1"/>
  <c r="B537" i="1"/>
  <c r="E537" i="1"/>
  <c r="G537" i="1"/>
  <c r="H537" i="1"/>
  <c r="B538" i="1"/>
  <c r="E538" i="1"/>
  <c r="G538" i="1"/>
  <c r="H538" i="1"/>
  <c r="B539" i="1"/>
  <c r="E539" i="1"/>
  <c r="G539" i="1"/>
  <c r="H539" i="1"/>
  <c r="B540" i="1"/>
  <c r="E540" i="1"/>
  <c r="G540" i="1"/>
  <c r="H540" i="1"/>
  <c r="B541" i="1"/>
  <c r="E541" i="1"/>
  <c r="G541" i="1"/>
  <c r="H541" i="1"/>
  <c r="B542" i="1"/>
  <c r="E542" i="1"/>
  <c r="G542" i="1"/>
  <c r="H542" i="1"/>
  <c r="B543" i="1"/>
  <c r="E543" i="1"/>
  <c r="G543" i="1"/>
  <c r="H543" i="1"/>
  <c r="B544" i="1"/>
  <c r="E544" i="1"/>
  <c r="G544" i="1"/>
  <c r="H544" i="1"/>
  <c r="B545" i="1"/>
  <c r="E545" i="1"/>
  <c r="G545" i="1"/>
  <c r="H545" i="1"/>
  <c r="B546" i="1"/>
  <c r="E546" i="1"/>
  <c r="G546" i="1"/>
  <c r="H546" i="1"/>
  <c r="B547" i="1"/>
  <c r="E547" i="1"/>
  <c r="G547" i="1"/>
  <c r="H547" i="1"/>
  <c r="B548" i="1"/>
  <c r="E548" i="1"/>
  <c r="G548" i="1"/>
  <c r="H548" i="1"/>
  <c r="B549" i="1"/>
  <c r="E549" i="1"/>
  <c r="G549" i="1"/>
  <c r="H549" i="1"/>
  <c r="B550" i="1"/>
  <c r="E550" i="1"/>
  <c r="G550" i="1"/>
  <c r="H550" i="1"/>
  <c r="B551" i="1"/>
  <c r="E551" i="1"/>
  <c r="G551" i="1"/>
  <c r="H551" i="1"/>
  <c r="B552" i="1"/>
  <c r="E552" i="1"/>
  <c r="G552" i="1"/>
  <c r="H552" i="1"/>
  <c r="B553" i="1"/>
  <c r="E553" i="1"/>
  <c r="G553" i="1"/>
  <c r="H553" i="1"/>
  <c r="B554" i="1"/>
  <c r="E554" i="1"/>
  <c r="G554" i="1"/>
  <c r="H554" i="1"/>
  <c r="B555" i="1"/>
  <c r="E555" i="1"/>
  <c r="G555" i="1"/>
  <c r="H555" i="1"/>
  <c r="B556" i="1"/>
  <c r="E556" i="1"/>
  <c r="G556" i="1"/>
  <c r="H556" i="1"/>
  <c r="B557" i="1"/>
  <c r="E557" i="1"/>
  <c r="G557" i="1"/>
  <c r="H557" i="1"/>
  <c r="B558" i="1"/>
  <c r="E558" i="1"/>
  <c r="G558" i="1"/>
  <c r="H558" i="1"/>
  <c r="B559" i="1"/>
  <c r="E559" i="1"/>
  <c r="G559" i="1"/>
  <c r="H559" i="1"/>
  <c r="B560" i="1"/>
  <c r="E560" i="1"/>
  <c r="G560" i="1"/>
  <c r="H560" i="1"/>
  <c r="B561" i="1"/>
  <c r="E561" i="1"/>
  <c r="G561" i="1"/>
  <c r="H561" i="1"/>
  <c r="B562" i="1"/>
  <c r="E562" i="1"/>
  <c r="G562" i="1"/>
  <c r="H562" i="1"/>
  <c r="B563" i="1"/>
  <c r="E563" i="1"/>
  <c r="G563" i="1"/>
  <c r="H563" i="1"/>
  <c r="B564" i="1"/>
  <c r="E564" i="1"/>
  <c r="G564" i="1"/>
  <c r="H564" i="1"/>
  <c r="B565" i="1"/>
  <c r="E565" i="1"/>
  <c r="G565" i="1"/>
  <c r="H565" i="1"/>
  <c r="B566" i="1"/>
  <c r="E566" i="1"/>
  <c r="G566" i="1"/>
  <c r="H566" i="1"/>
  <c r="B567" i="1"/>
  <c r="E567" i="1"/>
  <c r="G567" i="1"/>
  <c r="H567" i="1"/>
  <c r="B568" i="1"/>
  <c r="E568" i="1"/>
  <c r="G568" i="1"/>
  <c r="H568" i="1"/>
  <c r="B569" i="1"/>
  <c r="E569" i="1"/>
  <c r="G569" i="1"/>
  <c r="H569" i="1"/>
  <c r="B570" i="1"/>
  <c r="E570" i="1"/>
  <c r="G570" i="1"/>
  <c r="H570" i="1"/>
  <c r="B571" i="1"/>
  <c r="E571" i="1"/>
  <c r="G571" i="1"/>
  <c r="H571" i="1"/>
  <c r="B572" i="1"/>
  <c r="E572" i="1"/>
  <c r="G572" i="1"/>
  <c r="H572" i="1"/>
  <c r="B573" i="1"/>
  <c r="E573" i="1"/>
  <c r="G573" i="1"/>
  <c r="H573" i="1"/>
  <c r="B574" i="1"/>
  <c r="E574" i="1"/>
  <c r="G574" i="1"/>
  <c r="H574" i="1"/>
  <c r="B575" i="1"/>
  <c r="E575" i="1"/>
  <c r="G575" i="1"/>
  <c r="H575" i="1"/>
  <c r="B576" i="1"/>
  <c r="E576" i="1"/>
  <c r="G576" i="1"/>
  <c r="H576" i="1"/>
  <c r="B577" i="1"/>
  <c r="E577" i="1"/>
  <c r="G577" i="1"/>
  <c r="H577" i="1"/>
  <c r="B578" i="1"/>
  <c r="E578" i="1"/>
  <c r="G578" i="1"/>
  <c r="H578" i="1"/>
  <c r="B579" i="1"/>
  <c r="E579" i="1"/>
  <c r="G579" i="1"/>
  <c r="H579" i="1"/>
  <c r="B580" i="1"/>
  <c r="E580" i="1"/>
  <c r="G580" i="1"/>
  <c r="H580" i="1"/>
  <c r="B581" i="1"/>
  <c r="E581" i="1"/>
  <c r="G581" i="1"/>
  <c r="H581" i="1"/>
  <c r="B582" i="1"/>
  <c r="E582" i="1"/>
  <c r="G582" i="1"/>
  <c r="H582" i="1"/>
  <c r="B583" i="1"/>
  <c r="E583" i="1"/>
  <c r="G583" i="1"/>
  <c r="H583" i="1"/>
  <c r="B584" i="1"/>
  <c r="E584" i="1"/>
  <c r="G584" i="1"/>
  <c r="H584" i="1"/>
  <c r="B585" i="1"/>
  <c r="E585" i="1"/>
  <c r="G585" i="1"/>
  <c r="H585" i="1"/>
  <c r="B586" i="1"/>
  <c r="E586" i="1"/>
  <c r="G586" i="1"/>
  <c r="H586" i="1"/>
  <c r="B587" i="1"/>
  <c r="E587" i="1"/>
  <c r="G587" i="1"/>
  <c r="H587" i="1"/>
  <c r="B588" i="1"/>
  <c r="E588" i="1"/>
  <c r="G588" i="1"/>
  <c r="H588" i="1"/>
  <c r="B589" i="1"/>
  <c r="E589" i="1"/>
  <c r="G589" i="1"/>
  <c r="H589" i="1"/>
  <c r="B590" i="1"/>
  <c r="E590" i="1"/>
  <c r="G590" i="1"/>
  <c r="H590" i="1"/>
  <c r="B591" i="1"/>
  <c r="E591" i="1"/>
  <c r="G591" i="1"/>
  <c r="H591" i="1"/>
  <c r="B592" i="1"/>
  <c r="E592" i="1"/>
  <c r="G592" i="1"/>
  <c r="H592" i="1"/>
  <c r="B593" i="1"/>
  <c r="E593" i="1"/>
  <c r="G593" i="1"/>
  <c r="H593" i="1"/>
  <c r="B594" i="1"/>
  <c r="E594" i="1"/>
  <c r="G594" i="1"/>
  <c r="H594" i="1"/>
  <c r="B595" i="1"/>
  <c r="E595" i="1"/>
  <c r="G595" i="1"/>
  <c r="H595" i="1"/>
  <c r="B596" i="1"/>
  <c r="E596" i="1"/>
  <c r="G596" i="1"/>
  <c r="H596" i="1"/>
  <c r="B597" i="1"/>
  <c r="E597" i="1"/>
  <c r="G597" i="1"/>
  <c r="H597" i="1"/>
  <c r="B598" i="1"/>
  <c r="E598" i="1"/>
  <c r="G598" i="1"/>
  <c r="H598" i="1"/>
  <c r="B599" i="1"/>
  <c r="E599" i="1"/>
  <c r="G599" i="1"/>
  <c r="H599" i="1"/>
  <c r="B600" i="1"/>
  <c r="E600" i="1"/>
  <c r="G600" i="1"/>
  <c r="H600" i="1"/>
  <c r="B601" i="1"/>
  <c r="E601" i="1"/>
  <c r="G601" i="1"/>
  <c r="H601" i="1"/>
  <c r="B602" i="1"/>
  <c r="E602" i="1"/>
  <c r="G602" i="1"/>
  <c r="H602" i="1"/>
  <c r="B603" i="1"/>
  <c r="E603" i="1"/>
  <c r="G603" i="1"/>
  <c r="H603" i="1"/>
  <c r="B604" i="1"/>
  <c r="E604" i="1"/>
  <c r="G604" i="1"/>
  <c r="H604" i="1"/>
  <c r="B605" i="1"/>
  <c r="E605" i="1"/>
  <c r="G605" i="1"/>
  <c r="H605" i="1"/>
  <c r="B606" i="1"/>
  <c r="E606" i="1"/>
  <c r="G606" i="1"/>
  <c r="H606" i="1"/>
  <c r="B607" i="1"/>
  <c r="E607" i="1"/>
  <c r="G607" i="1"/>
  <c r="H607" i="1"/>
  <c r="B608" i="1"/>
  <c r="E608" i="1"/>
  <c r="G608" i="1"/>
  <c r="H608" i="1"/>
  <c r="B609" i="1"/>
  <c r="E609" i="1"/>
  <c r="G609" i="1"/>
  <c r="H609" i="1"/>
  <c r="B610" i="1"/>
  <c r="E610" i="1"/>
  <c r="G610" i="1"/>
  <c r="H610" i="1"/>
  <c r="B611" i="1"/>
  <c r="E611" i="1"/>
  <c r="G611" i="1"/>
  <c r="H611" i="1"/>
  <c r="B612" i="1"/>
  <c r="E612" i="1"/>
  <c r="G612" i="1"/>
  <c r="H612" i="1"/>
  <c r="B613" i="1"/>
  <c r="E613" i="1"/>
  <c r="G613" i="1"/>
  <c r="H613" i="1"/>
  <c r="B614" i="1"/>
  <c r="E614" i="1"/>
  <c r="G614" i="1"/>
  <c r="H614" i="1"/>
  <c r="B615" i="1"/>
  <c r="E615" i="1"/>
  <c r="G615" i="1"/>
  <c r="H615" i="1"/>
  <c r="B616" i="1"/>
  <c r="E616" i="1"/>
  <c r="G616" i="1"/>
  <c r="H616" i="1"/>
  <c r="B617" i="1"/>
  <c r="E617" i="1"/>
  <c r="G617" i="1"/>
  <c r="H617" i="1"/>
  <c r="B618" i="1"/>
  <c r="E618" i="1"/>
  <c r="G618" i="1"/>
  <c r="H618" i="1"/>
  <c r="B619" i="1"/>
  <c r="E619" i="1"/>
  <c r="G619" i="1"/>
  <c r="H619" i="1"/>
  <c r="B620" i="1"/>
  <c r="E620" i="1"/>
  <c r="G620" i="1"/>
  <c r="H620" i="1"/>
  <c r="B621" i="1"/>
  <c r="E621" i="1"/>
  <c r="G621" i="1"/>
  <c r="H621" i="1"/>
  <c r="B622" i="1"/>
  <c r="E622" i="1"/>
  <c r="G622" i="1"/>
  <c r="H622" i="1"/>
  <c r="B623" i="1"/>
  <c r="E623" i="1"/>
  <c r="G623" i="1"/>
  <c r="H623" i="1"/>
  <c r="B624" i="1"/>
  <c r="E624" i="1"/>
  <c r="G624" i="1"/>
  <c r="H624" i="1"/>
  <c r="B625" i="1"/>
  <c r="E625" i="1"/>
  <c r="G625" i="1"/>
  <c r="H625" i="1"/>
  <c r="B626" i="1"/>
  <c r="E626" i="1"/>
  <c r="G626" i="1"/>
  <c r="H626" i="1"/>
  <c r="B627" i="1"/>
  <c r="E627" i="1"/>
  <c r="G627" i="1"/>
  <c r="H627" i="1"/>
  <c r="B628" i="1"/>
  <c r="E628" i="1"/>
  <c r="G628" i="1"/>
  <c r="H628" i="1"/>
  <c r="B629" i="1"/>
  <c r="E629" i="1"/>
  <c r="G629" i="1"/>
  <c r="H629" i="1"/>
  <c r="B630" i="1"/>
  <c r="E630" i="1"/>
  <c r="G630" i="1"/>
  <c r="H630" i="1"/>
  <c r="B631" i="1"/>
  <c r="E631" i="1"/>
  <c r="G631" i="1"/>
  <c r="H631" i="1"/>
  <c r="B632" i="1"/>
  <c r="E632" i="1"/>
  <c r="G632" i="1"/>
  <c r="H632" i="1"/>
  <c r="B633" i="1"/>
  <c r="E633" i="1"/>
  <c r="G633" i="1"/>
  <c r="H633" i="1"/>
  <c r="B634" i="1"/>
  <c r="E634" i="1"/>
  <c r="G634" i="1"/>
  <c r="H634" i="1"/>
  <c r="B635" i="1"/>
  <c r="E635" i="1"/>
  <c r="G635" i="1"/>
  <c r="H635" i="1"/>
  <c r="B636" i="1"/>
  <c r="E636" i="1"/>
  <c r="G636" i="1"/>
  <c r="H636" i="1"/>
  <c r="B637" i="1"/>
  <c r="E637" i="1"/>
  <c r="G637" i="1"/>
  <c r="H637" i="1"/>
  <c r="B638" i="1"/>
  <c r="E638" i="1"/>
  <c r="G638" i="1"/>
  <c r="H638" i="1"/>
  <c r="B639" i="1"/>
  <c r="E639" i="1"/>
  <c r="G639" i="1"/>
  <c r="H639" i="1"/>
  <c r="B640" i="1"/>
  <c r="E640" i="1"/>
  <c r="G640" i="1"/>
  <c r="H640" i="1"/>
  <c r="B641" i="1"/>
  <c r="E641" i="1"/>
  <c r="G641" i="1"/>
  <c r="H641" i="1"/>
  <c r="B642" i="1"/>
  <c r="E642" i="1"/>
  <c r="G642" i="1"/>
  <c r="H642" i="1"/>
  <c r="B643" i="1"/>
  <c r="E643" i="1"/>
  <c r="G643" i="1"/>
  <c r="H643" i="1"/>
  <c r="B644" i="1"/>
  <c r="E644" i="1"/>
  <c r="G644" i="1"/>
  <c r="H644" i="1"/>
  <c r="B645" i="1"/>
  <c r="E645" i="1"/>
  <c r="G645" i="1"/>
  <c r="H645" i="1"/>
  <c r="B646" i="1"/>
  <c r="E646" i="1"/>
  <c r="G646" i="1"/>
  <c r="H646" i="1"/>
  <c r="B647" i="1"/>
  <c r="E647" i="1"/>
  <c r="G647" i="1"/>
  <c r="H647" i="1"/>
  <c r="B648" i="1"/>
  <c r="E648" i="1"/>
  <c r="G648" i="1"/>
  <c r="H648" i="1"/>
  <c r="B649" i="1"/>
  <c r="E649" i="1"/>
  <c r="G649" i="1"/>
  <c r="H649" i="1"/>
  <c r="B650" i="1"/>
  <c r="E650" i="1"/>
  <c r="G650" i="1"/>
  <c r="H650" i="1"/>
  <c r="B651" i="1"/>
  <c r="E651" i="1"/>
  <c r="G651" i="1"/>
  <c r="H651" i="1"/>
  <c r="B652" i="1"/>
  <c r="E652" i="1"/>
  <c r="G652" i="1"/>
  <c r="H652" i="1"/>
  <c r="B653" i="1"/>
  <c r="E653" i="1"/>
  <c r="G653" i="1"/>
  <c r="H653" i="1"/>
  <c r="B654" i="1"/>
  <c r="E654" i="1"/>
  <c r="G654" i="1"/>
  <c r="H654" i="1"/>
  <c r="B655" i="1"/>
  <c r="E655" i="1"/>
  <c r="G655" i="1"/>
  <c r="H655" i="1"/>
  <c r="B656" i="1"/>
  <c r="E656" i="1"/>
  <c r="G656" i="1"/>
  <c r="H656" i="1"/>
  <c r="B657" i="1"/>
  <c r="E657" i="1"/>
  <c r="G657" i="1"/>
  <c r="H657" i="1"/>
  <c r="B658" i="1"/>
  <c r="E658" i="1"/>
  <c r="G658" i="1"/>
  <c r="H658" i="1"/>
  <c r="B659" i="1"/>
  <c r="E659" i="1"/>
  <c r="G659" i="1"/>
  <c r="H659" i="1"/>
  <c r="B660" i="1"/>
  <c r="E660" i="1"/>
  <c r="G660" i="1"/>
  <c r="H660" i="1"/>
  <c r="B661" i="1"/>
  <c r="E661" i="1"/>
  <c r="G661" i="1"/>
  <c r="H661" i="1"/>
  <c r="B662" i="1"/>
  <c r="E662" i="1"/>
  <c r="G662" i="1"/>
  <c r="H662" i="1"/>
  <c r="B663" i="1"/>
  <c r="E663" i="1"/>
  <c r="G663" i="1"/>
  <c r="H663" i="1"/>
  <c r="B664" i="1"/>
  <c r="E664" i="1"/>
  <c r="G664" i="1"/>
  <c r="H664" i="1"/>
  <c r="B665" i="1"/>
  <c r="E665" i="1"/>
  <c r="G665" i="1"/>
  <c r="H665" i="1"/>
  <c r="B666" i="1"/>
  <c r="E666" i="1"/>
  <c r="G666" i="1"/>
  <c r="H666" i="1"/>
  <c r="B667" i="1"/>
  <c r="E667" i="1"/>
  <c r="G667" i="1"/>
  <c r="H667" i="1"/>
  <c r="B668" i="1"/>
  <c r="E668" i="1"/>
  <c r="G668" i="1"/>
  <c r="H668" i="1"/>
  <c r="B669" i="1"/>
  <c r="E669" i="1"/>
  <c r="G669" i="1"/>
  <c r="H669" i="1"/>
  <c r="B670" i="1"/>
  <c r="E670" i="1"/>
  <c r="G670" i="1"/>
  <c r="H670" i="1"/>
  <c r="B671" i="1"/>
  <c r="E671" i="1"/>
  <c r="G671" i="1"/>
  <c r="H671" i="1"/>
  <c r="B672" i="1"/>
  <c r="E672" i="1"/>
  <c r="G672" i="1"/>
  <c r="H672" i="1"/>
  <c r="B673" i="1"/>
  <c r="E673" i="1"/>
  <c r="G673" i="1"/>
  <c r="H673" i="1"/>
  <c r="B674" i="1"/>
  <c r="E674" i="1"/>
  <c r="G674" i="1"/>
  <c r="H674" i="1"/>
  <c r="B675" i="1"/>
  <c r="E675" i="1"/>
  <c r="G675" i="1"/>
  <c r="H675" i="1"/>
  <c r="B676" i="1"/>
  <c r="E676" i="1"/>
  <c r="G676" i="1"/>
  <c r="H676" i="1"/>
  <c r="B677" i="1"/>
  <c r="E677" i="1"/>
  <c r="G677" i="1"/>
  <c r="H677" i="1"/>
  <c r="B678" i="1"/>
  <c r="E678" i="1"/>
  <c r="G678" i="1"/>
  <c r="H678" i="1"/>
  <c r="B679" i="1"/>
  <c r="E679" i="1"/>
  <c r="G679" i="1"/>
  <c r="H679" i="1"/>
  <c r="B680" i="1"/>
  <c r="E680" i="1"/>
  <c r="G680" i="1"/>
  <c r="H680" i="1"/>
  <c r="B681" i="1"/>
  <c r="E681" i="1"/>
  <c r="G681" i="1"/>
  <c r="H681" i="1"/>
  <c r="B682" i="1"/>
  <c r="E682" i="1"/>
  <c r="G682" i="1"/>
  <c r="H682" i="1"/>
  <c r="B683" i="1"/>
  <c r="E683" i="1"/>
  <c r="G683" i="1"/>
  <c r="H683" i="1"/>
  <c r="B684" i="1"/>
  <c r="E684" i="1"/>
  <c r="G684" i="1"/>
  <c r="H684" i="1"/>
  <c r="B685" i="1"/>
  <c r="E685" i="1"/>
  <c r="G685" i="1"/>
  <c r="H685" i="1"/>
  <c r="B686" i="1"/>
  <c r="E686" i="1"/>
  <c r="G686" i="1"/>
  <c r="H686" i="1"/>
  <c r="B687" i="1"/>
  <c r="E687" i="1"/>
  <c r="G687" i="1"/>
  <c r="H687" i="1"/>
  <c r="B688" i="1"/>
  <c r="E688" i="1"/>
  <c r="G688" i="1"/>
  <c r="H688" i="1"/>
  <c r="B689" i="1"/>
  <c r="E689" i="1"/>
  <c r="G689" i="1"/>
  <c r="H689" i="1"/>
  <c r="B690" i="1"/>
  <c r="E690" i="1"/>
  <c r="G690" i="1"/>
  <c r="H690" i="1"/>
  <c r="B691" i="1"/>
  <c r="E691" i="1"/>
  <c r="G691" i="1"/>
  <c r="H691" i="1"/>
  <c r="B692" i="1"/>
  <c r="E692" i="1"/>
  <c r="G692" i="1"/>
  <c r="H692" i="1"/>
  <c r="B693" i="1"/>
  <c r="E693" i="1"/>
  <c r="G693" i="1"/>
  <c r="H693" i="1"/>
  <c r="B694" i="1"/>
  <c r="E694" i="1"/>
  <c r="G694" i="1"/>
  <c r="H694" i="1"/>
  <c r="B695" i="1"/>
  <c r="E695" i="1"/>
  <c r="G695" i="1"/>
  <c r="H695" i="1"/>
  <c r="B696" i="1"/>
  <c r="E696" i="1"/>
  <c r="G696" i="1"/>
  <c r="H696" i="1"/>
  <c r="B697" i="1"/>
  <c r="E697" i="1"/>
  <c r="G697" i="1"/>
  <c r="H697" i="1"/>
  <c r="B698" i="1"/>
  <c r="E698" i="1"/>
  <c r="G698" i="1"/>
  <c r="H698" i="1"/>
  <c r="B699" i="1"/>
  <c r="E699" i="1"/>
  <c r="G699" i="1"/>
  <c r="H699" i="1"/>
  <c r="B700" i="1"/>
  <c r="E700" i="1"/>
  <c r="G700" i="1"/>
  <c r="H700" i="1"/>
  <c r="B701" i="1"/>
  <c r="E701" i="1"/>
  <c r="G701" i="1"/>
  <c r="H701" i="1"/>
  <c r="B702" i="1"/>
  <c r="E702" i="1"/>
  <c r="G702" i="1"/>
  <c r="H702" i="1"/>
  <c r="B703" i="1"/>
  <c r="E703" i="1"/>
  <c r="G703" i="1"/>
  <c r="H703" i="1"/>
  <c r="B704" i="1"/>
  <c r="E704" i="1"/>
  <c r="G704" i="1"/>
  <c r="H704" i="1"/>
  <c r="B705" i="1"/>
  <c r="E705" i="1"/>
  <c r="G705" i="1"/>
  <c r="H705" i="1"/>
  <c r="B706" i="1"/>
  <c r="E706" i="1"/>
  <c r="G706" i="1"/>
  <c r="H706" i="1"/>
  <c r="B707" i="1"/>
  <c r="E707" i="1"/>
  <c r="G707" i="1"/>
  <c r="H707" i="1"/>
  <c r="B708" i="1"/>
  <c r="E708" i="1"/>
  <c r="G708" i="1"/>
  <c r="H708" i="1"/>
  <c r="B709" i="1"/>
  <c r="E709" i="1"/>
  <c r="G709" i="1"/>
  <c r="H709" i="1"/>
  <c r="B710" i="1"/>
  <c r="E710" i="1"/>
  <c r="G710" i="1"/>
  <c r="H710" i="1"/>
  <c r="B711" i="1"/>
  <c r="E711" i="1"/>
  <c r="G711" i="1"/>
  <c r="H711" i="1"/>
  <c r="B712" i="1"/>
  <c r="E712" i="1"/>
  <c r="G712" i="1"/>
  <c r="H712" i="1"/>
  <c r="B713" i="1"/>
  <c r="E713" i="1"/>
  <c r="G713" i="1"/>
  <c r="H713" i="1"/>
  <c r="B714" i="1"/>
  <c r="E714" i="1"/>
  <c r="G714" i="1"/>
  <c r="H714" i="1"/>
  <c r="B715" i="1"/>
  <c r="E715" i="1"/>
  <c r="G715" i="1"/>
  <c r="H715" i="1"/>
  <c r="B716" i="1"/>
  <c r="E716" i="1"/>
  <c r="G716" i="1"/>
  <c r="H716" i="1"/>
  <c r="B717" i="1"/>
  <c r="E717" i="1"/>
  <c r="G717" i="1"/>
  <c r="H717" i="1"/>
  <c r="B718" i="1"/>
  <c r="E718" i="1"/>
  <c r="G718" i="1"/>
  <c r="H718" i="1"/>
  <c r="B719" i="1"/>
  <c r="E719" i="1"/>
  <c r="G719" i="1"/>
  <c r="H719" i="1"/>
  <c r="B720" i="1"/>
  <c r="E720" i="1"/>
  <c r="G720" i="1"/>
  <c r="H720" i="1"/>
  <c r="B721" i="1"/>
  <c r="E721" i="1"/>
  <c r="G721" i="1"/>
  <c r="H721" i="1"/>
  <c r="B722" i="1"/>
  <c r="E722" i="1"/>
  <c r="G722" i="1"/>
  <c r="H722" i="1"/>
  <c r="B723" i="1"/>
  <c r="E723" i="1"/>
  <c r="G723" i="1"/>
  <c r="H723" i="1"/>
  <c r="B724" i="1"/>
  <c r="E724" i="1"/>
  <c r="G724" i="1"/>
  <c r="H724" i="1"/>
  <c r="B725" i="1"/>
  <c r="E725" i="1"/>
  <c r="G725" i="1"/>
  <c r="H725" i="1"/>
  <c r="B726" i="1"/>
  <c r="E726" i="1"/>
  <c r="G726" i="1"/>
  <c r="H726" i="1"/>
  <c r="B727" i="1"/>
  <c r="E727" i="1"/>
  <c r="G727" i="1"/>
  <c r="H727" i="1"/>
  <c r="B728" i="1"/>
  <c r="E728" i="1"/>
  <c r="G728" i="1"/>
  <c r="H728" i="1"/>
  <c r="B729" i="1"/>
  <c r="E729" i="1"/>
  <c r="G729" i="1"/>
  <c r="H729" i="1"/>
  <c r="B730" i="1"/>
  <c r="E730" i="1"/>
  <c r="G730" i="1"/>
  <c r="H730" i="1"/>
  <c r="B731" i="1"/>
  <c r="E731" i="1"/>
  <c r="G731" i="1"/>
  <c r="H731" i="1"/>
  <c r="B732" i="1"/>
  <c r="E732" i="1"/>
  <c r="G732" i="1"/>
  <c r="H732" i="1"/>
  <c r="B733" i="1"/>
  <c r="E733" i="1"/>
  <c r="G733" i="1"/>
  <c r="H733" i="1"/>
  <c r="B734" i="1"/>
  <c r="E734" i="1"/>
  <c r="G734" i="1"/>
  <c r="H734" i="1"/>
  <c r="B735" i="1"/>
  <c r="E735" i="1"/>
  <c r="G735" i="1"/>
  <c r="H735" i="1"/>
  <c r="B736" i="1"/>
  <c r="E736" i="1"/>
  <c r="G736" i="1"/>
  <c r="H736" i="1"/>
  <c r="B737" i="1"/>
  <c r="E737" i="1"/>
  <c r="G737" i="1"/>
  <c r="H737" i="1"/>
  <c r="B738" i="1"/>
  <c r="E738" i="1"/>
  <c r="G738" i="1"/>
  <c r="H738" i="1"/>
  <c r="B739" i="1"/>
  <c r="E739" i="1"/>
  <c r="G739" i="1"/>
  <c r="H739" i="1"/>
  <c r="B740" i="1"/>
  <c r="E740" i="1"/>
  <c r="G740" i="1"/>
  <c r="H740" i="1"/>
  <c r="B741" i="1"/>
  <c r="E741" i="1"/>
  <c r="G741" i="1"/>
  <c r="H741" i="1"/>
  <c r="B742" i="1"/>
  <c r="E742" i="1"/>
  <c r="G742" i="1"/>
  <c r="H742" i="1"/>
  <c r="B743" i="1"/>
  <c r="E743" i="1"/>
  <c r="G743" i="1"/>
  <c r="H743" i="1"/>
  <c r="B744" i="1"/>
  <c r="E744" i="1"/>
  <c r="G744" i="1"/>
  <c r="H744" i="1"/>
  <c r="B745" i="1"/>
  <c r="E745" i="1"/>
  <c r="G745" i="1"/>
  <c r="H745" i="1"/>
  <c r="B746" i="1"/>
  <c r="E746" i="1"/>
  <c r="G746" i="1"/>
  <c r="H746" i="1"/>
  <c r="B747" i="1"/>
  <c r="E747" i="1"/>
  <c r="G747" i="1"/>
  <c r="H747" i="1"/>
  <c r="B748" i="1"/>
  <c r="E748" i="1"/>
  <c r="G748" i="1"/>
  <c r="H748" i="1"/>
  <c r="B749" i="1"/>
  <c r="E749" i="1"/>
  <c r="G749" i="1"/>
  <c r="H749" i="1"/>
  <c r="B750" i="1"/>
  <c r="E750" i="1"/>
  <c r="G750" i="1"/>
  <c r="H750" i="1"/>
  <c r="B751" i="1"/>
  <c r="E751" i="1"/>
  <c r="G751" i="1"/>
  <c r="H751" i="1"/>
  <c r="B752" i="1"/>
  <c r="E752" i="1"/>
  <c r="G752" i="1"/>
  <c r="H752" i="1"/>
  <c r="B753" i="1"/>
  <c r="E753" i="1"/>
  <c r="G753" i="1"/>
  <c r="H753" i="1"/>
  <c r="B754" i="1"/>
  <c r="E754" i="1"/>
  <c r="G754" i="1"/>
  <c r="H754" i="1"/>
  <c r="B755" i="1"/>
  <c r="E755" i="1"/>
  <c r="G755" i="1"/>
  <c r="H755" i="1"/>
  <c r="B756" i="1"/>
  <c r="E756" i="1"/>
  <c r="G756" i="1"/>
  <c r="H756" i="1"/>
  <c r="B757" i="1"/>
  <c r="E757" i="1"/>
  <c r="G757" i="1"/>
  <c r="H757" i="1"/>
  <c r="B758" i="1"/>
  <c r="E758" i="1"/>
  <c r="G758" i="1"/>
  <c r="H758" i="1"/>
  <c r="B759" i="1"/>
  <c r="E759" i="1"/>
  <c r="G759" i="1"/>
  <c r="H759" i="1"/>
  <c r="B760" i="1"/>
  <c r="E760" i="1"/>
  <c r="G760" i="1"/>
  <c r="H760" i="1"/>
  <c r="B761" i="1"/>
  <c r="E761" i="1"/>
  <c r="G761" i="1"/>
  <c r="H761" i="1"/>
  <c r="B762" i="1"/>
  <c r="E762" i="1"/>
  <c r="G762" i="1"/>
  <c r="H762" i="1"/>
  <c r="B763" i="1"/>
  <c r="E763" i="1"/>
  <c r="G763" i="1"/>
  <c r="H763" i="1"/>
  <c r="B764" i="1"/>
  <c r="E764" i="1"/>
  <c r="G764" i="1"/>
  <c r="H764" i="1"/>
  <c r="B765" i="1"/>
  <c r="E765" i="1"/>
  <c r="G765" i="1"/>
  <c r="H765" i="1"/>
  <c r="B766" i="1"/>
  <c r="E766" i="1"/>
  <c r="G766" i="1"/>
  <c r="H766" i="1"/>
  <c r="B767" i="1"/>
  <c r="E767" i="1"/>
  <c r="G767" i="1"/>
  <c r="H767" i="1"/>
  <c r="B768" i="1"/>
  <c r="E768" i="1"/>
  <c r="G768" i="1"/>
  <c r="H768" i="1"/>
  <c r="B769" i="1"/>
  <c r="E769" i="1"/>
  <c r="G769" i="1"/>
  <c r="H769" i="1"/>
  <c r="B770" i="1"/>
  <c r="E770" i="1"/>
  <c r="G770" i="1"/>
  <c r="H770" i="1"/>
  <c r="B771" i="1"/>
  <c r="E771" i="1"/>
  <c r="G771" i="1"/>
  <c r="H771" i="1"/>
  <c r="B772" i="1"/>
  <c r="E772" i="1"/>
  <c r="G772" i="1"/>
  <c r="H772" i="1"/>
  <c r="B773" i="1"/>
  <c r="E773" i="1"/>
  <c r="G773" i="1"/>
  <c r="H773" i="1"/>
  <c r="B774" i="1"/>
  <c r="E774" i="1"/>
  <c r="G774" i="1"/>
  <c r="H774" i="1"/>
  <c r="B775" i="1"/>
  <c r="E775" i="1"/>
  <c r="G775" i="1"/>
  <c r="H775" i="1"/>
  <c r="B776" i="1"/>
  <c r="E776" i="1"/>
  <c r="G776" i="1"/>
  <c r="H776" i="1"/>
  <c r="B777" i="1"/>
  <c r="E777" i="1"/>
  <c r="G777" i="1"/>
  <c r="H777" i="1"/>
  <c r="B778" i="1"/>
  <c r="E778" i="1"/>
  <c r="G778" i="1"/>
  <c r="H778" i="1"/>
  <c r="B779" i="1"/>
  <c r="E779" i="1"/>
  <c r="G779" i="1"/>
  <c r="H779" i="1"/>
  <c r="B780" i="1"/>
  <c r="E780" i="1"/>
  <c r="G780" i="1"/>
  <c r="H780" i="1"/>
  <c r="B781" i="1"/>
  <c r="E781" i="1"/>
  <c r="G781" i="1"/>
  <c r="H781" i="1"/>
  <c r="B782" i="1"/>
  <c r="E782" i="1"/>
  <c r="G782" i="1"/>
  <c r="H782" i="1"/>
  <c r="B783" i="1"/>
  <c r="E783" i="1"/>
  <c r="G783" i="1"/>
  <c r="H783" i="1"/>
  <c r="B784" i="1"/>
  <c r="E784" i="1"/>
  <c r="G784" i="1"/>
  <c r="H784" i="1"/>
  <c r="B785" i="1"/>
  <c r="E785" i="1"/>
  <c r="G785" i="1"/>
  <c r="H785" i="1"/>
  <c r="B786" i="1"/>
  <c r="E786" i="1"/>
  <c r="G786" i="1"/>
  <c r="H786" i="1"/>
  <c r="B787" i="1"/>
  <c r="E787" i="1"/>
  <c r="G787" i="1"/>
  <c r="H787" i="1"/>
  <c r="B788" i="1"/>
  <c r="E788" i="1"/>
  <c r="G788" i="1"/>
  <c r="H788" i="1"/>
  <c r="B789" i="1"/>
  <c r="E789" i="1"/>
  <c r="G789" i="1"/>
  <c r="H789" i="1"/>
  <c r="B790" i="1"/>
  <c r="E790" i="1"/>
  <c r="G790" i="1"/>
  <c r="H790" i="1"/>
  <c r="B791" i="1"/>
  <c r="E791" i="1"/>
  <c r="G791" i="1"/>
  <c r="H791" i="1"/>
  <c r="B792" i="1"/>
  <c r="E792" i="1"/>
  <c r="G792" i="1"/>
  <c r="H792" i="1"/>
  <c r="B793" i="1"/>
  <c r="E793" i="1"/>
  <c r="G793" i="1"/>
  <c r="H793" i="1"/>
  <c r="B794" i="1"/>
  <c r="E794" i="1"/>
  <c r="G794" i="1"/>
  <c r="H794" i="1"/>
  <c r="B795" i="1"/>
  <c r="E795" i="1"/>
  <c r="G795" i="1"/>
  <c r="H795" i="1"/>
  <c r="B796" i="1"/>
  <c r="E796" i="1"/>
  <c r="G796" i="1"/>
  <c r="H796" i="1"/>
  <c r="B797" i="1"/>
  <c r="E797" i="1"/>
  <c r="G797" i="1"/>
  <c r="H797" i="1"/>
  <c r="B798" i="1"/>
  <c r="E798" i="1"/>
  <c r="G798" i="1"/>
  <c r="H798" i="1"/>
  <c r="B799" i="1"/>
  <c r="E799" i="1"/>
  <c r="G799" i="1"/>
  <c r="H799" i="1"/>
  <c r="B800" i="1"/>
  <c r="E800" i="1"/>
  <c r="G800" i="1"/>
  <c r="H800" i="1"/>
  <c r="B801" i="1"/>
  <c r="E801" i="1"/>
  <c r="G801" i="1"/>
  <c r="H801" i="1"/>
  <c r="B802" i="1"/>
  <c r="E802" i="1"/>
  <c r="G802" i="1"/>
  <c r="H802" i="1"/>
  <c r="B803" i="1"/>
  <c r="E803" i="1"/>
  <c r="G803" i="1"/>
  <c r="H803" i="1"/>
  <c r="B804" i="1"/>
  <c r="E804" i="1"/>
  <c r="G804" i="1"/>
  <c r="H804" i="1"/>
  <c r="B805" i="1"/>
  <c r="E805" i="1"/>
  <c r="G805" i="1"/>
  <c r="H805" i="1"/>
  <c r="B806" i="1"/>
  <c r="E806" i="1"/>
  <c r="G806" i="1"/>
  <c r="H806" i="1"/>
  <c r="B807" i="1"/>
  <c r="E807" i="1"/>
  <c r="G807" i="1"/>
  <c r="H807" i="1"/>
  <c r="B808" i="1"/>
  <c r="E808" i="1"/>
  <c r="G808" i="1"/>
  <c r="H808" i="1"/>
  <c r="B809" i="1"/>
  <c r="E809" i="1"/>
  <c r="G809" i="1"/>
  <c r="H809" i="1"/>
  <c r="B810" i="1"/>
  <c r="E810" i="1"/>
  <c r="G810" i="1"/>
  <c r="H810" i="1"/>
  <c r="B811" i="1"/>
  <c r="E811" i="1"/>
  <c r="G811" i="1"/>
  <c r="H811" i="1"/>
  <c r="B812" i="1"/>
  <c r="E812" i="1"/>
  <c r="G812" i="1"/>
  <c r="H812" i="1"/>
  <c r="B813" i="1"/>
  <c r="E813" i="1"/>
  <c r="G813" i="1"/>
  <c r="H813" i="1"/>
  <c r="B814" i="1"/>
  <c r="E814" i="1"/>
  <c r="G814" i="1"/>
  <c r="H814" i="1"/>
  <c r="B815" i="1"/>
  <c r="E815" i="1"/>
  <c r="G815" i="1"/>
  <c r="H815" i="1"/>
  <c r="B816" i="1"/>
  <c r="E816" i="1"/>
  <c r="G816" i="1"/>
  <c r="H816" i="1"/>
  <c r="B817" i="1"/>
  <c r="E817" i="1"/>
  <c r="G817" i="1"/>
  <c r="H817" i="1"/>
  <c r="B818" i="1"/>
  <c r="E818" i="1"/>
  <c r="G818" i="1"/>
  <c r="H818" i="1"/>
  <c r="B819" i="1"/>
  <c r="E819" i="1"/>
  <c r="G819" i="1"/>
  <c r="H819" i="1"/>
  <c r="B820" i="1"/>
  <c r="E820" i="1"/>
  <c r="G820" i="1"/>
  <c r="H820" i="1"/>
  <c r="B821" i="1"/>
  <c r="E821" i="1"/>
  <c r="G821" i="1"/>
  <c r="H821" i="1"/>
  <c r="B822" i="1"/>
  <c r="E822" i="1"/>
  <c r="G822" i="1"/>
  <c r="H822" i="1"/>
  <c r="B823" i="1"/>
  <c r="E823" i="1"/>
  <c r="G823" i="1"/>
  <c r="H823" i="1"/>
  <c r="B824" i="1"/>
  <c r="E824" i="1"/>
  <c r="G824" i="1"/>
  <c r="H824" i="1"/>
  <c r="B825" i="1"/>
  <c r="E825" i="1"/>
  <c r="G825" i="1"/>
  <c r="H825" i="1"/>
  <c r="B826" i="1"/>
  <c r="E826" i="1"/>
  <c r="G826" i="1"/>
  <c r="H826" i="1"/>
  <c r="B827" i="1"/>
  <c r="E827" i="1"/>
  <c r="G827" i="1"/>
  <c r="H827" i="1"/>
  <c r="B828" i="1"/>
  <c r="E828" i="1"/>
  <c r="G828" i="1"/>
  <c r="H828" i="1"/>
  <c r="B829" i="1"/>
  <c r="E829" i="1"/>
  <c r="G829" i="1"/>
  <c r="H829" i="1"/>
  <c r="B830" i="1"/>
  <c r="E830" i="1"/>
  <c r="G830" i="1"/>
  <c r="H830" i="1"/>
  <c r="B831" i="1"/>
  <c r="E831" i="1"/>
  <c r="G831" i="1"/>
  <c r="H831" i="1"/>
  <c r="B832" i="1"/>
  <c r="E832" i="1"/>
  <c r="G832" i="1"/>
  <c r="H832" i="1"/>
  <c r="B833" i="1"/>
  <c r="E833" i="1"/>
  <c r="G833" i="1"/>
  <c r="H833" i="1"/>
  <c r="B834" i="1"/>
  <c r="E834" i="1"/>
  <c r="G834" i="1"/>
  <c r="H834" i="1"/>
  <c r="B835" i="1"/>
  <c r="E835" i="1"/>
  <c r="G835" i="1"/>
  <c r="H835" i="1"/>
  <c r="B836" i="1"/>
  <c r="E836" i="1"/>
  <c r="G836" i="1"/>
  <c r="H836" i="1"/>
  <c r="B837" i="1"/>
  <c r="E837" i="1"/>
  <c r="G837" i="1"/>
  <c r="H837" i="1"/>
  <c r="B838" i="1"/>
  <c r="E838" i="1"/>
  <c r="G838" i="1"/>
  <c r="H838" i="1"/>
  <c r="B839" i="1"/>
  <c r="E839" i="1"/>
  <c r="G839" i="1"/>
  <c r="H839" i="1"/>
  <c r="B840" i="1"/>
  <c r="E840" i="1"/>
  <c r="G840" i="1"/>
  <c r="H840" i="1"/>
  <c r="B841" i="1"/>
  <c r="E841" i="1"/>
  <c r="G841" i="1"/>
  <c r="H841" i="1"/>
  <c r="B842" i="1"/>
  <c r="E842" i="1"/>
  <c r="G842" i="1"/>
  <c r="H842" i="1"/>
  <c r="B843" i="1"/>
  <c r="E843" i="1"/>
  <c r="G843" i="1"/>
  <c r="H843" i="1"/>
  <c r="B844" i="1"/>
  <c r="E844" i="1"/>
  <c r="G844" i="1"/>
  <c r="H844" i="1"/>
  <c r="B845" i="1"/>
  <c r="E845" i="1"/>
  <c r="G845" i="1"/>
  <c r="H845" i="1"/>
  <c r="B846" i="1"/>
  <c r="E846" i="1"/>
  <c r="G846" i="1"/>
  <c r="H846" i="1"/>
  <c r="B847" i="1"/>
  <c r="E847" i="1"/>
  <c r="G847" i="1"/>
  <c r="H847" i="1"/>
  <c r="B848" i="1"/>
  <c r="E848" i="1"/>
  <c r="G848" i="1"/>
  <c r="H848" i="1"/>
  <c r="B849" i="1"/>
  <c r="E849" i="1"/>
  <c r="G849" i="1"/>
  <c r="H849" i="1"/>
  <c r="B850" i="1"/>
  <c r="E850" i="1"/>
  <c r="G850" i="1"/>
  <c r="H850" i="1"/>
  <c r="B851" i="1"/>
  <c r="E851" i="1"/>
  <c r="G851" i="1"/>
  <c r="H851" i="1"/>
  <c r="B852" i="1"/>
  <c r="E852" i="1"/>
  <c r="G852" i="1"/>
  <c r="H852" i="1"/>
  <c r="B853" i="1"/>
  <c r="E853" i="1"/>
  <c r="G853" i="1"/>
  <c r="H853" i="1"/>
  <c r="B854" i="1"/>
  <c r="E854" i="1"/>
  <c r="G854" i="1"/>
  <c r="H854" i="1"/>
  <c r="B855" i="1"/>
  <c r="E855" i="1"/>
  <c r="G855" i="1"/>
  <c r="H855" i="1"/>
  <c r="B856" i="1"/>
  <c r="E856" i="1"/>
  <c r="G856" i="1"/>
  <c r="H856" i="1"/>
  <c r="B857" i="1"/>
  <c r="E857" i="1"/>
  <c r="G857" i="1"/>
  <c r="H857" i="1"/>
  <c r="B858" i="1"/>
  <c r="E858" i="1"/>
  <c r="G858" i="1"/>
  <c r="H858" i="1"/>
  <c r="B859" i="1"/>
  <c r="E859" i="1"/>
  <c r="G859" i="1"/>
  <c r="H859" i="1"/>
  <c r="B860" i="1"/>
  <c r="E860" i="1"/>
  <c r="G860" i="1"/>
  <c r="H860" i="1"/>
  <c r="B861" i="1"/>
  <c r="E861" i="1"/>
  <c r="G861" i="1"/>
  <c r="H861" i="1"/>
  <c r="B862" i="1"/>
  <c r="E862" i="1"/>
  <c r="G862" i="1"/>
  <c r="H862" i="1"/>
  <c r="B863" i="1"/>
  <c r="E863" i="1"/>
  <c r="G863" i="1"/>
  <c r="H863" i="1"/>
  <c r="B864" i="1"/>
  <c r="E864" i="1"/>
  <c r="G864" i="1"/>
  <c r="H864" i="1"/>
  <c r="B865" i="1"/>
  <c r="E865" i="1"/>
  <c r="G865" i="1"/>
  <c r="H865" i="1"/>
  <c r="B866" i="1"/>
  <c r="E866" i="1"/>
  <c r="G866" i="1"/>
  <c r="H866" i="1"/>
  <c r="B867" i="1"/>
  <c r="E867" i="1"/>
  <c r="G867" i="1"/>
  <c r="H867" i="1"/>
  <c r="B868" i="1"/>
  <c r="E868" i="1"/>
  <c r="G868" i="1"/>
  <c r="H868" i="1"/>
  <c r="B869" i="1"/>
  <c r="E869" i="1"/>
  <c r="G869" i="1"/>
  <c r="H869" i="1"/>
  <c r="B870" i="1"/>
  <c r="E870" i="1"/>
  <c r="G870" i="1"/>
  <c r="H870" i="1"/>
  <c r="B871" i="1"/>
  <c r="E871" i="1"/>
  <c r="G871" i="1"/>
  <c r="H871" i="1"/>
  <c r="B872" i="1"/>
  <c r="E872" i="1"/>
  <c r="G872" i="1"/>
  <c r="H872" i="1"/>
  <c r="B873" i="1"/>
  <c r="E873" i="1"/>
  <c r="G873" i="1"/>
  <c r="H873" i="1"/>
  <c r="B874" i="1"/>
  <c r="E874" i="1"/>
  <c r="G874" i="1"/>
  <c r="H874" i="1"/>
  <c r="B875" i="1"/>
  <c r="E875" i="1"/>
  <c r="G875" i="1"/>
  <c r="H875" i="1"/>
  <c r="B876" i="1"/>
  <c r="E876" i="1"/>
  <c r="G876" i="1"/>
  <c r="H876" i="1"/>
  <c r="B877" i="1"/>
  <c r="E877" i="1"/>
  <c r="G877" i="1"/>
  <c r="H877" i="1"/>
  <c r="B878" i="1"/>
  <c r="E878" i="1"/>
  <c r="G878" i="1"/>
  <c r="H878" i="1"/>
  <c r="B879" i="1"/>
  <c r="E879" i="1"/>
  <c r="G879" i="1"/>
  <c r="H879" i="1"/>
  <c r="B880" i="1"/>
  <c r="E880" i="1"/>
  <c r="G880" i="1"/>
  <c r="H880" i="1"/>
  <c r="B881" i="1"/>
  <c r="E881" i="1"/>
  <c r="G881" i="1"/>
  <c r="H881" i="1"/>
  <c r="B882" i="1"/>
  <c r="E882" i="1"/>
  <c r="G882" i="1"/>
  <c r="H882" i="1"/>
  <c r="B883" i="1"/>
  <c r="E883" i="1"/>
  <c r="G883" i="1"/>
  <c r="H883" i="1"/>
  <c r="B884" i="1"/>
  <c r="E884" i="1"/>
  <c r="G884" i="1"/>
  <c r="H884" i="1"/>
  <c r="B885" i="1"/>
  <c r="E885" i="1"/>
  <c r="G885" i="1"/>
  <c r="H885" i="1"/>
  <c r="B886" i="1"/>
  <c r="E886" i="1"/>
  <c r="G886" i="1"/>
  <c r="H886" i="1"/>
  <c r="B887" i="1"/>
  <c r="E887" i="1"/>
  <c r="G887" i="1"/>
  <c r="H887" i="1"/>
  <c r="B888" i="1"/>
  <c r="E888" i="1"/>
  <c r="G888" i="1"/>
  <c r="H888" i="1"/>
  <c r="B889" i="1"/>
  <c r="E889" i="1"/>
  <c r="G889" i="1"/>
  <c r="H889" i="1"/>
  <c r="B890" i="1"/>
  <c r="E890" i="1"/>
  <c r="G890" i="1"/>
  <c r="H890" i="1"/>
  <c r="B891" i="1"/>
  <c r="E891" i="1"/>
  <c r="G891" i="1"/>
  <c r="H891" i="1"/>
  <c r="B892" i="1"/>
  <c r="E892" i="1"/>
  <c r="G892" i="1"/>
  <c r="H892" i="1"/>
  <c r="B893" i="1"/>
  <c r="E893" i="1"/>
  <c r="G893" i="1"/>
  <c r="H893" i="1"/>
  <c r="B894" i="1"/>
  <c r="E894" i="1"/>
  <c r="G894" i="1"/>
  <c r="H894" i="1"/>
  <c r="B895" i="1"/>
  <c r="E895" i="1"/>
  <c r="G895" i="1"/>
  <c r="H895" i="1"/>
  <c r="B896" i="1"/>
  <c r="E896" i="1"/>
  <c r="G896" i="1"/>
  <c r="H896" i="1"/>
  <c r="B897" i="1"/>
  <c r="E897" i="1"/>
  <c r="G897" i="1"/>
  <c r="H897" i="1"/>
  <c r="B898" i="1"/>
  <c r="E898" i="1"/>
  <c r="G898" i="1"/>
  <c r="H898" i="1"/>
  <c r="B899" i="1"/>
  <c r="E899" i="1"/>
  <c r="G899" i="1"/>
  <c r="H899" i="1"/>
  <c r="B900" i="1"/>
  <c r="E900" i="1"/>
  <c r="G900" i="1"/>
  <c r="H900" i="1"/>
  <c r="B901" i="1"/>
  <c r="E901" i="1"/>
  <c r="G901" i="1"/>
  <c r="H901" i="1"/>
  <c r="B902" i="1"/>
  <c r="E902" i="1"/>
  <c r="G902" i="1"/>
  <c r="H902" i="1"/>
  <c r="B903" i="1"/>
  <c r="E903" i="1"/>
  <c r="G903" i="1"/>
  <c r="H903" i="1"/>
  <c r="B904" i="1"/>
  <c r="E904" i="1"/>
  <c r="G904" i="1"/>
  <c r="H904" i="1"/>
  <c r="B905" i="1"/>
  <c r="E905" i="1"/>
  <c r="G905" i="1"/>
  <c r="H905" i="1"/>
  <c r="B906" i="1"/>
  <c r="E906" i="1"/>
  <c r="G906" i="1"/>
  <c r="H906" i="1"/>
  <c r="B907" i="1"/>
  <c r="E907" i="1"/>
  <c r="G907" i="1"/>
  <c r="H907" i="1"/>
  <c r="B908" i="1"/>
  <c r="E908" i="1"/>
  <c r="G908" i="1"/>
  <c r="H908" i="1"/>
  <c r="B909" i="1"/>
  <c r="E909" i="1"/>
  <c r="G909" i="1"/>
  <c r="H909" i="1"/>
  <c r="B910" i="1"/>
  <c r="E910" i="1"/>
  <c r="G910" i="1"/>
  <c r="H910" i="1"/>
  <c r="B911" i="1"/>
  <c r="E911" i="1"/>
  <c r="G911" i="1"/>
  <c r="H911" i="1"/>
  <c r="B912" i="1"/>
  <c r="E912" i="1"/>
  <c r="G912" i="1"/>
  <c r="H912" i="1"/>
  <c r="B913" i="1"/>
  <c r="E913" i="1"/>
  <c r="G913" i="1"/>
  <c r="H913" i="1"/>
  <c r="B914" i="1"/>
  <c r="E914" i="1"/>
  <c r="G914" i="1"/>
  <c r="H914" i="1"/>
  <c r="B915" i="1"/>
  <c r="E915" i="1"/>
  <c r="G915" i="1"/>
  <c r="H915" i="1"/>
  <c r="B916" i="1"/>
  <c r="E916" i="1"/>
  <c r="G916" i="1"/>
  <c r="H916" i="1"/>
  <c r="B917" i="1"/>
  <c r="E917" i="1"/>
  <c r="G917" i="1"/>
  <c r="H917" i="1"/>
  <c r="B918" i="1"/>
  <c r="E918" i="1"/>
  <c r="G918" i="1"/>
  <c r="H918" i="1"/>
  <c r="B919" i="1"/>
  <c r="E919" i="1"/>
  <c r="G919" i="1"/>
  <c r="H919" i="1"/>
  <c r="B920" i="1"/>
  <c r="E920" i="1"/>
  <c r="G920" i="1"/>
  <c r="H920" i="1"/>
  <c r="B921" i="1"/>
  <c r="E921" i="1"/>
  <c r="G921" i="1"/>
  <c r="H921" i="1"/>
  <c r="B922" i="1"/>
  <c r="E922" i="1"/>
  <c r="G922" i="1"/>
  <c r="H922" i="1"/>
  <c r="B923" i="1"/>
  <c r="E923" i="1"/>
  <c r="G923" i="1"/>
  <c r="H923" i="1"/>
  <c r="B924" i="1"/>
  <c r="E924" i="1"/>
  <c r="G924" i="1"/>
  <c r="H924" i="1"/>
  <c r="B925" i="1"/>
  <c r="E925" i="1"/>
  <c r="G925" i="1"/>
  <c r="H925" i="1"/>
  <c r="B926" i="1"/>
  <c r="E926" i="1"/>
  <c r="G926" i="1"/>
  <c r="H926" i="1"/>
  <c r="B927" i="1"/>
  <c r="E927" i="1"/>
  <c r="G927" i="1"/>
  <c r="H927" i="1"/>
  <c r="B928" i="1"/>
  <c r="E928" i="1"/>
  <c r="G928" i="1"/>
  <c r="H928" i="1"/>
  <c r="B929" i="1"/>
  <c r="E929" i="1"/>
  <c r="G929" i="1"/>
  <c r="H929" i="1"/>
  <c r="B930" i="1"/>
  <c r="E930" i="1"/>
  <c r="G930" i="1"/>
  <c r="H930" i="1"/>
  <c r="B931" i="1"/>
  <c r="E931" i="1"/>
  <c r="G931" i="1"/>
  <c r="H931" i="1"/>
  <c r="B932" i="1"/>
  <c r="E932" i="1"/>
  <c r="G932" i="1"/>
  <c r="H932" i="1"/>
  <c r="B933" i="1"/>
  <c r="E933" i="1"/>
  <c r="G933" i="1"/>
  <c r="H933" i="1"/>
  <c r="B934" i="1"/>
  <c r="E934" i="1"/>
  <c r="G934" i="1"/>
  <c r="H934" i="1"/>
  <c r="B935" i="1"/>
  <c r="E935" i="1"/>
  <c r="G935" i="1"/>
  <c r="H935" i="1"/>
  <c r="B936" i="1"/>
  <c r="E936" i="1"/>
  <c r="G936" i="1"/>
  <c r="H936" i="1"/>
  <c r="B937" i="1"/>
  <c r="E937" i="1"/>
  <c r="G937" i="1"/>
  <c r="H937" i="1"/>
  <c r="B938" i="1"/>
  <c r="E938" i="1"/>
  <c r="G938" i="1"/>
  <c r="H938" i="1"/>
  <c r="B939" i="1"/>
  <c r="E939" i="1"/>
  <c r="G939" i="1"/>
  <c r="H939" i="1"/>
  <c r="B940" i="1"/>
  <c r="E940" i="1"/>
  <c r="G940" i="1"/>
  <c r="H940" i="1"/>
  <c r="B941" i="1"/>
  <c r="E941" i="1"/>
  <c r="G941" i="1"/>
  <c r="H941" i="1"/>
  <c r="B942" i="1"/>
  <c r="E942" i="1"/>
  <c r="G942" i="1"/>
  <c r="H942" i="1"/>
  <c r="B943" i="1"/>
  <c r="E943" i="1"/>
  <c r="G943" i="1"/>
  <c r="H943" i="1"/>
  <c r="B944" i="1"/>
  <c r="E944" i="1"/>
  <c r="G944" i="1"/>
  <c r="H944" i="1"/>
  <c r="B945" i="1"/>
  <c r="E945" i="1"/>
  <c r="G945" i="1"/>
  <c r="H945" i="1"/>
  <c r="B946" i="1"/>
  <c r="E946" i="1"/>
  <c r="G946" i="1"/>
  <c r="H946" i="1"/>
  <c r="B947" i="1"/>
  <c r="E947" i="1"/>
  <c r="G947" i="1"/>
  <c r="H947" i="1"/>
  <c r="B948" i="1"/>
  <c r="E948" i="1"/>
  <c r="G948" i="1"/>
  <c r="H948" i="1"/>
  <c r="B949" i="1"/>
  <c r="E949" i="1"/>
  <c r="G949" i="1"/>
  <c r="H949" i="1"/>
  <c r="B950" i="1"/>
  <c r="E950" i="1"/>
  <c r="G950" i="1"/>
  <c r="H950" i="1"/>
  <c r="B951" i="1"/>
  <c r="E951" i="1"/>
  <c r="G951" i="1"/>
  <c r="H951" i="1"/>
  <c r="B952" i="1"/>
  <c r="E952" i="1"/>
  <c r="G952" i="1"/>
  <c r="H952" i="1"/>
  <c r="B953" i="1"/>
  <c r="E953" i="1"/>
  <c r="G953" i="1"/>
  <c r="H953" i="1"/>
  <c r="B954" i="1"/>
  <c r="E954" i="1"/>
  <c r="G954" i="1"/>
  <c r="H954" i="1"/>
  <c r="B955" i="1"/>
  <c r="E955" i="1"/>
  <c r="G955" i="1"/>
  <c r="H955" i="1"/>
  <c r="B956" i="1"/>
  <c r="E956" i="1"/>
  <c r="G956" i="1"/>
  <c r="H956" i="1"/>
  <c r="B957" i="1"/>
  <c r="E957" i="1"/>
  <c r="G957" i="1"/>
  <c r="H957" i="1"/>
  <c r="B958" i="1"/>
  <c r="E958" i="1"/>
  <c r="G958" i="1"/>
  <c r="H958" i="1"/>
  <c r="B959" i="1"/>
  <c r="E959" i="1"/>
  <c r="G959" i="1"/>
  <c r="H959" i="1"/>
  <c r="B960" i="1"/>
  <c r="E960" i="1"/>
  <c r="G960" i="1"/>
  <c r="H960" i="1"/>
  <c r="B961" i="1"/>
  <c r="E961" i="1"/>
  <c r="G961" i="1"/>
  <c r="H961" i="1"/>
  <c r="B962" i="1"/>
  <c r="E962" i="1"/>
  <c r="G962" i="1"/>
  <c r="H962" i="1"/>
  <c r="B963" i="1"/>
  <c r="E963" i="1"/>
  <c r="G963" i="1"/>
  <c r="H963" i="1"/>
  <c r="B964" i="1"/>
  <c r="E964" i="1"/>
  <c r="G964" i="1"/>
  <c r="H964" i="1"/>
  <c r="B965" i="1"/>
  <c r="E965" i="1"/>
  <c r="G965" i="1"/>
  <c r="H965" i="1"/>
  <c r="B966" i="1"/>
  <c r="E966" i="1"/>
  <c r="G966" i="1"/>
  <c r="H966" i="1"/>
  <c r="B967" i="1"/>
  <c r="E967" i="1"/>
  <c r="G967" i="1"/>
  <c r="H967" i="1"/>
  <c r="B968" i="1"/>
  <c r="E968" i="1"/>
  <c r="G968" i="1"/>
  <c r="H968" i="1"/>
  <c r="B969" i="1"/>
  <c r="E969" i="1"/>
  <c r="G969" i="1"/>
  <c r="H969" i="1"/>
  <c r="B970" i="1"/>
  <c r="E970" i="1"/>
  <c r="G970" i="1"/>
  <c r="H970" i="1"/>
  <c r="B971" i="1"/>
  <c r="E971" i="1"/>
  <c r="G971" i="1"/>
  <c r="H971" i="1"/>
  <c r="B972" i="1"/>
  <c r="E972" i="1"/>
  <c r="G972" i="1"/>
  <c r="H972" i="1"/>
  <c r="B973" i="1"/>
  <c r="E973" i="1"/>
  <c r="G973" i="1"/>
  <c r="H973" i="1"/>
  <c r="B974" i="1"/>
  <c r="E974" i="1"/>
  <c r="G974" i="1"/>
  <c r="H974" i="1"/>
  <c r="B975" i="1"/>
  <c r="E975" i="1"/>
  <c r="G975" i="1"/>
  <c r="H975" i="1"/>
  <c r="B976" i="1"/>
  <c r="E976" i="1"/>
  <c r="G976" i="1"/>
  <c r="H976" i="1"/>
  <c r="B977" i="1"/>
  <c r="E977" i="1"/>
  <c r="G977" i="1"/>
  <c r="H977" i="1"/>
  <c r="B978" i="1"/>
  <c r="E978" i="1"/>
  <c r="G978" i="1"/>
  <c r="H978" i="1"/>
  <c r="B979" i="1"/>
  <c r="E979" i="1"/>
  <c r="G979" i="1"/>
  <c r="H979" i="1"/>
  <c r="B980" i="1"/>
  <c r="E980" i="1"/>
  <c r="G980" i="1"/>
  <c r="H980" i="1"/>
  <c r="B981" i="1"/>
  <c r="E981" i="1"/>
  <c r="G981" i="1"/>
  <c r="H981" i="1"/>
  <c r="B982" i="1"/>
  <c r="E982" i="1"/>
  <c r="G982" i="1"/>
  <c r="H982" i="1"/>
  <c r="B983" i="1"/>
  <c r="E983" i="1"/>
  <c r="G983" i="1"/>
  <c r="H983" i="1"/>
  <c r="B984" i="1"/>
  <c r="E984" i="1"/>
  <c r="G984" i="1"/>
  <c r="H984" i="1"/>
  <c r="B985" i="1"/>
  <c r="E985" i="1"/>
  <c r="G985" i="1"/>
  <c r="H985" i="1"/>
  <c r="B986" i="1"/>
  <c r="E986" i="1"/>
  <c r="G986" i="1"/>
  <c r="H986" i="1"/>
  <c r="B987" i="1"/>
  <c r="E987" i="1"/>
  <c r="G987" i="1"/>
  <c r="H987" i="1"/>
  <c r="B988" i="1"/>
  <c r="E988" i="1"/>
  <c r="G988" i="1"/>
  <c r="H988" i="1"/>
  <c r="B989" i="1"/>
  <c r="E989" i="1"/>
  <c r="G989" i="1"/>
  <c r="H989" i="1"/>
  <c r="B990" i="1"/>
  <c r="E990" i="1"/>
  <c r="G990" i="1"/>
  <c r="H990" i="1"/>
  <c r="B991" i="1"/>
  <c r="E991" i="1"/>
  <c r="G991" i="1"/>
  <c r="H991" i="1"/>
  <c r="B992" i="1"/>
  <c r="E992" i="1"/>
  <c r="G992" i="1"/>
  <c r="H992" i="1"/>
  <c r="B993" i="1"/>
  <c r="E993" i="1"/>
  <c r="G993" i="1"/>
  <c r="H993" i="1"/>
  <c r="B994" i="1"/>
  <c r="E994" i="1"/>
  <c r="G994" i="1"/>
  <c r="H994" i="1"/>
  <c r="B995" i="1"/>
  <c r="E995" i="1"/>
  <c r="G995" i="1"/>
  <c r="H995" i="1"/>
  <c r="B996" i="1"/>
  <c r="E996" i="1"/>
  <c r="G996" i="1"/>
  <c r="H996" i="1"/>
  <c r="B997" i="1"/>
  <c r="E997" i="1"/>
  <c r="G997" i="1"/>
  <c r="H997" i="1"/>
  <c r="B998" i="1"/>
  <c r="E998" i="1"/>
  <c r="G998" i="1"/>
  <c r="H998" i="1"/>
  <c r="B999" i="1"/>
  <c r="E999" i="1"/>
  <c r="G999" i="1"/>
  <c r="H999" i="1"/>
  <c r="B1000" i="1"/>
  <c r="E1000" i="1"/>
  <c r="G1000" i="1"/>
  <c r="H1000" i="1"/>
  <c r="B1001" i="1"/>
  <c r="E1001" i="1"/>
  <c r="G1001" i="1"/>
  <c r="H1001" i="1"/>
  <c r="B1002" i="1"/>
  <c r="E1002" i="1"/>
  <c r="G1002" i="1"/>
  <c r="H1002" i="1"/>
  <c r="B1003" i="1"/>
  <c r="E1003" i="1"/>
  <c r="G1003" i="1"/>
  <c r="H1003" i="1"/>
  <c r="B1004" i="1"/>
  <c r="E1004" i="1"/>
  <c r="G1004" i="1"/>
  <c r="H1004" i="1"/>
  <c r="B1005" i="1"/>
  <c r="E1005" i="1"/>
  <c r="G1005" i="1"/>
  <c r="H1005" i="1"/>
  <c r="B1006" i="1"/>
  <c r="E1006" i="1"/>
  <c r="G1006" i="1"/>
  <c r="H1006" i="1"/>
  <c r="B1007" i="1"/>
  <c r="E1007" i="1"/>
  <c r="G1007" i="1"/>
  <c r="H1007" i="1"/>
  <c r="B1008" i="1"/>
  <c r="E1008" i="1"/>
  <c r="G1008" i="1"/>
  <c r="H1008" i="1"/>
  <c r="B1009" i="1"/>
  <c r="E1009" i="1"/>
  <c r="G1009" i="1"/>
  <c r="H1009" i="1"/>
  <c r="B1010" i="1"/>
  <c r="E1010" i="1"/>
  <c r="G1010" i="1"/>
  <c r="H1010" i="1"/>
  <c r="B1011" i="1"/>
  <c r="E1011" i="1"/>
  <c r="G1011" i="1"/>
  <c r="H1011" i="1"/>
  <c r="B1012" i="1"/>
  <c r="E1012" i="1"/>
  <c r="G1012" i="1"/>
  <c r="H1012" i="1"/>
  <c r="B1013" i="1"/>
  <c r="E1013" i="1"/>
  <c r="G1013" i="1"/>
  <c r="H1013" i="1"/>
  <c r="B1014" i="1"/>
  <c r="E1014" i="1"/>
  <c r="G1014" i="1"/>
  <c r="H1014" i="1"/>
  <c r="B1015" i="1"/>
  <c r="E1015" i="1"/>
  <c r="G1015" i="1"/>
  <c r="H1015" i="1"/>
  <c r="B1016" i="1"/>
  <c r="E1016" i="1"/>
  <c r="G1016" i="1"/>
  <c r="H1016" i="1"/>
  <c r="B1017" i="1"/>
  <c r="E1017" i="1"/>
  <c r="G1017" i="1"/>
  <c r="H1017" i="1"/>
  <c r="B1018" i="1"/>
  <c r="E1018" i="1"/>
  <c r="G1018" i="1"/>
  <c r="H1018" i="1"/>
  <c r="B1019" i="1"/>
  <c r="E1019" i="1"/>
  <c r="G1019" i="1"/>
  <c r="H1019" i="1"/>
  <c r="B1020" i="1"/>
  <c r="E1020" i="1"/>
  <c r="G1020" i="1"/>
  <c r="H1020" i="1"/>
  <c r="B1021" i="1"/>
  <c r="E1021" i="1"/>
  <c r="G1021" i="1"/>
  <c r="H1021" i="1"/>
  <c r="B1022" i="1"/>
  <c r="E1022" i="1"/>
  <c r="G1022" i="1"/>
  <c r="H1022" i="1"/>
  <c r="B1023" i="1"/>
  <c r="E1023" i="1"/>
  <c r="G1023" i="1"/>
  <c r="H1023" i="1"/>
  <c r="B1024" i="1"/>
  <c r="E1024" i="1"/>
  <c r="G1024" i="1"/>
  <c r="H1024" i="1"/>
  <c r="B1025" i="1"/>
  <c r="E1025" i="1"/>
  <c r="G1025" i="1"/>
  <c r="H1025" i="1"/>
  <c r="B1026" i="1"/>
  <c r="E1026" i="1"/>
  <c r="G1026" i="1"/>
  <c r="H1026" i="1"/>
  <c r="B1027" i="1"/>
  <c r="E1027" i="1"/>
  <c r="G1027" i="1"/>
  <c r="H1027" i="1"/>
  <c r="B1028" i="1"/>
  <c r="E1028" i="1"/>
  <c r="G1028" i="1"/>
  <c r="H1028" i="1"/>
  <c r="B1029" i="1"/>
  <c r="E1029" i="1"/>
  <c r="G1029" i="1"/>
  <c r="H1029" i="1"/>
  <c r="B1030" i="1"/>
  <c r="E1030" i="1"/>
  <c r="G1030" i="1"/>
  <c r="H1030" i="1"/>
  <c r="B1031" i="1"/>
  <c r="E1031" i="1"/>
  <c r="G1031" i="1"/>
  <c r="H1031" i="1"/>
  <c r="B1032" i="1"/>
  <c r="E1032" i="1"/>
  <c r="G1032" i="1"/>
  <c r="H1032" i="1"/>
  <c r="B1033" i="1"/>
  <c r="E1033" i="1"/>
  <c r="G1033" i="1"/>
  <c r="H1033" i="1"/>
  <c r="B1034" i="1"/>
  <c r="E1034" i="1"/>
  <c r="G1034" i="1"/>
  <c r="H1034" i="1"/>
  <c r="B1035" i="1"/>
  <c r="E1035" i="1"/>
  <c r="G1035" i="1"/>
  <c r="H1035" i="1"/>
  <c r="B1036" i="1"/>
  <c r="E1036" i="1"/>
  <c r="G1036" i="1"/>
  <c r="H1036" i="1"/>
  <c r="B1037" i="1"/>
  <c r="E1037" i="1"/>
  <c r="G1037" i="1"/>
  <c r="H1037" i="1"/>
  <c r="B1038" i="1"/>
  <c r="E1038" i="1"/>
  <c r="G1038" i="1"/>
  <c r="H1038" i="1"/>
  <c r="B1039" i="1"/>
  <c r="E1039" i="1"/>
  <c r="G1039" i="1"/>
  <c r="H1039" i="1"/>
  <c r="B1040" i="1"/>
  <c r="E1040" i="1"/>
  <c r="G1040" i="1"/>
  <c r="H1040" i="1"/>
  <c r="B1041" i="1"/>
  <c r="E1041" i="1"/>
  <c r="G1041" i="1"/>
  <c r="H1041" i="1"/>
  <c r="B1042" i="1"/>
  <c r="E1042" i="1"/>
  <c r="G1042" i="1"/>
  <c r="H1042" i="1"/>
  <c r="B1043" i="1"/>
  <c r="E1043" i="1"/>
  <c r="G1043" i="1"/>
  <c r="H1043" i="1"/>
  <c r="B1044" i="1"/>
  <c r="E1044" i="1"/>
  <c r="G1044" i="1"/>
  <c r="H1044" i="1"/>
  <c r="B1045" i="1"/>
  <c r="E1045" i="1"/>
  <c r="G1045" i="1"/>
  <c r="H1045" i="1"/>
  <c r="B1046" i="1"/>
  <c r="E1046" i="1"/>
  <c r="G1046" i="1"/>
  <c r="H1046" i="1"/>
  <c r="B1047" i="1"/>
  <c r="E1047" i="1"/>
  <c r="G1047" i="1"/>
  <c r="H1047" i="1"/>
  <c r="B1048" i="1"/>
  <c r="E1048" i="1"/>
  <c r="G1048" i="1"/>
  <c r="H1048" i="1"/>
  <c r="B1049" i="1"/>
  <c r="E1049" i="1"/>
  <c r="G1049" i="1"/>
  <c r="H1049" i="1"/>
  <c r="B1050" i="1"/>
  <c r="E1050" i="1"/>
  <c r="G1050" i="1"/>
  <c r="H1050" i="1"/>
  <c r="B1051" i="1"/>
  <c r="E1051" i="1"/>
  <c r="G1051" i="1"/>
  <c r="H1051" i="1"/>
  <c r="B1052" i="1"/>
  <c r="E1052" i="1"/>
  <c r="G1052" i="1"/>
  <c r="H1052" i="1"/>
  <c r="B1053" i="1"/>
  <c r="E1053" i="1"/>
  <c r="G1053" i="1"/>
  <c r="H1053" i="1"/>
  <c r="B1054" i="1"/>
  <c r="E1054" i="1"/>
  <c r="G1054" i="1"/>
  <c r="H1054" i="1"/>
  <c r="B1055" i="1"/>
  <c r="E1055" i="1"/>
  <c r="G1055" i="1"/>
  <c r="H1055" i="1"/>
  <c r="B1056" i="1"/>
  <c r="E1056" i="1"/>
  <c r="G1056" i="1"/>
  <c r="H1056" i="1"/>
  <c r="B1057" i="1"/>
  <c r="E1057" i="1"/>
  <c r="G1057" i="1"/>
  <c r="H1057" i="1"/>
  <c r="B1058" i="1"/>
  <c r="E1058" i="1"/>
  <c r="G1058" i="1"/>
  <c r="H1058" i="1"/>
  <c r="B1059" i="1"/>
  <c r="E1059" i="1"/>
  <c r="G1059" i="1"/>
  <c r="H1059" i="1"/>
  <c r="B1060" i="1"/>
  <c r="E1060" i="1"/>
  <c r="G1060" i="1"/>
  <c r="H1060" i="1"/>
  <c r="B1061" i="1"/>
  <c r="E1061" i="1"/>
  <c r="G1061" i="1"/>
  <c r="H1061" i="1"/>
  <c r="B1062" i="1"/>
  <c r="E1062" i="1"/>
  <c r="G1062" i="1"/>
  <c r="H1062" i="1"/>
  <c r="B1063" i="1"/>
  <c r="E1063" i="1"/>
  <c r="G1063" i="1"/>
  <c r="H1063" i="1"/>
  <c r="B1064" i="1"/>
  <c r="E1064" i="1"/>
  <c r="G1064" i="1"/>
  <c r="H1064" i="1"/>
  <c r="B1065" i="1"/>
  <c r="E1065" i="1"/>
  <c r="G1065" i="1"/>
  <c r="H1065" i="1"/>
  <c r="B1066" i="1"/>
  <c r="E1066" i="1"/>
  <c r="G1066" i="1"/>
  <c r="H1066" i="1"/>
  <c r="B1067" i="1"/>
  <c r="E1067" i="1"/>
  <c r="G1067" i="1"/>
  <c r="H1067" i="1"/>
  <c r="B1068" i="1"/>
  <c r="E1068" i="1"/>
  <c r="G1068" i="1"/>
  <c r="H1068" i="1"/>
  <c r="B1069" i="1"/>
  <c r="E1069" i="1"/>
  <c r="G1069" i="1"/>
  <c r="H1069" i="1"/>
  <c r="B1070" i="1"/>
  <c r="E1070" i="1"/>
  <c r="G1070" i="1"/>
  <c r="H1070" i="1"/>
  <c r="B1071" i="1"/>
  <c r="E1071" i="1"/>
  <c r="G1071" i="1"/>
  <c r="H1071" i="1"/>
  <c r="B1072" i="1"/>
  <c r="E1072" i="1"/>
  <c r="G1072" i="1"/>
  <c r="H1072" i="1"/>
  <c r="B1073" i="1"/>
  <c r="E1073" i="1"/>
  <c r="G1073" i="1"/>
  <c r="H1073" i="1"/>
  <c r="B1074" i="1"/>
  <c r="E1074" i="1"/>
  <c r="G1074" i="1"/>
  <c r="H1074" i="1"/>
  <c r="B1075" i="1"/>
  <c r="E1075" i="1"/>
  <c r="G1075" i="1"/>
  <c r="H1075" i="1"/>
  <c r="B1076" i="1"/>
  <c r="E1076" i="1"/>
  <c r="G1076" i="1"/>
  <c r="H1076" i="1"/>
  <c r="B1077" i="1"/>
  <c r="E1077" i="1"/>
  <c r="G1077" i="1"/>
  <c r="H1077" i="1"/>
  <c r="B1078" i="1"/>
  <c r="E1078" i="1"/>
  <c r="G1078" i="1"/>
  <c r="H1078" i="1"/>
  <c r="B1079" i="1"/>
  <c r="E1079" i="1"/>
  <c r="G1079" i="1"/>
  <c r="H1079" i="1"/>
  <c r="B1080" i="1"/>
  <c r="E1080" i="1"/>
  <c r="G1080" i="1"/>
  <c r="H1080" i="1"/>
  <c r="B1081" i="1"/>
  <c r="E1081" i="1"/>
  <c r="G1081" i="1"/>
  <c r="H1081" i="1"/>
  <c r="B1082" i="1"/>
  <c r="E1082" i="1"/>
  <c r="G1082" i="1"/>
  <c r="H1082" i="1"/>
  <c r="B1083" i="1"/>
  <c r="E1083" i="1"/>
  <c r="G1083" i="1"/>
  <c r="H1083" i="1"/>
  <c r="B1084" i="1"/>
  <c r="E1084" i="1"/>
  <c r="G1084" i="1"/>
  <c r="H1084" i="1"/>
  <c r="B1085" i="1"/>
  <c r="E1085" i="1"/>
  <c r="G1085" i="1"/>
  <c r="H1085" i="1"/>
  <c r="B1086" i="1"/>
  <c r="E1086" i="1"/>
  <c r="G1086" i="1"/>
  <c r="H1086" i="1"/>
  <c r="B1087" i="1"/>
  <c r="E1087" i="1"/>
  <c r="G1087" i="1"/>
  <c r="H1087" i="1"/>
  <c r="B1088" i="1"/>
  <c r="E1088" i="1"/>
  <c r="G1088" i="1"/>
  <c r="H1088" i="1"/>
  <c r="B1089" i="1"/>
  <c r="E1089" i="1"/>
  <c r="G1089" i="1"/>
  <c r="H1089" i="1"/>
  <c r="B1090" i="1"/>
  <c r="E1090" i="1"/>
  <c r="G1090" i="1"/>
  <c r="H1090" i="1"/>
  <c r="B1091" i="1"/>
  <c r="E1091" i="1"/>
  <c r="G1091" i="1"/>
  <c r="H1091" i="1"/>
  <c r="B1092" i="1"/>
  <c r="E1092" i="1"/>
  <c r="G1092" i="1"/>
  <c r="H1092" i="1"/>
  <c r="B1093" i="1"/>
  <c r="E1093" i="1"/>
  <c r="G1093" i="1"/>
  <c r="H1093" i="1"/>
  <c r="B1094" i="1"/>
  <c r="E1094" i="1"/>
  <c r="G1094" i="1"/>
  <c r="H1094" i="1"/>
  <c r="B1095" i="1"/>
  <c r="E1095" i="1"/>
  <c r="G1095" i="1"/>
  <c r="H1095" i="1"/>
  <c r="B1096" i="1"/>
  <c r="E1096" i="1"/>
  <c r="G1096" i="1"/>
  <c r="H1096" i="1"/>
  <c r="B1097" i="1"/>
  <c r="E1097" i="1"/>
  <c r="G1097" i="1"/>
  <c r="H1097" i="1"/>
  <c r="B1098" i="1"/>
  <c r="E1098" i="1"/>
  <c r="G1098" i="1"/>
  <c r="H1098" i="1"/>
  <c r="B1099" i="1"/>
  <c r="E1099" i="1"/>
  <c r="G1099" i="1"/>
  <c r="H1099" i="1"/>
  <c r="B1100" i="1"/>
  <c r="E1100" i="1"/>
  <c r="G1100" i="1"/>
  <c r="H1100" i="1"/>
  <c r="B1101" i="1"/>
  <c r="E1101" i="1"/>
  <c r="G1101" i="1"/>
  <c r="H1101" i="1"/>
  <c r="B1102" i="1"/>
  <c r="E1102" i="1"/>
  <c r="G1102" i="1"/>
  <c r="H1102" i="1"/>
  <c r="B1103" i="1"/>
  <c r="E1103" i="1"/>
  <c r="G1103" i="1"/>
  <c r="H1103" i="1"/>
  <c r="B1104" i="1"/>
  <c r="E1104" i="1"/>
  <c r="G1104" i="1"/>
  <c r="H1104" i="1"/>
  <c r="B1105" i="1"/>
  <c r="E1105" i="1"/>
  <c r="G1105" i="1"/>
  <c r="H1105" i="1"/>
  <c r="B1106" i="1"/>
  <c r="E1106" i="1"/>
  <c r="G1106" i="1"/>
  <c r="H1106" i="1"/>
  <c r="B1107" i="1"/>
  <c r="E1107" i="1"/>
  <c r="G1107" i="1"/>
  <c r="H1107" i="1"/>
  <c r="B1108" i="1"/>
  <c r="E1108" i="1"/>
  <c r="G1108" i="1"/>
  <c r="H1108" i="1"/>
  <c r="B1109" i="1"/>
  <c r="E1109" i="1"/>
  <c r="G1109" i="1"/>
  <c r="H1109" i="1"/>
  <c r="B1110" i="1"/>
  <c r="E1110" i="1"/>
  <c r="G1110" i="1"/>
  <c r="H1110" i="1"/>
  <c r="B1111" i="1"/>
  <c r="E1111" i="1"/>
  <c r="G1111" i="1"/>
  <c r="H1111" i="1"/>
  <c r="B1112" i="1"/>
  <c r="E1112" i="1"/>
  <c r="G1112" i="1"/>
  <c r="H1112" i="1"/>
  <c r="B1113" i="1"/>
  <c r="E1113" i="1"/>
  <c r="G1113" i="1"/>
  <c r="H1113" i="1"/>
  <c r="B1114" i="1"/>
  <c r="E1114" i="1"/>
  <c r="G1114" i="1"/>
  <c r="H1114" i="1"/>
  <c r="B1115" i="1"/>
  <c r="E1115" i="1"/>
  <c r="G1115" i="1"/>
  <c r="H1115" i="1"/>
  <c r="B1116" i="1"/>
  <c r="E1116" i="1"/>
  <c r="G1116" i="1"/>
  <c r="H1116" i="1"/>
  <c r="B1117" i="1"/>
  <c r="E1117" i="1"/>
  <c r="G1117" i="1"/>
  <c r="H1117" i="1"/>
  <c r="B1118" i="1"/>
  <c r="E1118" i="1"/>
  <c r="G1118" i="1"/>
  <c r="H1118" i="1"/>
  <c r="B1119" i="1"/>
  <c r="E1119" i="1"/>
  <c r="G1119" i="1"/>
  <c r="H1119" i="1"/>
  <c r="B1120" i="1"/>
  <c r="E1120" i="1"/>
  <c r="G1120" i="1"/>
  <c r="H1120" i="1"/>
  <c r="B1121" i="1"/>
  <c r="E1121" i="1"/>
  <c r="G1121" i="1"/>
  <c r="H1121" i="1"/>
  <c r="B1122" i="1"/>
  <c r="E1122" i="1"/>
  <c r="G1122" i="1"/>
  <c r="H1122" i="1"/>
  <c r="B1123" i="1"/>
  <c r="E1123" i="1"/>
  <c r="G1123" i="1"/>
  <c r="H1123" i="1"/>
  <c r="B1124" i="1"/>
  <c r="E1124" i="1"/>
  <c r="G1124" i="1"/>
  <c r="H1124" i="1"/>
  <c r="B1125" i="1"/>
  <c r="E1125" i="1"/>
  <c r="G1125" i="1"/>
  <c r="H1125" i="1"/>
  <c r="B1126" i="1"/>
  <c r="E1126" i="1"/>
  <c r="G1126" i="1"/>
  <c r="H1126" i="1"/>
  <c r="B1127" i="1"/>
  <c r="E1127" i="1"/>
  <c r="G1127" i="1"/>
  <c r="H1127" i="1"/>
  <c r="B1128" i="1"/>
  <c r="E1128" i="1"/>
  <c r="G1128" i="1"/>
  <c r="H1128" i="1"/>
  <c r="B1129" i="1"/>
  <c r="E1129" i="1"/>
  <c r="G1129" i="1"/>
  <c r="H1129" i="1"/>
  <c r="B1130" i="1"/>
  <c r="E1130" i="1"/>
  <c r="G1130" i="1"/>
  <c r="H1130" i="1"/>
  <c r="B1131" i="1"/>
  <c r="E1131" i="1"/>
  <c r="G1131" i="1"/>
  <c r="H1131" i="1"/>
  <c r="B1132" i="1"/>
  <c r="E1132" i="1"/>
  <c r="G1132" i="1"/>
  <c r="H1132" i="1"/>
  <c r="B1133" i="1"/>
  <c r="E1133" i="1"/>
  <c r="G1133" i="1"/>
  <c r="H1133" i="1"/>
  <c r="B1134" i="1"/>
  <c r="E1134" i="1"/>
  <c r="G1134" i="1"/>
  <c r="H1134" i="1"/>
  <c r="B1135" i="1"/>
  <c r="E1135" i="1"/>
  <c r="G1135" i="1"/>
  <c r="H1135" i="1"/>
  <c r="B1136" i="1"/>
  <c r="E1136" i="1"/>
  <c r="G1136" i="1"/>
  <c r="H1136" i="1"/>
  <c r="B1137" i="1"/>
  <c r="E1137" i="1"/>
  <c r="G1137" i="1"/>
  <c r="H1137" i="1"/>
  <c r="B1138" i="1"/>
  <c r="E1138" i="1"/>
  <c r="G1138" i="1"/>
  <c r="H1138" i="1"/>
  <c r="B1139" i="1"/>
  <c r="E1139" i="1"/>
  <c r="G1139" i="1"/>
  <c r="H1139" i="1"/>
  <c r="B1140" i="1"/>
  <c r="E1140" i="1"/>
  <c r="G1140" i="1"/>
  <c r="H1140" i="1"/>
  <c r="B1141" i="1"/>
  <c r="E1141" i="1"/>
  <c r="G1141" i="1"/>
  <c r="H1141" i="1"/>
  <c r="B1142" i="1"/>
  <c r="E1142" i="1"/>
  <c r="G1142" i="1"/>
  <c r="H1142" i="1"/>
  <c r="B1143" i="1"/>
  <c r="E1143" i="1"/>
  <c r="G1143" i="1"/>
  <c r="H1143" i="1"/>
  <c r="B1144" i="1"/>
  <c r="E1144" i="1"/>
  <c r="G1144" i="1"/>
  <c r="H1144" i="1"/>
  <c r="B1145" i="1"/>
  <c r="E1145" i="1"/>
  <c r="G1145" i="1"/>
  <c r="H1145" i="1"/>
  <c r="B1146" i="1"/>
  <c r="E1146" i="1"/>
  <c r="G1146" i="1"/>
  <c r="H1146" i="1"/>
  <c r="B1147" i="1"/>
  <c r="E1147" i="1"/>
  <c r="G1147" i="1"/>
  <c r="H1147" i="1"/>
  <c r="B1148" i="1"/>
  <c r="E1148" i="1"/>
  <c r="G1148" i="1"/>
  <c r="H1148" i="1"/>
  <c r="B1149" i="1"/>
  <c r="E1149" i="1"/>
  <c r="G1149" i="1"/>
  <c r="H1149" i="1"/>
  <c r="B1150" i="1"/>
  <c r="E1150" i="1"/>
  <c r="G1150" i="1"/>
  <c r="H1150" i="1"/>
  <c r="B1151" i="1"/>
  <c r="E1151" i="1"/>
  <c r="G1151" i="1"/>
  <c r="H1151" i="1"/>
  <c r="B1152" i="1"/>
  <c r="E1152" i="1"/>
  <c r="G1152" i="1"/>
  <c r="H1152" i="1"/>
  <c r="B1153" i="1"/>
  <c r="E1153" i="1"/>
  <c r="G1153" i="1"/>
  <c r="H1153" i="1"/>
  <c r="B1154" i="1"/>
  <c r="E1154" i="1"/>
  <c r="G1154" i="1"/>
  <c r="H1154" i="1"/>
  <c r="B1155" i="1"/>
  <c r="E1155" i="1"/>
  <c r="G1155" i="1"/>
  <c r="H1155" i="1"/>
  <c r="B1156" i="1"/>
  <c r="E1156" i="1"/>
  <c r="G1156" i="1"/>
  <c r="H1156" i="1"/>
  <c r="B1157" i="1"/>
  <c r="E1157" i="1"/>
  <c r="G1157" i="1"/>
  <c r="H1157" i="1"/>
  <c r="B1158" i="1"/>
  <c r="E1158" i="1"/>
  <c r="G1158" i="1"/>
  <c r="H1158" i="1"/>
  <c r="B1159" i="1"/>
  <c r="E1159" i="1"/>
  <c r="G1159" i="1"/>
  <c r="H1159" i="1"/>
  <c r="B1160" i="1"/>
  <c r="E1160" i="1"/>
  <c r="G1160" i="1"/>
  <c r="H1160" i="1"/>
  <c r="B1161" i="1"/>
  <c r="E1161" i="1"/>
  <c r="G1161" i="1"/>
  <c r="H1161" i="1"/>
  <c r="B1162" i="1"/>
  <c r="E1162" i="1"/>
  <c r="G1162" i="1"/>
  <c r="H1162" i="1"/>
  <c r="B1163" i="1"/>
  <c r="E1163" i="1"/>
  <c r="G1163" i="1"/>
  <c r="H1163" i="1"/>
  <c r="B1164" i="1"/>
  <c r="E1164" i="1"/>
  <c r="G1164" i="1"/>
  <c r="H1164" i="1"/>
  <c r="B1165" i="1"/>
  <c r="E1165" i="1"/>
  <c r="G1165" i="1"/>
  <c r="H1165" i="1"/>
  <c r="B1166" i="1"/>
  <c r="E1166" i="1"/>
  <c r="G1166" i="1"/>
  <c r="H1166" i="1"/>
  <c r="B1167" i="1"/>
  <c r="E1167" i="1"/>
  <c r="G1167" i="1"/>
  <c r="H1167" i="1"/>
  <c r="B1168" i="1"/>
  <c r="E1168" i="1"/>
  <c r="G1168" i="1"/>
  <c r="H1168" i="1"/>
  <c r="B1169" i="1"/>
  <c r="E1169" i="1"/>
  <c r="G1169" i="1"/>
  <c r="H1169" i="1"/>
  <c r="B1170" i="1"/>
  <c r="E1170" i="1"/>
  <c r="G1170" i="1"/>
  <c r="H1170" i="1"/>
  <c r="B1171" i="1"/>
  <c r="E1171" i="1"/>
  <c r="G1171" i="1"/>
  <c r="H1171" i="1"/>
  <c r="B1172" i="1"/>
  <c r="E1172" i="1"/>
  <c r="G1172" i="1"/>
  <c r="H1172" i="1"/>
  <c r="B1173" i="1"/>
  <c r="E1173" i="1"/>
  <c r="G1173" i="1"/>
  <c r="H1173" i="1"/>
  <c r="B1174" i="1"/>
  <c r="E1174" i="1"/>
  <c r="G1174" i="1"/>
  <c r="H1174" i="1"/>
  <c r="B1175" i="1"/>
  <c r="E1175" i="1"/>
  <c r="G1175" i="1"/>
  <c r="H1175" i="1"/>
  <c r="B1176" i="1"/>
  <c r="E1176" i="1"/>
  <c r="G1176" i="1"/>
  <c r="H1176" i="1"/>
  <c r="B1177" i="1"/>
  <c r="E1177" i="1"/>
  <c r="G1177" i="1"/>
  <c r="H1177" i="1"/>
  <c r="B1178" i="1"/>
  <c r="E1178" i="1"/>
  <c r="G1178" i="1"/>
  <c r="H1178" i="1"/>
  <c r="B1179" i="1"/>
  <c r="E1179" i="1"/>
  <c r="G1179" i="1"/>
  <c r="H1179" i="1"/>
  <c r="B1180" i="1"/>
  <c r="E1180" i="1"/>
  <c r="G1180" i="1"/>
  <c r="H1180" i="1"/>
  <c r="B1181" i="1"/>
  <c r="E1181" i="1"/>
  <c r="G1181" i="1"/>
  <c r="H1181" i="1"/>
  <c r="B1182" i="1"/>
  <c r="E1182" i="1"/>
  <c r="G1182" i="1"/>
  <c r="H1182" i="1"/>
  <c r="B1183" i="1"/>
  <c r="E1183" i="1"/>
  <c r="G1183" i="1"/>
  <c r="H1183" i="1"/>
  <c r="B1184" i="1"/>
  <c r="E1184" i="1"/>
  <c r="G1184" i="1"/>
  <c r="H1184" i="1"/>
  <c r="B1185" i="1"/>
  <c r="E1185" i="1"/>
  <c r="G1185" i="1"/>
  <c r="H1185" i="1"/>
  <c r="B1186" i="1"/>
  <c r="E1186" i="1"/>
  <c r="G1186" i="1"/>
  <c r="H1186" i="1"/>
  <c r="B1187" i="1"/>
  <c r="E1187" i="1"/>
  <c r="G1187" i="1"/>
  <c r="H1187" i="1"/>
  <c r="B1188" i="1"/>
  <c r="E1188" i="1"/>
  <c r="G1188" i="1"/>
  <c r="H1188" i="1"/>
  <c r="B1189" i="1"/>
  <c r="E1189" i="1"/>
  <c r="G1189" i="1"/>
  <c r="H1189" i="1"/>
  <c r="B1190" i="1"/>
  <c r="E1190" i="1"/>
  <c r="G1190" i="1"/>
  <c r="H1190" i="1"/>
  <c r="B1191" i="1"/>
  <c r="E1191" i="1"/>
  <c r="G1191" i="1"/>
  <c r="H1191" i="1"/>
  <c r="B1192" i="1"/>
  <c r="E1192" i="1"/>
  <c r="G1192" i="1"/>
  <c r="H1192" i="1"/>
  <c r="B1193" i="1"/>
  <c r="E1193" i="1"/>
  <c r="G1193" i="1"/>
  <c r="H1193" i="1"/>
  <c r="B1194" i="1"/>
  <c r="E1194" i="1"/>
  <c r="G1194" i="1"/>
  <c r="H1194" i="1"/>
  <c r="B1195" i="1"/>
  <c r="E1195" i="1"/>
  <c r="G1195" i="1"/>
  <c r="H1195" i="1"/>
  <c r="B1196" i="1"/>
  <c r="E1196" i="1"/>
  <c r="G1196" i="1"/>
  <c r="H1196" i="1"/>
  <c r="B1197" i="1"/>
  <c r="E1197" i="1"/>
  <c r="G1197" i="1"/>
  <c r="H1197" i="1"/>
  <c r="B1198" i="1"/>
  <c r="E1198" i="1"/>
  <c r="G1198" i="1"/>
  <c r="H1198" i="1"/>
  <c r="B1199" i="1"/>
  <c r="E1199" i="1"/>
  <c r="G1199" i="1"/>
  <c r="H1199" i="1"/>
  <c r="B1200" i="1"/>
  <c r="E1200" i="1"/>
  <c r="G1200" i="1"/>
  <c r="H1200" i="1"/>
  <c r="B1201" i="1"/>
  <c r="E1201" i="1"/>
  <c r="G1201" i="1"/>
  <c r="H1201" i="1"/>
  <c r="B1202" i="1"/>
  <c r="E1202" i="1"/>
  <c r="G1202" i="1"/>
  <c r="H1202" i="1"/>
  <c r="B1203" i="1"/>
  <c r="E1203" i="1"/>
  <c r="G1203" i="1"/>
  <c r="H1203" i="1"/>
  <c r="B1204" i="1"/>
  <c r="E1204" i="1"/>
  <c r="G1204" i="1"/>
  <c r="H1204" i="1"/>
  <c r="B1205" i="1"/>
  <c r="E1205" i="1"/>
  <c r="G1205" i="1"/>
  <c r="H1205" i="1"/>
  <c r="B1206" i="1"/>
  <c r="E1206" i="1"/>
  <c r="G1206" i="1"/>
  <c r="H1206" i="1"/>
  <c r="B1207" i="1"/>
  <c r="E1207" i="1"/>
  <c r="G1207" i="1"/>
  <c r="H1207" i="1"/>
  <c r="B1208" i="1"/>
  <c r="E1208" i="1"/>
  <c r="G1208" i="1"/>
  <c r="H1208" i="1"/>
  <c r="B1209" i="1"/>
  <c r="E1209" i="1"/>
  <c r="G1209" i="1"/>
  <c r="H1209" i="1"/>
  <c r="B1210" i="1"/>
  <c r="E1210" i="1"/>
  <c r="G1210" i="1"/>
  <c r="H1210" i="1"/>
  <c r="B1211" i="1"/>
  <c r="E1211" i="1"/>
  <c r="G1211" i="1"/>
  <c r="H1211" i="1"/>
  <c r="B1212" i="1"/>
  <c r="E1212" i="1"/>
  <c r="G1212" i="1"/>
  <c r="H1212" i="1"/>
  <c r="B1213" i="1"/>
  <c r="E1213" i="1"/>
  <c r="G1213" i="1"/>
  <c r="H1213" i="1"/>
  <c r="B1214" i="1"/>
  <c r="E1214" i="1"/>
  <c r="G1214" i="1"/>
  <c r="H1214" i="1"/>
  <c r="B1215" i="1"/>
  <c r="E1215" i="1"/>
  <c r="G1215" i="1"/>
  <c r="H1215" i="1"/>
  <c r="B1216" i="1"/>
  <c r="E1216" i="1"/>
  <c r="G1216" i="1"/>
  <c r="H1216" i="1"/>
  <c r="B1217" i="1"/>
  <c r="E1217" i="1"/>
  <c r="G1217" i="1"/>
  <c r="H1217" i="1"/>
  <c r="B1218" i="1"/>
  <c r="E1218" i="1"/>
  <c r="G1218" i="1"/>
  <c r="H1218" i="1"/>
  <c r="B1219" i="1"/>
  <c r="E1219" i="1"/>
  <c r="G1219" i="1"/>
  <c r="H1219" i="1"/>
  <c r="B1220" i="1"/>
  <c r="E1220" i="1"/>
  <c r="G1220" i="1"/>
  <c r="H1220" i="1"/>
  <c r="B1221" i="1"/>
  <c r="E1221" i="1"/>
  <c r="G1221" i="1"/>
  <c r="H1221" i="1"/>
  <c r="B1222" i="1"/>
  <c r="E1222" i="1"/>
  <c r="G1222" i="1"/>
  <c r="H1222" i="1"/>
  <c r="B1223" i="1"/>
  <c r="E1223" i="1"/>
  <c r="G1223" i="1"/>
  <c r="H1223" i="1"/>
  <c r="B1224" i="1"/>
  <c r="E1224" i="1"/>
  <c r="G1224" i="1"/>
  <c r="H1224" i="1"/>
  <c r="B1225" i="1"/>
  <c r="E1225" i="1"/>
  <c r="G1225" i="1"/>
  <c r="H1225" i="1"/>
  <c r="B1226" i="1"/>
  <c r="E1226" i="1"/>
  <c r="G1226" i="1"/>
  <c r="H1226" i="1"/>
  <c r="B1227" i="1"/>
  <c r="E1227" i="1"/>
  <c r="G1227" i="1"/>
  <c r="H1227" i="1"/>
  <c r="B1228" i="1"/>
  <c r="E1228" i="1"/>
  <c r="G1228" i="1"/>
  <c r="H1228" i="1"/>
  <c r="B1229" i="1"/>
  <c r="E1229" i="1"/>
  <c r="G1229" i="1"/>
  <c r="H1229" i="1"/>
  <c r="B1230" i="1"/>
  <c r="E1230" i="1"/>
  <c r="G1230" i="1"/>
  <c r="H1230" i="1"/>
  <c r="B1231" i="1"/>
  <c r="E1231" i="1"/>
  <c r="G1231" i="1"/>
  <c r="H1231" i="1"/>
  <c r="B1232" i="1"/>
  <c r="E1232" i="1"/>
  <c r="G1232" i="1"/>
  <c r="H1232" i="1"/>
  <c r="B1233" i="1"/>
  <c r="E1233" i="1"/>
  <c r="G1233" i="1"/>
  <c r="H1233" i="1"/>
  <c r="B1234" i="1"/>
  <c r="E1234" i="1"/>
  <c r="G1234" i="1"/>
  <c r="H1234" i="1"/>
  <c r="B1235" i="1"/>
  <c r="E1235" i="1"/>
  <c r="G1235" i="1"/>
  <c r="H1235" i="1"/>
  <c r="B1236" i="1"/>
  <c r="E1236" i="1"/>
  <c r="G1236" i="1"/>
  <c r="H1236" i="1"/>
  <c r="B1237" i="1"/>
  <c r="E1237" i="1"/>
  <c r="G1237" i="1"/>
  <c r="H1237" i="1"/>
  <c r="B1238" i="1"/>
  <c r="E1238" i="1"/>
  <c r="G1238" i="1"/>
  <c r="H1238" i="1"/>
  <c r="B1239" i="1"/>
  <c r="E1239" i="1"/>
  <c r="G1239" i="1"/>
  <c r="H1239" i="1"/>
  <c r="B1240" i="1"/>
  <c r="E1240" i="1"/>
  <c r="G1240" i="1"/>
  <c r="H1240" i="1"/>
  <c r="B1241" i="1"/>
  <c r="E1241" i="1"/>
  <c r="G1241" i="1"/>
  <c r="H1241" i="1"/>
  <c r="B1242" i="1"/>
  <c r="E1242" i="1"/>
  <c r="G1242" i="1"/>
  <c r="H1242" i="1"/>
  <c r="B1243" i="1"/>
  <c r="E1243" i="1"/>
  <c r="G1243" i="1"/>
  <c r="H1243" i="1"/>
  <c r="B1244" i="1"/>
  <c r="E1244" i="1"/>
  <c r="G1244" i="1"/>
  <c r="H1244" i="1"/>
  <c r="B1245" i="1"/>
  <c r="E1245" i="1"/>
  <c r="G1245" i="1"/>
  <c r="H1245" i="1"/>
  <c r="B1246" i="1"/>
  <c r="E1246" i="1"/>
  <c r="G1246" i="1"/>
  <c r="H1246" i="1"/>
  <c r="B1247" i="1"/>
  <c r="E1247" i="1"/>
  <c r="G1247" i="1"/>
  <c r="H1247" i="1"/>
  <c r="B1248" i="1"/>
  <c r="E1248" i="1"/>
  <c r="G1248" i="1"/>
  <c r="H1248" i="1"/>
  <c r="B1249" i="1"/>
  <c r="E1249" i="1"/>
  <c r="G1249" i="1"/>
  <c r="H1249" i="1"/>
  <c r="B1250" i="1"/>
  <c r="E1250" i="1"/>
  <c r="G1250" i="1"/>
  <c r="H1250" i="1"/>
  <c r="B1251" i="1"/>
  <c r="E1251" i="1"/>
  <c r="G1251" i="1"/>
  <c r="H1251" i="1"/>
  <c r="B1252" i="1"/>
  <c r="E1252" i="1"/>
  <c r="G1252" i="1"/>
  <c r="H1252" i="1"/>
  <c r="B1253" i="1"/>
  <c r="E1253" i="1"/>
  <c r="G1253" i="1"/>
  <c r="H1253" i="1"/>
  <c r="B1254" i="1"/>
  <c r="E1254" i="1"/>
  <c r="G1254" i="1"/>
  <c r="H1254" i="1"/>
  <c r="B1255" i="1"/>
  <c r="E1255" i="1"/>
  <c r="G1255" i="1"/>
  <c r="H1255" i="1"/>
  <c r="B1256" i="1"/>
  <c r="E1256" i="1"/>
  <c r="G1256" i="1"/>
  <c r="H1256" i="1"/>
  <c r="B1257" i="1"/>
  <c r="E1257" i="1"/>
  <c r="G1257" i="1"/>
  <c r="H1257" i="1"/>
  <c r="B1258" i="1"/>
  <c r="E1258" i="1"/>
  <c r="G1258" i="1"/>
  <c r="H1258" i="1"/>
  <c r="B1259" i="1"/>
  <c r="E1259" i="1"/>
  <c r="G1259" i="1"/>
  <c r="H1259" i="1"/>
  <c r="B1260" i="1"/>
  <c r="E1260" i="1"/>
  <c r="G1260" i="1"/>
  <c r="H1260" i="1"/>
  <c r="B1261" i="1"/>
  <c r="E1261" i="1"/>
  <c r="G1261" i="1"/>
  <c r="H1261" i="1"/>
  <c r="B1262" i="1"/>
  <c r="E1262" i="1"/>
  <c r="G1262" i="1"/>
  <c r="H1262" i="1"/>
  <c r="B1263" i="1"/>
  <c r="E1263" i="1"/>
  <c r="G1263" i="1"/>
  <c r="H1263" i="1"/>
  <c r="B1264" i="1"/>
  <c r="E1264" i="1"/>
  <c r="G1264" i="1"/>
  <c r="H1264" i="1"/>
  <c r="B1265" i="1"/>
  <c r="E1265" i="1"/>
  <c r="G1265" i="1"/>
  <c r="H1265" i="1"/>
  <c r="B1266" i="1"/>
  <c r="E1266" i="1"/>
  <c r="G1266" i="1"/>
  <c r="H1266" i="1"/>
  <c r="B1267" i="1"/>
  <c r="E1267" i="1"/>
  <c r="G1267" i="1"/>
  <c r="H1267" i="1"/>
  <c r="B1268" i="1"/>
  <c r="E1268" i="1"/>
  <c r="G1268" i="1"/>
  <c r="H1268" i="1"/>
  <c r="B1269" i="1"/>
  <c r="E1269" i="1"/>
  <c r="G1269" i="1"/>
  <c r="H1269" i="1"/>
  <c r="B1270" i="1"/>
  <c r="E1270" i="1"/>
  <c r="G1270" i="1"/>
  <c r="H1270" i="1"/>
  <c r="B1271" i="1"/>
  <c r="E1271" i="1"/>
  <c r="G1271" i="1"/>
  <c r="H1271" i="1"/>
  <c r="B1272" i="1"/>
  <c r="E1272" i="1"/>
  <c r="G1272" i="1"/>
  <c r="H1272" i="1"/>
  <c r="B1273" i="1"/>
  <c r="E1273" i="1"/>
  <c r="G1273" i="1"/>
  <c r="H1273" i="1"/>
  <c r="B1274" i="1"/>
  <c r="E1274" i="1"/>
  <c r="G1274" i="1"/>
  <c r="H1274" i="1"/>
  <c r="B1275" i="1"/>
  <c r="E1275" i="1"/>
  <c r="G1275" i="1"/>
  <c r="H1275" i="1"/>
  <c r="B1276" i="1"/>
  <c r="E1276" i="1"/>
  <c r="G1276" i="1"/>
  <c r="H1276" i="1"/>
  <c r="B1277" i="1"/>
  <c r="E1277" i="1"/>
  <c r="G1277" i="1"/>
  <c r="H1277" i="1"/>
  <c r="B1278" i="1"/>
  <c r="E1278" i="1"/>
  <c r="G1278" i="1"/>
  <c r="H1278" i="1"/>
  <c r="B1279" i="1"/>
  <c r="E1279" i="1"/>
  <c r="G1279" i="1"/>
  <c r="H1279" i="1"/>
  <c r="B1280" i="1"/>
  <c r="E1280" i="1"/>
  <c r="G1280" i="1"/>
  <c r="H1280" i="1"/>
  <c r="B1281" i="1"/>
  <c r="E1281" i="1"/>
  <c r="G1281" i="1"/>
  <c r="H1281" i="1"/>
  <c r="B1282" i="1"/>
  <c r="E1282" i="1"/>
  <c r="G1282" i="1"/>
  <c r="H1282" i="1"/>
  <c r="B1283" i="1"/>
  <c r="E1283" i="1"/>
  <c r="G1283" i="1"/>
  <c r="H1283" i="1"/>
  <c r="B1284" i="1"/>
  <c r="E1284" i="1"/>
  <c r="G1284" i="1"/>
  <c r="H1284" i="1"/>
  <c r="B1285" i="1"/>
  <c r="E1285" i="1"/>
  <c r="G1285" i="1"/>
  <c r="H1285" i="1"/>
  <c r="B1286" i="1"/>
  <c r="E1286" i="1"/>
  <c r="G1286" i="1"/>
  <c r="H1286" i="1"/>
  <c r="B1287" i="1"/>
  <c r="E1287" i="1"/>
  <c r="G1287" i="1"/>
  <c r="H1287" i="1"/>
  <c r="B1288" i="1"/>
  <c r="E1288" i="1"/>
  <c r="G1288" i="1"/>
  <c r="H1288" i="1"/>
  <c r="B1289" i="1"/>
  <c r="E1289" i="1"/>
  <c r="G1289" i="1"/>
  <c r="H1289" i="1"/>
  <c r="B1290" i="1"/>
  <c r="E1290" i="1"/>
  <c r="G1290" i="1"/>
  <c r="H1290" i="1"/>
  <c r="B1291" i="1"/>
  <c r="E1291" i="1"/>
  <c r="G1291" i="1"/>
  <c r="H1291" i="1"/>
  <c r="B1292" i="1"/>
  <c r="E1292" i="1"/>
  <c r="G1292" i="1"/>
  <c r="H1292" i="1"/>
  <c r="B1293" i="1"/>
  <c r="E1293" i="1"/>
  <c r="G1293" i="1"/>
  <c r="H1293" i="1"/>
  <c r="B1294" i="1"/>
  <c r="E1294" i="1"/>
  <c r="G1294" i="1"/>
  <c r="H1294" i="1"/>
  <c r="B1295" i="1"/>
  <c r="E1295" i="1"/>
  <c r="G1295" i="1"/>
  <c r="H1295" i="1"/>
  <c r="B1296" i="1"/>
  <c r="E1296" i="1"/>
  <c r="G1296" i="1"/>
  <c r="H1296" i="1"/>
  <c r="B1297" i="1"/>
  <c r="E1297" i="1"/>
  <c r="G1297" i="1"/>
  <c r="H1297" i="1"/>
  <c r="B1298" i="1"/>
  <c r="E1298" i="1"/>
  <c r="G1298" i="1"/>
  <c r="H1298" i="1"/>
  <c r="B1299" i="1"/>
  <c r="E1299" i="1"/>
  <c r="G1299" i="1"/>
  <c r="H1299" i="1"/>
  <c r="B1300" i="1"/>
  <c r="E1300" i="1"/>
  <c r="G1300" i="1"/>
  <c r="H1300" i="1"/>
  <c r="B1301" i="1"/>
  <c r="E1301" i="1"/>
  <c r="G1301" i="1"/>
  <c r="H1301" i="1"/>
  <c r="B1302" i="1"/>
  <c r="E1302" i="1"/>
  <c r="G1302" i="1"/>
  <c r="H1302" i="1"/>
  <c r="B1303" i="1"/>
  <c r="E1303" i="1"/>
  <c r="G1303" i="1"/>
  <c r="H1303" i="1"/>
  <c r="B1304" i="1"/>
  <c r="E1304" i="1"/>
  <c r="G1304" i="1"/>
  <c r="H1304" i="1"/>
  <c r="B1305" i="1"/>
  <c r="E1305" i="1"/>
  <c r="G1305" i="1"/>
  <c r="H1305" i="1"/>
  <c r="B1306" i="1"/>
  <c r="E1306" i="1"/>
  <c r="G1306" i="1"/>
  <c r="H1306" i="1"/>
  <c r="B1307" i="1"/>
  <c r="E1307" i="1"/>
  <c r="G1307" i="1"/>
  <c r="H1307" i="1"/>
  <c r="B1308" i="1"/>
  <c r="E1308" i="1"/>
  <c r="G1308" i="1"/>
  <c r="H1308" i="1"/>
  <c r="B1309" i="1"/>
  <c r="E1309" i="1"/>
  <c r="G1309" i="1"/>
  <c r="H1309" i="1"/>
  <c r="B1310" i="1"/>
  <c r="E1310" i="1"/>
  <c r="G1310" i="1"/>
  <c r="H1310" i="1"/>
  <c r="B1311" i="1"/>
  <c r="E1311" i="1"/>
  <c r="G1311" i="1"/>
  <c r="H1311" i="1"/>
  <c r="B1312" i="1"/>
  <c r="E1312" i="1"/>
  <c r="G1312" i="1"/>
  <c r="H1312" i="1"/>
  <c r="B1313" i="1"/>
  <c r="E1313" i="1"/>
  <c r="G1313" i="1"/>
  <c r="H1313" i="1"/>
  <c r="B1314" i="1"/>
  <c r="E1314" i="1"/>
  <c r="G1314" i="1"/>
  <c r="H1314" i="1"/>
  <c r="B1315" i="1"/>
  <c r="E1315" i="1"/>
  <c r="G1315" i="1"/>
  <c r="H1315" i="1"/>
  <c r="B1316" i="1"/>
  <c r="E1316" i="1"/>
  <c r="G1316" i="1"/>
  <c r="H1316" i="1"/>
  <c r="B1317" i="1"/>
  <c r="E1317" i="1"/>
  <c r="G1317" i="1"/>
  <c r="H1317" i="1"/>
  <c r="B1318" i="1"/>
  <c r="E1318" i="1"/>
  <c r="G1318" i="1"/>
  <c r="H1318" i="1"/>
  <c r="B1319" i="1"/>
  <c r="E1319" i="1"/>
  <c r="G1319" i="1"/>
  <c r="H1319" i="1"/>
  <c r="B1320" i="1"/>
  <c r="E1320" i="1"/>
  <c r="G1320" i="1"/>
  <c r="H1320" i="1"/>
  <c r="B1321" i="1"/>
  <c r="E1321" i="1"/>
  <c r="G1321" i="1"/>
  <c r="H1321" i="1"/>
  <c r="B1322" i="1"/>
  <c r="E1322" i="1"/>
  <c r="G1322" i="1"/>
  <c r="H1322" i="1"/>
  <c r="B1323" i="1"/>
  <c r="E1323" i="1"/>
  <c r="G1323" i="1"/>
  <c r="H1323" i="1"/>
  <c r="B1324" i="1"/>
  <c r="E1324" i="1"/>
  <c r="G1324" i="1"/>
  <c r="H1324" i="1"/>
  <c r="B1325" i="1"/>
  <c r="E1325" i="1"/>
  <c r="G1325" i="1"/>
  <c r="H1325" i="1"/>
  <c r="B1326" i="1"/>
  <c r="E1326" i="1"/>
  <c r="G1326" i="1"/>
  <c r="H1326" i="1"/>
  <c r="B1327" i="1"/>
  <c r="E1327" i="1"/>
  <c r="G1327" i="1"/>
  <c r="H1327" i="1"/>
  <c r="B1328" i="1"/>
  <c r="E1328" i="1"/>
  <c r="G1328" i="1"/>
  <c r="H1328" i="1"/>
  <c r="B1329" i="1"/>
  <c r="E1329" i="1"/>
  <c r="G1329" i="1"/>
  <c r="H1329" i="1"/>
  <c r="B1330" i="1"/>
  <c r="E1330" i="1"/>
  <c r="G1330" i="1"/>
  <c r="H1330" i="1"/>
  <c r="B1331" i="1"/>
  <c r="E1331" i="1"/>
  <c r="G1331" i="1"/>
  <c r="H1331" i="1"/>
  <c r="B1332" i="1"/>
  <c r="E1332" i="1"/>
  <c r="G1332" i="1"/>
  <c r="H1332" i="1"/>
  <c r="B1333" i="1"/>
  <c r="E1333" i="1"/>
  <c r="G1333" i="1"/>
  <c r="H1333" i="1"/>
  <c r="B1334" i="1"/>
  <c r="E1334" i="1"/>
  <c r="G1334" i="1"/>
  <c r="H1334" i="1"/>
  <c r="B1335" i="1"/>
  <c r="E1335" i="1"/>
  <c r="G1335" i="1"/>
  <c r="H1335" i="1"/>
  <c r="B1336" i="1"/>
  <c r="E1336" i="1"/>
  <c r="G1336" i="1"/>
  <c r="H1336" i="1"/>
  <c r="B1337" i="1"/>
  <c r="E1337" i="1"/>
  <c r="G1337" i="1"/>
  <c r="H1337" i="1"/>
  <c r="B1338" i="1"/>
  <c r="E1338" i="1"/>
  <c r="G1338" i="1"/>
  <c r="H1338" i="1"/>
  <c r="B1339" i="1"/>
  <c r="E1339" i="1"/>
  <c r="G1339" i="1"/>
  <c r="H1339" i="1"/>
  <c r="B1340" i="1"/>
  <c r="E1340" i="1"/>
  <c r="G1340" i="1"/>
  <c r="H1340" i="1"/>
  <c r="B1341" i="1"/>
  <c r="E1341" i="1"/>
  <c r="G1341" i="1"/>
  <c r="H1341" i="1"/>
  <c r="B1342" i="1"/>
  <c r="E1342" i="1"/>
  <c r="G1342" i="1"/>
  <c r="H1342" i="1"/>
  <c r="B1343" i="1"/>
  <c r="E1343" i="1"/>
  <c r="G1343" i="1"/>
  <c r="H1343" i="1"/>
  <c r="B1344" i="1"/>
  <c r="E1344" i="1"/>
  <c r="G1344" i="1"/>
  <c r="H1344" i="1"/>
  <c r="B1345" i="1"/>
  <c r="E1345" i="1"/>
  <c r="G1345" i="1"/>
  <c r="H1345" i="1"/>
  <c r="B1346" i="1"/>
  <c r="E1346" i="1"/>
  <c r="G1346" i="1"/>
  <c r="H1346" i="1"/>
  <c r="B1347" i="1"/>
  <c r="E1347" i="1"/>
  <c r="G1347" i="1"/>
  <c r="H1347" i="1"/>
  <c r="B1348" i="1"/>
  <c r="E1348" i="1"/>
  <c r="G1348" i="1"/>
  <c r="H1348" i="1"/>
  <c r="B1349" i="1"/>
  <c r="E1349" i="1"/>
  <c r="G1349" i="1"/>
  <c r="H1349" i="1"/>
  <c r="B1350" i="1"/>
  <c r="E1350" i="1"/>
  <c r="G1350" i="1"/>
  <c r="H1350" i="1"/>
  <c r="B1351" i="1"/>
  <c r="E1351" i="1"/>
  <c r="G1351" i="1"/>
  <c r="H1351" i="1"/>
  <c r="B1352" i="1"/>
  <c r="E1352" i="1"/>
  <c r="G1352" i="1"/>
  <c r="H1352" i="1"/>
  <c r="B1353" i="1"/>
  <c r="E1353" i="1"/>
  <c r="G1353" i="1"/>
  <c r="H1353" i="1"/>
  <c r="B1354" i="1"/>
  <c r="E1354" i="1"/>
  <c r="G1354" i="1"/>
  <c r="H1354" i="1"/>
  <c r="B1355" i="1"/>
  <c r="E1355" i="1"/>
  <c r="G1355" i="1"/>
  <c r="H1355" i="1"/>
  <c r="B1356" i="1"/>
  <c r="E1356" i="1"/>
  <c r="G1356" i="1"/>
  <c r="H1356" i="1"/>
  <c r="B1357" i="1"/>
  <c r="E1357" i="1"/>
  <c r="G1357" i="1"/>
  <c r="H1357" i="1"/>
  <c r="B1358" i="1"/>
  <c r="E1358" i="1"/>
  <c r="G1358" i="1"/>
  <c r="H1358" i="1"/>
  <c r="B1359" i="1"/>
  <c r="E1359" i="1"/>
  <c r="G1359" i="1"/>
  <c r="H1359" i="1"/>
  <c r="B1360" i="1"/>
  <c r="E1360" i="1"/>
  <c r="G1360" i="1"/>
  <c r="H1360" i="1"/>
  <c r="B1361" i="1"/>
  <c r="E1361" i="1"/>
  <c r="G1361" i="1"/>
  <c r="H1361" i="1"/>
  <c r="B1362" i="1"/>
  <c r="E1362" i="1"/>
  <c r="G1362" i="1"/>
  <c r="H1362" i="1"/>
  <c r="B1363" i="1"/>
  <c r="E1363" i="1"/>
  <c r="G1363" i="1"/>
  <c r="H1363" i="1"/>
  <c r="B1364" i="1"/>
  <c r="E1364" i="1"/>
  <c r="G1364" i="1"/>
  <c r="H1364" i="1"/>
  <c r="B1365" i="1"/>
  <c r="E1365" i="1"/>
  <c r="G1365" i="1"/>
  <c r="H1365" i="1"/>
  <c r="B1366" i="1"/>
  <c r="E1366" i="1"/>
  <c r="G1366" i="1"/>
  <c r="H1366" i="1"/>
  <c r="B1367" i="1"/>
  <c r="E1367" i="1"/>
  <c r="G1367" i="1"/>
  <c r="H1367" i="1"/>
  <c r="B1368" i="1"/>
  <c r="E1368" i="1"/>
  <c r="G1368" i="1"/>
  <c r="H1368" i="1"/>
  <c r="B1369" i="1"/>
  <c r="E1369" i="1"/>
  <c r="G1369" i="1"/>
  <c r="H1369" i="1"/>
  <c r="B1370" i="1"/>
  <c r="E1370" i="1"/>
  <c r="G1370" i="1"/>
  <c r="H1370" i="1"/>
  <c r="B1371" i="1"/>
  <c r="E1371" i="1"/>
  <c r="G1371" i="1"/>
  <c r="H1371" i="1"/>
  <c r="B1372" i="1"/>
  <c r="E1372" i="1"/>
  <c r="G1372" i="1"/>
  <c r="H1372" i="1"/>
  <c r="B1373" i="1"/>
  <c r="E1373" i="1"/>
  <c r="G1373" i="1"/>
  <c r="H1373" i="1"/>
  <c r="B1374" i="1"/>
  <c r="E1374" i="1"/>
  <c r="G1374" i="1"/>
  <c r="H1374" i="1"/>
  <c r="B1375" i="1"/>
  <c r="E1375" i="1"/>
  <c r="G1375" i="1"/>
  <c r="H1375" i="1"/>
  <c r="B1376" i="1"/>
  <c r="E1376" i="1"/>
  <c r="G1376" i="1"/>
  <c r="H1376" i="1"/>
  <c r="B1377" i="1"/>
  <c r="E1377" i="1"/>
  <c r="G1377" i="1"/>
  <c r="H1377" i="1"/>
  <c r="B1378" i="1"/>
  <c r="E1378" i="1"/>
  <c r="G1378" i="1"/>
  <c r="H1378" i="1"/>
  <c r="B1379" i="1"/>
  <c r="E1379" i="1"/>
  <c r="G1379" i="1"/>
  <c r="H1379" i="1"/>
  <c r="B1380" i="1"/>
  <c r="E1380" i="1"/>
  <c r="G1380" i="1"/>
  <c r="H1380" i="1"/>
  <c r="B1381" i="1"/>
  <c r="E1381" i="1"/>
  <c r="G1381" i="1"/>
  <c r="H1381" i="1"/>
  <c r="B1382" i="1"/>
  <c r="E1382" i="1"/>
  <c r="G1382" i="1"/>
  <c r="H1382" i="1"/>
  <c r="B1383" i="1"/>
  <c r="E1383" i="1"/>
  <c r="G1383" i="1"/>
  <c r="H1383" i="1"/>
  <c r="B1384" i="1"/>
  <c r="E1384" i="1"/>
  <c r="G1384" i="1"/>
  <c r="H1384" i="1"/>
  <c r="B1385" i="1"/>
  <c r="E1385" i="1"/>
  <c r="G1385" i="1"/>
  <c r="H1385" i="1"/>
  <c r="B1386" i="1"/>
  <c r="E1386" i="1"/>
  <c r="G1386" i="1"/>
  <c r="H1386" i="1"/>
  <c r="B1387" i="1"/>
  <c r="E1387" i="1"/>
  <c r="G1387" i="1"/>
  <c r="H1387" i="1"/>
  <c r="B1388" i="1"/>
  <c r="E1388" i="1"/>
  <c r="G1388" i="1"/>
  <c r="H1388" i="1"/>
  <c r="B1389" i="1"/>
  <c r="E1389" i="1"/>
  <c r="G1389" i="1"/>
  <c r="H1389" i="1"/>
  <c r="B1390" i="1"/>
  <c r="E1390" i="1"/>
  <c r="G1390" i="1"/>
  <c r="H1390" i="1"/>
  <c r="B1391" i="1"/>
  <c r="E1391" i="1"/>
  <c r="G1391" i="1"/>
  <c r="H1391" i="1"/>
  <c r="B1392" i="1"/>
  <c r="E1392" i="1"/>
  <c r="G1392" i="1"/>
  <c r="H1392" i="1"/>
</calcChain>
</file>

<file path=xl/sharedStrings.xml><?xml version="1.0" encoding="utf-8"?>
<sst xmlns="http://schemas.openxmlformats.org/spreadsheetml/2006/main" count="4195" uniqueCount="486">
  <si>
    <t>Wisconsin Department of Revenue</t>
  </si>
  <si>
    <t>2022 Statement of Changes in Tax Incremental Districts (TIDs) Value</t>
  </si>
  <si>
    <t>CUR YR</t>
  </si>
  <si>
    <t xml:space="preserve"> CNTY</t>
  </si>
  <si>
    <t xml:space="preserve"> CNTY NAME</t>
  </si>
  <si>
    <t xml:space="preserve"> MUNI TYPE</t>
  </si>
  <si>
    <t xml:space="preserve"> MUNI</t>
  </si>
  <si>
    <t xml:space="preserve"> MUNI NAME</t>
  </si>
  <si>
    <t xml:space="preserve"> TID #</t>
  </si>
  <si>
    <t xml:space="preserve"> SCHOOL DISTRICT</t>
  </si>
  <si>
    <t xml:space="preserve"> NON-MFG ASSD</t>
  </si>
  <si>
    <t xml:space="preserve"> NON-MFG RATIO</t>
  </si>
  <si>
    <t xml:space="preserve"> NON-MFG DOR FV</t>
  </si>
  <si>
    <t xml:space="preserve"> NON-MFG RE/PP AMENDED FV</t>
  </si>
  <si>
    <t xml:space="preserve"> NON-MFG FINAL FV</t>
  </si>
  <si>
    <t xml:space="preserve"> MFG RE DOR FV</t>
  </si>
  <si>
    <t xml:space="preserve"> MFG RE FINAL FV</t>
  </si>
  <si>
    <t xml:space="preserve"> MFG PP DOR FV</t>
  </si>
  <si>
    <t xml:space="preserve"> MFG PP FINAL FV</t>
  </si>
  <si>
    <t xml:space="preserve"> PY NON-MFG FINAL FV</t>
  </si>
  <si>
    <t xml:space="preserve"> PY MFG RE FINAL FV</t>
  </si>
  <si>
    <t xml:space="preserve"> PY MFG PP FINAL FV</t>
  </si>
  <si>
    <t xml:space="preserve"> FROZEN OVERLAP VAL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</si>
  <si>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</si>
  <si>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</si>
  <si>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</si>
  <si>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</si>
  <si>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PREV YR VAL</t>
  </si>
  <si>
    <t xml:space="preserve"> DOLLAR CHANGE</t>
  </si>
  <si>
    <t xml:space="preserve"> PERCENT CHG</t>
  </si>
  <si>
    <t xml:space="preserve">Adams                         </t>
  </si>
  <si>
    <t xml:space="preserve">Town    </t>
  </si>
  <si>
    <t xml:space="preserve">Rome                          </t>
  </si>
  <si>
    <t xml:space="preserve">Village </t>
  </si>
  <si>
    <t xml:space="preserve">Friendship                    </t>
  </si>
  <si>
    <t xml:space="preserve">City    </t>
  </si>
  <si>
    <t xml:space="preserve">Wisconsin Dells               </t>
  </si>
  <si>
    <t xml:space="preserve">Ashland                       </t>
  </si>
  <si>
    <t xml:space="preserve">Barron                        </t>
  </si>
  <si>
    <t xml:space="preserve">Cameron                       </t>
  </si>
  <si>
    <t xml:space="preserve">Dallas                        </t>
  </si>
  <si>
    <t xml:space="preserve">Prairie Farm                  </t>
  </si>
  <si>
    <t xml:space="preserve">Turtle Lake                   </t>
  </si>
  <si>
    <t xml:space="preserve">Chetek                        </t>
  </si>
  <si>
    <t xml:space="preserve">Cumberland                    </t>
  </si>
  <si>
    <t xml:space="preserve">Rice Lake                     </t>
  </si>
  <si>
    <t xml:space="preserve">Bayfield                      </t>
  </si>
  <si>
    <t xml:space="preserve">Mason                         </t>
  </si>
  <si>
    <t xml:space="preserve">Washburn                      </t>
  </si>
  <si>
    <t xml:space="preserve">Brown                         </t>
  </si>
  <si>
    <t xml:space="preserve">Lawrence                      </t>
  </si>
  <si>
    <t xml:space="preserve">Ledgeview  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</si>
  <si>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</si>
  <si>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</si>
  <si>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</si>
  <si>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Denmark 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</si>
  <si>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</si>
  <si>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</si>
  <si>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</si>
  <si>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</si>
  <si>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Wrightstown                   </t>
  </si>
  <si>
    <t xml:space="preserve">De Pere                       </t>
  </si>
  <si>
    <t xml:space="preserve">Green Bay                     </t>
  </si>
  <si>
    <t xml:space="preserve">Buffalo                       </t>
  </si>
  <si>
    <t xml:space="preserve">Cochrane                      </t>
  </si>
  <si>
    <t xml:space="preserve">Alma                          </t>
  </si>
  <si>
    <t xml:space="preserve">Mondovi                       </t>
  </si>
  <si>
    <t xml:space="preserve">Burnett                       </t>
  </si>
  <si>
    <t xml:space="preserve">Grantsburg                    </t>
  </si>
  <si>
    <t xml:space="preserve">Siren                         </t>
  </si>
  <si>
    <t xml:space="preserve">Webster                       </t>
  </si>
  <si>
    <t xml:space="preserve">Calumet                       </t>
  </si>
  <si>
    <t xml:space="preserve">Harrison                      </t>
  </si>
  <si>
    <t xml:space="preserve">Hilbert                       </t>
  </si>
  <si>
    <t xml:space="preserve">Sherwood                      </t>
  </si>
  <si>
    <t xml:space="preserve">Appleton                      </t>
  </si>
  <si>
    <t xml:space="preserve">Brillion                      </t>
  </si>
  <si>
    <t xml:space="preserve">Chilton                       </t>
  </si>
  <si>
    <t xml:space="preserve">Kiel                          </t>
  </si>
  <si>
    <t xml:space="preserve">Menasha                       </t>
  </si>
  <si>
    <t xml:space="preserve">New Holstein                  </t>
  </si>
  <si>
    <t xml:space="preserve">Chippewa                      </t>
  </si>
  <si>
    <t xml:space="preserve">Cadott                        </t>
  </si>
  <si>
    <t xml:space="preserve">Lake Hallie                   </t>
  </si>
  <si>
    <t xml:space="preserve">New Auburn                    </t>
  </si>
  <si>
    <t xml:space="preserve">Bloomer                       </t>
  </si>
  <si>
    <t xml:space="preserve">Chippewa Falls                </t>
  </si>
  <si>
    <t xml:space="preserve">Eau Claire                    </t>
  </si>
  <si>
    <t xml:space="preserve">Stanley                       </t>
  </si>
  <si>
    <t xml:space="preserve">Clark                         </t>
  </si>
  <si>
    <t xml:space="preserve">Dorchester                    </t>
  </si>
  <si>
    <t xml:space="preserve">Granton                       </t>
  </si>
  <si>
    <t xml:space="preserve">Unity                         </t>
  </si>
  <si>
    <t xml:space="preserve">Withee                        </t>
  </si>
  <si>
    <t xml:space="preserve">Abbotsford                    </t>
  </si>
  <si>
    <t xml:space="preserve">Greenwood                     </t>
  </si>
  <si>
    <t xml:space="preserve">Neillsville                   </t>
  </si>
  <si>
    <t xml:space="preserve">Owen                          </t>
  </si>
  <si>
    <t xml:space="preserve">Columbia                      </t>
  </si>
  <si>
    <t xml:space="preserve">Arlington                     </t>
  </si>
  <si>
    <t xml:space="preserve">Fall River                    </t>
  </si>
  <si>
    <t xml:space="preserve">Pardeeville                   </t>
  </si>
  <si>
    <t xml:space="preserve">Rio                           </t>
  </si>
  <si>
    <t xml:space="preserve">Columbus                      </t>
  </si>
  <si>
    <t xml:space="preserve">Lodi                          </t>
  </si>
  <si>
    <t xml:space="preserve">Portage                       </t>
  </si>
  <si>
    <t xml:space="preserve">Crawford   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</si>
  <si>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</si>
  <si>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</si>
  <si>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</si>
  <si>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Prairie Du Chien              </t>
  </si>
  <si>
    <t xml:space="preserve">Dane                          </t>
  </si>
  <si>
    <t xml:space="preserve">Madison                       </t>
  </si>
  <si>
    <t xml:space="preserve">Springfield                   </t>
  </si>
  <si>
    <t xml:space="preserve">Belleville                    </t>
  </si>
  <si>
    <t xml:space="preserve">Black Earth                   </t>
  </si>
  <si>
    <t xml:space="preserve">Brooklyn                      </t>
  </si>
  <si>
    <t xml:space="preserve">Cambridge                     </t>
  </si>
  <si>
    <t xml:space="preserve">Cottage Grove                 </t>
  </si>
  <si>
    <t xml:space="preserve">Cross Plains                  </t>
  </si>
  <si>
    <t xml:space="preserve">Deerfield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</si>
  <si>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</si>
  <si>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</si>
  <si>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</si>
  <si>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Mazomanie                     </t>
  </si>
  <si>
    <t xml:space="preserve">Mcfarland                     </t>
  </si>
  <si>
    <t xml:space="preserve">Mount Horeb                   </t>
  </si>
  <si>
    <t xml:space="preserve">Oregon  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</si>
  <si>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</si>
  <si>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</si>
  <si>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</si>
  <si>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Fitchburg                     </t>
  </si>
  <si>
    <t xml:space="preserve">Middleton                     </t>
  </si>
  <si>
    <t xml:space="preserve">Monona                        </t>
  </si>
  <si>
    <t xml:space="preserve">Stoughton                     </t>
  </si>
  <si>
    <t xml:space="preserve">Sun Prairie                   </t>
  </si>
  <si>
    <t xml:space="preserve">Verona                        </t>
  </si>
  <si>
    <t xml:space="preserve">Dodge                         </t>
  </si>
  <si>
    <t xml:space="preserve">Hustisford                    </t>
  </si>
  <si>
    <t xml:space="preserve">Lomira                        </t>
  </si>
  <si>
    <t xml:space="preserve">Reeseville                    </t>
  </si>
  <si>
    <t xml:space="preserve">Beaver Dam                    </t>
  </si>
  <si>
    <t xml:space="preserve">Fox Lake  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</si>
  <si>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</si>
  <si>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</si>
  <si>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</si>
  <si>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Mayville                      </t>
  </si>
  <si>
    <t xml:space="preserve">Waupun                        </t>
  </si>
  <si>
    <t xml:space="preserve">Door                          </t>
  </si>
  <si>
    <t xml:space="preserve">Sister Bay                    </t>
  </si>
  <si>
    <t xml:space="preserve">Sturgeon Bay                  </t>
  </si>
  <si>
    <t xml:space="preserve">Douglas                       </t>
  </si>
  <si>
    <t xml:space="preserve">Solon Springs                 </t>
  </si>
  <si>
    <t xml:space="preserve">Superior                      </t>
  </si>
  <si>
    <t xml:space="preserve">Dunn                          </t>
  </si>
  <si>
    <t xml:space="preserve">Boyceville                    </t>
  </si>
  <si>
    <t xml:space="preserve">Colfax                        </t>
  </si>
  <si>
    <t xml:space="preserve">Elk Mound                     </t>
  </si>
  <si>
    <t xml:space="preserve">Knapp                         </t>
  </si>
  <si>
    <t xml:space="preserve">Ridgeland                     </t>
  </si>
  <si>
    <t xml:space="preserve">Menomonie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</si>
  <si>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</si>
  <si>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</si>
  <si>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</si>
  <si>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Florence                      </t>
  </si>
  <si>
    <t xml:space="preserve">Fond Du Lac                   </t>
  </si>
  <si>
    <t xml:space="preserve">Campbellsport                 </t>
  </si>
  <si>
    <t xml:space="preserve">Fairwater                     </t>
  </si>
  <si>
    <t xml:space="preserve">North Fond Du Lac             </t>
  </si>
  <si>
    <t xml:space="preserve">Oakfield                      </t>
  </si>
  <si>
    <t xml:space="preserve">Rosendale                     </t>
  </si>
  <si>
    <t xml:space="preserve">Ripon                         </t>
  </si>
  <si>
    <t xml:space="preserve">Forest                        </t>
  </si>
  <si>
    <t xml:space="preserve">Crandon                       </t>
  </si>
  <si>
    <t xml:space="preserve">Grant                         </t>
  </si>
  <si>
    <t xml:space="preserve">Dickeyville                   </t>
  </si>
  <si>
    <t xml:space="preserve">Montfort                      </t>
  </si>
  <si>
    <t xml:space="preserve">Muscoda                       </t>
  </si>
  <si>
    <t xml:space="preserve">Potosi                        </t>
  </si>
  <si>
    <t xml:space="preserve">Boscobel                      </t>
  </si>
  <si>
    <t xml:space="preserve">Cuba City                     </t>
  </si>
  <si>
    <t xml:space="preserve">Fennimore                     </t>
  </si>
  <si>
    <t xml:space="preserve">Lancaster                     </t>
  </si>
  <si>
    <t xml:space="preserve">Platteville                   </t>
  </si>
  <si>
    <t xml:space="preserve">Green                         </t>
  </si>
  <si>
    <t xml:space="preserve">New Glarus                    </t>
  </si>
  <si>
    <t xml:space="preserve">Brodhead                      </t>
  </si>
  <si>
    <t xml:space="preserve">Monroe                        </t>
  </si>
  <si>
    <t xml:space="preserve">Green Lake                    </t>
  </si>
  <si>
    <t xml:space="preserve">Berlin                        </t>
  </si>
  <si>
    <t xml:space="preserve">Markesan                      </t>
  </si>
  <si>
    <t xml:space="preserve">Princeton                     </t>
  </si>
  <si>
    <t xml:space="preserve">Iowa                          </t>
  </si>
  <si>
    <t xml:space="preserve">Arena                         </t>
  </si>
  <si>
    <t xml:space="preserve">Barneveld                     </t>
  </si>
  <si>
    <t xml:space="preserve">Highland                      </t>
  </si>
  <si>
    <t xml:space="preserve">Ridgeway                      </t>
  </si>
  <si>
    <t xml:space="preserve">Dodgeville                    </t>
  </si>
  <si>
    <t xml:space="preserve">Jackson                       </t>
  </si>
  <si>
    <t xml:space="preserve">Hixton     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</si>
  <si>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</si>
  <si>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</si>
  <si>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</si>
  <si>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Jefferson                     </t>
  </si>
  <si>
    <t xml:space="preserve">Johnson Creek                 </t>
  </si>
  <si>
    <t xml:space="preserve">Palmyra                       </t>
  </si>
  <si>
    <t xml:space="preserve">Fort Atkinson                 </t>
  </si>
  <si>
    <t xml:space="preserve">Lake Mills                    </t>
  </si>
  <si>
    <t xml:space="preserve">Waterloo                      </t>
  </si>
  <si>
    <t xml:space="preserve">Watertown                     </t>
  </si>
  <si>
    <t xml:space="preserve">Whitewater                    </t>
  </si>
  <si>
    <t xml:space="preserve">Necedah                       </t>
  </si>
  <si>
    <t xml:space="preserve">Elroy                         </t>
  </si>
  <si>
    <t xml:space="preserve">New Lisbon                    </t>
  </si>
  <si>
    <t xml:space="preserve">Kenosha                       </t>
  </si>
  <si>
    <t xml:space="preserve">Bristol                       </t>
  </si>
  <si>
    <t xml:space="preserve">Paddock Lake                  </t>
  </si>
  <si>
    <t xml:space="preserve">Pleasant Prairie              </t>
  </si>
  <si>
    <t xml:space="preserve">Salem Lakes                   </t>
  </si>
  <si>
    <t xml:space="preserve">Somers                        </t>
  </si>
  <si>
    <t xml:space="preserve">Twin Lakes                    </t>
  </si>
  <si>
    <t xml:space="preserve">Kewaunee                      </t>
  </si>
  <si>
    <t xml:space="preserve">Luxemburg                     </t>
  </si>
  <si>
    <t xml:space="preserve">Algoma                        </t>
  </si>
  <si>
    <t xml:space="preserve">La Crosse                     </t>
  </si>
  <si>
    <t xml:space="preserve">Bangor                        </t>
  </si>
  <si>
    <t xml:space="preserve">Holmen                        </t>
  </si>
  <si>
    <t xml:space="preserve">Rockland                      </t>
  </si>
  <si>
    <t xml:space="preserve">West Salem                    </t>
  </si>
  <si>
    <t xml:space="preserve">Onalaska                      </t>
  </si>
  <si>
    <t xml:space="preserve">Lafayette                     </t>
  </si>
  <si>
    <t xml:space="preserve">Argyle                        </t>
  </si>
  <si>
    <t xml:space="preserve">Belmont                       </t>
  </si>
  <si>
    <t xml:space="preserve">Gratiot                       </t>
  </si>
  <si>
    <t xml:space="preserve">Darlington                    </t>
  </si>
  <si>
    <t xml:space="preserve">Shullsburg                    </t>
  </si>
  <si>
    <t xml:space="preserve">Langlade                      </t>
  </si>
  <si>
    <t xml:space="preserve">White Lake                    </t>
  </si>
  <si>
    <t xml:space="preserve">Antigo                        </t>
  </si>
  <si>
    <t xml:space="preserve">Lincoln                       </t>
  </si>
  <si>
    <t xml:space="preserve">Merrill                       </t>
  </si>
  <si>
    <t xml:space="preserve">Tomahawk                      </t>
  </si>
  <si>
    <t xml:space="preserve">Manitowoc 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</si>
  <si>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</si>
  <si>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</si>
  <si>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</si>
  <si>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Valders                       </t>
  </si>
  <si>
    <t xml:space="preserve">Whitelaw                      </t>
  </si>
  <si>
    <t xml:space="preserve">Two Rivers                    </t>
  </si>
  <si>
    <t xml:space="preserve">Marathon                      </t>
  </si>
  <si>
    <t xml:space="preserve">Rib Mountain                  </t>
  </si>
  <si>
    <t xml:space="preserve">Athens                        </t>
  </si>
  <si>
    <t xml:space="preserve">Edgar  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</si>
  <si>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</si>
  <si>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</si>
  <si>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</si>
  <si>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</si>
  <si>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Spencer                       </t>
  </si>
  <si>
    <t xml:space="preserve">Stratford                     </t>
  </si>
  <si>
    <t xml:space="preserve">Weston                        </t>
  </si>
  <si>
    <t xml:space="preserve">Colby                         </t>
  </si>
  <si>
    <t xml:space="preserve">Mosinee                       </t>
  </si>
  <si>
    <t xml:space="preserve">Schofield                     </t>
  </si>
  <si>
    <t xml:space="preserve">Wausau                        </t>
  </si>
  <si>
    <t xml:space="preserve">Marinette                     </t>
  </si>
  <si>
    <t xml:space="preserve">Coleman                       </t>
  </si>
  <si>
    <t xml:space="preserve">Crivitz                       </t>
  </si>
  <si>
    <t xml:space="preserve">Pound                         </t>
  </si>
  <si>
    <t xml:space="preserve">Wausaukee                     </t>
  </si>
  <si>
    <t xml:space="preserve">Niagara                       </t>
  </si>
  <si>
    <t xml:space="preserve">Marquette                     </t>
  </si>
  <si>
    <t xml:space="preserve">Endeavor                      </t>
  </si>
  <si>
    <t xml:space="preserve">Milwaukee                     </t>
  </si>
  <si>
    <t xml:space="preserve">Brown Deer                    </t>
  </si>
  <si>
    <t xml:space="preserve">Greendale                     </t>
  </si>
  <si>
    <t xml:space="preserve">Hales Corners                 </t>
  </si>
  <si>
    <t xml:space="preserve">River Hills  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</si>
  <si>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</si>
  <si>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</si>
  <si>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</si>
  <si>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</si>
  <si>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Franklin                      </t>
  </si>
  <si>
    <t xml:space="preserve">Glendale                      </t>
  </si>
  <si>
    <t xml:space="preserve">Greenfield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</si>
  <si>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</si>
  <si>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</si>
  <si>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</si>
  <si>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</si>
  <si>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</si>
  <si>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Cashton                       </t>
  </si>
  <si>
    <t xml:space="preserve">Warrens                       </t>
  </si>
  <si>
    <t xml:space="preserve">Wilton                        </t>
  </si>
  <si>
    <t xml:space="preserve">Sparta                        </t>
  </si>
  <si>
    <t xml:space="preserve">Tomah                         </t>
  </si>
  <si>
    <t xml:space="preserve">Oconto                        </t>
  </si>
  <si>
    <t xml:space="preserve">Lena                          </t>
  </si>
  <si>
    <t xml:space="preserve">Suring                        </t>
  </si>
  <si>
    <t xml:space="preserve">Gillett                       </t>
  </si>
  <si>
    <t xml:space="preserve">Oneida                        </t>
  </si>
  <si>
    <t xml:space="preserve">Rhinelander                   </t>
  </si>
  <si>
    <t xml:space="preserve">Outagamie                     </t>
  </si>
  <si>
    <t xml:space="preserve">Freedom                       </t>
  </si>
  <si>
    <t xml:space="preserve">Grand Chute                   </t>
  </si>
  <si>
    <t xml:space="preserve">Combined Locks                </t>
  </si>
  <si>
    <t xml:space="preserve">Greenville    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</si>
  <si>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</si>
  <si>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</si>
  <si>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</si>
  <si>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Kaukauna                      </t>
  </si>
  <si>
    <t xml:space="preserve">Seymour                       </t>
  </si>
  <si>
    <t xml:space="preserve">Ozaukee                       </t>
  </si>
  <si>
    <t xml:space="preserve">Belgium                       </t>
  </si>
  <si>
    <t xml:space="preserve">Fredonia                      </t>
  </si>
  <si>
    <t xml:space="preserve">Grafton                       </t>
  </si>
  <si>
    <t xml:space="preserve">Saukville                     </t>
  </si>
  <si>
    <t xml:space="preserve">Thiensville                   </t>
  </si>
  <si>
    <t xml:space="preserve">Cedarburg                     </t>
  </si>
  <si>
    <t xml:space="preserve">Mequon                        </t>
  </si>
  <si>
    <t xml:space="preserve">Port Washington               </t>
  </si>
  <si>
    <t xml:space="preserve">Pepin                         </t>
  </si>
  <si>
    <t xml:space="preserve">Durand                        </t>
  </si>
  <si>
    <t xml:space="preserve">Pierce                        </t>
  </si>
  <si>
    <t xml:space="preserve">Ellsworth                     </t>
  </si>
  <si>
    <t xml:space="preserve">Elmwood                       </t>
  </si>
  <si>
    <t xml:space="preserve">Spring Valley                 </t>
  </si>
  <si>
    <t xml:space="preserve">Prescott                      </t>
  </si>
  <si>
    <t xml:space="preserve">River Falls                   </t>
  </si>
  <si>
    <t xml:space="preserve">Polk                          </t>
  </si>
  <si>
    <t xml:space="preserve">Balsam Lake                   </t>
  </si>
  <si>
    <t xml:space="preserve">Centuria                      </t>
  </si>
  <si>
    <t xml:space="preserve">Clayton                       </t>
  </si>
  <si>
    <t xml:space="preserve">Clear Lake                    </t>
  </si>
  <si>
    <t xml:space="preserve">Frederic                      </t>
  </si>
  <si>
    <t xml:space="preserve">Luck                          </t>
  </si>
  <si>
    <t xml:space="preserve">Milltown                      </t>
  </si>
  <si>
    <t xml:space="preserve">Osceola                       </t>
  </si>
  <si>
    <t xml:space="preserve">Amery                         </t>
  </si>
  <si>
    <t xml:space="preserve">Amherst                       </t>
  </si>
  <si>
    <t xml:space="preserve">Junction City                 </t>
  </si>
  <si>
    <t xml:space="preserve">Plover                        </t>
  </si>
  <si>
    <t xml:space="preserve">Whiting                       </t>
  </si>
  <si>
    <t xml:space="preserve">Stevens Point                 </t>
  </si>
  <si>
    <t xml:space="preserve">Price                         </t>
  </si>
  <si>
    <t xml:space="preserve">Prentice                      </t>
  </si>
  <si>
    <t xml:space="preserve">Park Falls                    </t>
  </si>
  <si>
    <t xml:space="preserve">Phillips                      </t>
  </si>
  <si>
    <t xml:space="preserve">Racine                        </t>
  </si>
  <si>
    <t xml:space="preserve">Caledonia                     </t>
  </si>
  <si>
    <t xml:space="preserve">Mount Pleasant                </t>
  </si>
  <si>
    <t xml:space="preserve">Sturtevant                    </t>
  </si>
  <si>
    <t xml:space="preserve">Union Grove                   </t>
  </si>
  <si>
    <t xml:space="preserve">Waterford                     </t>
  </si>
  <si>
    <t xml:space="preserve">Yorkville                     </t>
  </si>
  <si>
    <t xml:space="preserve">Richland                      </t>
  </si>
  <si>
    <t xml:space="preserve">Viola                         </t>
  </si>
  <si>
    <t xml:space="preserve">Richland Center               </t>
  </si>
  <si>
    <t xml:space="preserve">Rock                          </t>
  </si>
  <si>
    <t xml:space="preserve">Footville                     </t>
  </si>
  <si>
    <t xml:space="preserve">Orfordville                   </t>
  </si>
  <si>
    <t xml:space="preserve">Beloit                        </t>
  </si>
  <si>
    <t xml:space="preserve">Edgerton                      </t>
  </si>
  <si>
    <t xml:space="preserve">Evansville                    </t>
  </si>
  <si>
    <t xml:space="preserve">Janesville                    </t>
  </si>
  <si>
    <t xml:space="preserve">Milton                        </t>
  </si>
  <si>
    <t xml:space="preserve">Rusk                          </t>
  </si>
  <si>
    <t xml:space="preserve">Bruce                         </t>
  </si>
  <si>
    <t xml:space="preserve">Hawkins                       </t>
  </si>
  <si>
    <t xml:space="preserve">Weyerhaeuser                  </t>
  </si>
  <si>
    <t xml:space="preserve">Ladysmith                     </t>
  </si>
  <si>
    <t xml:space="preserve">St Croix                      </t>
  </si>
  <si>
    <t xml:space="preserve">Baldwin                       </t>
  </si>
  <si>
    <t xml:space="preserve">Hammond                       </t>
  </si>
  <si>
    <t xml:space="preserve">Roberts                       </t>
  </si>
  <si>
    <t xml:space="preserve">Somerset                      </t>
  </si>
  <si>
    <t xml:space="preserve">Woodville                     </t>
  </si>
  <si>
    <t xml:space="preserve">Hudson                        </t>
  </si>
  <si>
    <t xml:space="preserve">New Richmond                  </t>
  </si>
  <si>
    <t xml:space="preserve">Sauk                          </t>
  </si>
  <si>
    <t xml:space="preserve">Lake Delton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</si>
  <si>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</si>
  <si>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</si>
  <si>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</si>
  <si>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Prairie Du Sac                </t>
  </si>
  <si>
    <t xml:space="preserve">Rock Springs                  </t>
  </si>
  <si>
    <t xml:space="preserve">Sauk City                     </t>
  </si>
  <si>
    <t xml:space="preserve">Spring Green                  </t>
  </si>
  <si>
    <t xml:space="preserve">West Baraboo                  </t>
  </si>
  <si>
    <t xml:space="preserve">Baraboo                       </t>
  </si>
  <si>
    <t xml:space="preserve">Reedsburg                     </t>
  </si>
  <si>
    <t xml:space="preserve">Sawyer                        </t>
  </si>
  <si>
    <t xml:space="preserve">Hayward                       </t>
  </si>
  <si>
    <t xml:space="preserve">Shawano                       </t>
  </si>
  <si>
    <t xml:space="preserve">Bonduel                       </t>
  </si>
  <si>
    <t xml:space="preserve">Bowler                        </t>
  </si>
  <si>
    <t xml:space="preserve">Gresham                       </t>
  </si>
  <si>
    <t xml:space="preserve">Tigerton                      </t>
  </si>
  <si>
    <t xml:space="preserve">Wittenberg                    </t>
  </si>
  <si>
    <t xml:space="preserve">Sheboygan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</si>
  <si>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</si>
  <si>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</si>
  <si>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</si>
  <si>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</si>
  <si>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Oostburg                      </t>
  </si>
  <si>
    <t xml:space="preserve">Random Lake                   </t>
  </si>
  <si>
    <t xml:space="preserve">Plymouth                      </t>
  </si>
  <si>
    <t xml:space="preserve">Sheboygan Falls               </t>
  </si>
  <si>
    <t xml:space="preserve">Stetsonville                  </t>
  </si>
  <si>
    <t xml:space="preserve">Medford                       </t>
  </si>
  <si>
    <t xml:space="preserve">Trempealeau                   </t>
  </si>
  <si>
    <t xml:space="preserve">Strum                         </t>
  </si>
  <si>
    <t xml:space="preserve">Arcadia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</si>
  <si>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</si>
  <si>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</si>
  <si>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</si>
  <si>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</si>
  <si>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</si>
  <si>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Vernon                        </t>
  </si>
  <si>
    <t xml:space="preserve">La Farge                      </t>
  </si>
  <si>
    <t xml:space="preserve">Ontario                       </t>
  </si>
  <si>
    <t xml:space="preserve">Hillsboro                     </t>
  </si>
  <si>
    <t xml:space="preserve">Viroqua                       </t>
  </si>
  <si>
    <t xml:space="preserve">Westby                        </t>
  </si>
  <si>
    <t xml:space="preserve">Vilas                         </t>
  </si>
  <si>
    <t xml:space="preserve">Eagle River                   </t>
  </si>
  <si>
    <t xml:space="preserve">Walworth                      </t>
  </si>
  <si>
    <t xml:space="preserve">Bloomfield                    </t>
  </si>
  <si>
    <t xml:space="preserve">Darien                        </t>
  </si>
  <si>
    <t xml:space="preserve">East Troy                     </t>
  </si>
  <si>
    <t xml:space="preserve">Fontana                       </t>
  </si>
  <si>
    <t xml:space="preserve">Mukwonago                     </t>
  </si>
  <si>
    <t xml:space="preserve">Sharon                        </t>
  </si>
  <si>
    <t xml:space="preserve">Delavan                       </t>
  </si>
  <si>
    <t xml:space="preserve">Elkhorn                       </t>
  </si>
  <si>
    <t xml:space="preserve">Birchwood                     </t>
  </si>
  <si>
    <t xml:space="preserve">Minong                        </t>
  </si>
  <si>
    <t xml:space="preserve">Spooner                       </t>
  </si>
  <si>
    <t xml:space="preserve">Washington                    </t>
  </si>
  <si>
    <t xml:space="preserve">Germantown                    </t>
  </si>
  <si>
    <t xml:space="preserve">Kewaskum                      </t>
  </si>
  <si>
    <t xml:space="preserve">Richfield                     </t>
  </si>
  <si>
    <t xml:space="preserve">Slinger                       </t>
  </si>
  <si>
    <t xml:space="preserve">West Bend                     </t>
  </si>
  <si>
    <t xml:space="preserve">Waukesha                      </t>
  </si>
  <si>
    <t xml:space="preserve">Brookfield                    </t>
  </si>
  <si>
    <t xml:space="preserve">Lisbon                        </t>
  </si>
  <si>
    <t xml:space="preserve">Oconomowoc                    </t>
  </si>
  <si>
    <t xml:space="preserve">Big Bend                      </t>
  </si>
  <si>
    <t xml:space="preserve">Elm Grove                     </t>
  </si>
  <si>
    <t xml:space="preserve">Hartland                      </t>
  </si>
  <si>
    <t xml:space="preserve">Lannon                        </t>
  </si>
  <si>
    <t>N/A</t>
  </si>
  <si>
    <t xml:space="preserve">Menomonee Falls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</si>
  <si>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</si>
  <si>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</si>
  <si>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</si>
  <si>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Delafield                     </t>
  </si>
  <si>
    <t xml:space="preserve">Muskego                       </t>
  </si>
  <si>
    <t xml:space="preserve">New Berlin                    </t>
  </si>
  <si>
    <t xml:space="preserve">Waupaca                       </t>
  </si>
  <si>
    <t xml:space="preserve">Fremont                       </t>
  </si>
  <si>
    <t xml:space="preserve">Clintonville                  </t>
  </si>
  <si>
    <t xml:space="preserve">Manawa                        </t>
  </si>
  <si>
    <t xml:space="preserve">New London                    </t>
  </si>
  <si>
    <t xml:space="preserve">Weyauwega                     </t>
  </si>
  <si>
    <t xml:space="preserve">Waushara                      </t>
  </si>
  <si>
    <t xml:space="preserve">Coloma                        </t>
  </si>
  <si>
    <t xml:space="preserve">Hancock                       </t>
  </si>
  <si>
    <t xml:space="preserve">Plainfield                    </t>
  </si>
  <si>
    <t xml:space="preserve">Redgranite                    </t>
  </si>
  <si>
    <t xml:space="preserve">Wild Rose                     </t>
  </si>
  <si>
    <t xml:space="preserve">Wautoma                       </t>
  </si>
  <si>
    <t xml:space="preserve">Winnebago                     </t>
  </si>
  <si>
    <t xml:space="preserve">Fox Crossing                  </t>
  </si>
  <si>
    <t xml:space="preserve">Winneconne                    </t>
  </si>
  <si>
    <t xml:space="preserve">Neenah                        </t>
  </si>
  <si>
    <t xml:space="preserve">Omro                          </t>
  </si>
  <si>
    <t xml:space="preserve">Oshkosh                       </t>
  </si>
  <si>
    <t xml:space="preserve">Wood                          </t>
  </si>
  <si>
    <t xml:space="preserve">Auburndale                    </t>
  </si>
  <si>
    <t xml:space="preserve">Biron                         </t>
  </si>
  <si>
    <t xml:space="preserve">Port Edwards                  </t>
  </si>
  <si>
    <t xml:space="preserve">Vesper                        </t>
  </si>
  <si>
    <t xml:space="preserve">Marshfield                    </t>
  </si>
  <si>
    <t xml:space="preserve">Nekoosa                       </t>
  </si>
  <si>
    <t xml:space="preserve">Pittsville                    </t>
  </si>
  <si>
    <t xml:space="preserve">Wisconsin Rapids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</si>
</sst>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92"/>
  <sheetViews>
    <sheetView tabSelected="1" workbookViewId="0">
      <pane ySplit="4" topLeftCell="A5" activePane="bottomLeft" state="frozen"/>
      <selection pane="bottomLeft"/>
    </sheetView>
  </sheetViews>
  <sheetFormatPr defaultRowHeight="14.5" x14ac:dyDescent="0.35"/>
  <cols>
    <col min="1" max="1" width="8.90625" customWidth="1"/>
    <col min="3" max="3" width="12.81640625" customWidth="1"/>
    <col min="4" max="4" width="11.54296875" customWidth="1"/>
    <col min="6" max="6" width="18.54296875" customWidth="1"/>
    <col min="8" max="8" width="17.1796875" customWidth="1"/>
    <col min="9" max="9" width="16" style="3" customWidth="1"/>
    <col min="10" max="10" width="16.453125" style="3" customWidth="1"/>
    <col min="11" max="11" width="17.26953125" style="3" customWidth="1"/>
    <col min="12" max="12" width="28.453125" style="3" customWidth="1"/>
    <col min="13" max="13" width="16" style="3" customWidth="1"/>
    <col min="14" max="14" width="15.1796875" style="3" customWidth="1"/>
    <col min="15" max="15" width="17" style="3" customWidth="1"/>
    <col min="16" max="16" width="15.453125" style="3" customWidth="1"/>
    <col min="17" max="17" width="16.54296875" style="3" customWidth="1"/>
    <col min="18" max="18" width="21.7265625" style="3" customWidth="1"/>
    <col min="19" max="19" width="16.26953125" style="3" customWidth="1"/>
    <col min="20" max="20" width="19" style="3" customWidth="1"/>
    <col min="21" max="21" width="22" style="3" customWidth="1"/>
    <col min="22" max="22" width="11.1796875" style="3" customWidth="1"/>
    <col min="23" max="23" width="12.7265625" style="3" customWidth="1"/>
    <col min="24" max="24" width="11" style="3" customWidth="1"/>
    <col min="25" max="25" width="15.54296875" style="3" customWidth="1"/>
    <col min="26" max="26" width="12.1796875" style="3" customWidth="1"/>
    <col min="27" max="27" width="16.26953125" style="3" customWidth="1"/>
    <col min="28" max="28" width="13.26953125" style="3" customWidth="1"/>
  </cols>
  <sheetData>
    <row r="1" spans="1:28" s="1" customFormat="1" x14ac:dyDescent="0.35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1" customFormat="1" x14ac:dyDescent="0.35">
      <c r="A2" s="1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4" spans="1:28" s="1" customFormat="1" x14ac:dyDescent="0.3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2" t="s">
        <v>20</v>
      </c>
      <c r="T4" s="2" t="s">
        <v>21</v>
      </c>
      <c r="U4" s="2" t="s">
        <v>22</v>
      </c>
      <c r="V4" s="2" t="s">
        <v>23</v>
      </c>
      <c r="W4" s="2" t="s">
        <v>24</v>
      </c>
      <c r="X4" s="2" t="s">
        <v>25</v>
      </c>
      <c r="Y4" s="2" t="s">
        <v>26</v>
      </c>
      <c r="Z4" s="2" t="s">
        <v>27</v>
      </c>
      <c r="AA4" s="2" t="s">
        <v>28</v>
      </c>
      <c r="AB4" s="2" t="s">
        <v>29</v>
      </c>
    </row>
    <row r="5" spans="1:28" x14ac:dyDescent="0.35">
      <c r="A5">
        <v>2022</v>
      </c>
      <c r="B5" t="str">
        <f t="shared" ref="B5:B10" si="0">"01"</f>
        <v>01</v>
      </c>
      <c r="C5" t="s">
        <v>30</v>
      </c>
      <c r="D5" t="s">
        <v>31</v>
      </c>
      <c r="E5" t="str">
        <f>"030"</f>
        <v>030</v>
      </c>
      <c r="F5" t="s">
        <v>32</v>
      </c>
      <c r="G5" t="str">
        <f>"001T"</f>
        <v>001T</v>
      </c>
      <c r="H5" t="str">
        <f>"3906"</f>
        <v>3906</v>
      </c>
      <c r="I5" s="3">
        <v>59097800</v>
      </c>
      <c r="J5" s="3">
        <v>72.239999999999995</v>
      </c>
      <c r="K5" s="3">
        <v>81807600</v>
      </c>
      <c r="L5" s="3">
        <v>0</v>
      </c>
      <c r="M5" s="3">
        <v>81807600</v>
      </c>
      <c r="N5" s="3">
        <v>0</v>
      </c>
      <c r="O5" s="3">
        <v>0</v>
      </c>
      <c r="P5" s="3">
        <v>0</v>
      </c>
      <c r="Q5" s="3">
        <v>0</v>
      </c>
      <c r="R5" s="3">
        <v>88900</v>
      </c>
      <c r="S5" s="3">
        <v>0</v>
      </c>
      <c r="T5" s="3">
        <v>0</v>
      </c>
      <c r="U5" s="3">
        <v>0</v>
      </c>
      <c r="V5" s="3">
        <v>2015</v>
      </c>
      <c r="W5" s="3">
        <v>1249400</v>
      </c>
      <c r="X5" s="3">
        <v>81896500</v>
      </c>
      <c r="Y5" s="3">
        <v>80647100</v>
      </c>
      <c r="Z5" s="3">
        <v>54718600</v>
      </c>
      <c r="AA5" s="3">
        <v>27177900</v>
      </c>
      <c r="AB5" s="3">
        <v>50</v>
      </c>
    </row>
    <row r="6" spans="1:28" x14ac:dyDescent="0.35">
      <c r="A6">
        <v>2022</v>
      </c>
      <c r="B6" t="str">
        <f t="shared" si="0"/>
        <v>01</v>
      </c>
      <c r="C6" t="s">
        <v>30</v>
      </c>
      <c r="D6" t="s">
        <v>33</v>
      </c>
      <c r="E6" t="str">
        <f>"126"</f>
        <v>126</v>
      </c>
      <c r="F6" t="s">
        <v>34</v>
      </c>
      <c r="G6" t="str">
        <f>"001"</f>
        <v>001</v>
      </c>
      <c r="H6" t="str">
        <f>"0014"</f>
        <v>0014</v>
      </c>
      <c r="I6" s="3">
        <v>7927300</v>
      </c>
      <c r="J6" s="3">
        <v>84.15</v>
      </c>
      <c r="K6" s="3">
        <v>9420400</v>
      </c>
      <c r="L6" s="3">
        <v>0</v>
      </c>
      <c r="M6" s="3">
        <v>9420400</v>
      </c>
      <c r="N6" s="3">
        <v>0</v>
      </c>
      <c r="O6" s="3">
        <v>0</v>
      </c>
      <c r="P6" s="3">
        <v>0</v>
      </c>
      <c r="Q6" s="3">
        <v>0</v>
      </c>
      <c r="R6" s="3">
        <v>-19500</v>
      </c>
      <c r="S6" s="3">
        <v>0</v>
      </c>
      <c r="T6" s="3">
        <v>0</v>
      </c>
      <c r="U6" s="3">
        <v>0</v>
      </c>
      <c r="V6" s="3">
        <v>1997</v>
      </c>
      <c r="W6" s="3">
        <v>2696300</v>
      </c>
      <c r="X6" s="3">
        <v>9400900</v>
      </c>
      <c r="Y6" s="3">
        <v>6704600</v>
      </c>
      <c r="Z6" s="3">
        <v>7820000</v>
      </c>
      <c r="AA6" s="3">
        <v>1580900</v>
      </c>
      <c r="AB6" s="3">
        <v>20</v>
      </c>
    </row>
    <row r="7" spans="1:28" x14ac:dyDescent="0.35">
      <c r="A7">
        <v>2022</v>
      </c>
      <c r="B7" t="str">
        <f t="shared" si="0"/>
        <v>01</v>
      </c>
      <c r="C7" t="s">
        <v>30</v>
      </c>
      <c r="D7" t="s">
        <v>33</v>
      </c>
      <c r="E7" t="str">
        <f>"126"</f>
        <v>126</v>
      </c>
      <c r="F7" t="s">
        <v>34</v>
      </c>
      <c r="G7" t="str">
        <f>"002"</f>
        <v>002</v>
      </c>
      <c r="H7" t="str">
        <f>"0014"</f>
        <v>0014</v>
      </c>
      <c r="I7" s="3">
        <v>34200</v>
      </c>
      <c r="J7" s="3">
        <v>84.15</v>
      </c>
      <c r="K7" s="3">
        <v>40600</v>
      </c>
      <c r="L7" s="3">
        <v>0</v>
      </c>
      <c r="M7" s="3">
        <v>40600</v>
      </c>
      <c r="N7" s="3">
        <v>171500</v>
      </c>
      <c r="O7" s="3">
        <v>171500</v>
      </c>
      <c r="P7" s="3">
        <v>13200</v>
      </c>
      <c r="Q7" s="3">
        <v>13200</v>
      </c>
      <c r="R7" s="3">
        <v>-100</v>
      </c>
      <c r="S7" s="3">
        <v>0</v>
      </c>
      <c r="T7" s="3">
        <v>0</v>
      </c>
      <c r="U7" s="3">
        <v>0</v>
      </c>
      <c r="V7" s="3">
        <v>2000</v>
      </c>
      <c r="W7" s="3">
        <v>148000</v>
      </c>
      <c r="X7" s="3">
        <v>225200</v>
      </c>
      <c r="Y7" s="3">
        <v>77200</v>
      </c>
      <c r="Z7" s="3">
        <v>205400</v>
      </c>
      <c r="AA7" s="3">
        <v>19800</v>
      </c>
      <c r="AB7" s="3">
        <v>10</v>
      </c>
    </row>
    <row r="8" spans="1:28" x14ac:dyDescent="0.35">
      <c r="A8">
        <v>2022</v>
      </c>
      <c r="B8" t="str">
        <f t="shared" si="0"/>
        <v>01</v>
      </c>
      <c r="C8" t="s">
        <v>30</v>
      </c>
      <c r="D8" t="s">
        <v>35</v>
      </c>
      <c r="E8" t="str">
        <f>"201"</f>
        <v>201</v>
      </c>
      <c r="F8" t="s">
        <v>30</v>
      </c>
      <c r="G8" t="str">
        <f>"002"</f>
        <v>002</v>
      </c>
      <c r="H8" t="str">
        <f>"0014"</f>
        <v>0014</v>
      </c>
      <c r="I8" s="3">
        <v>8020200</v>
      </c>
      <c r="J8" s="3">
        <v>75.03</v>
      </c>
      <c r="K8" s="3">
        <v>10689300</v>
      </c>
      <c r="L8" s="3">
        <v>0</v>
      </c>
      <c r="M8" s="3">
        <v>10689300</v>
      </c>
      <c r="N8" s="3">
        <v>7984300</v>
      </c>
      <c r="O8" s="3">
        <v>7984300</v>
      </c>
      <c r="P8" s="3">
        <v>2795000</v>
      </c>
      <c r="Q8" s="3">
        <v>2795000</v>
      </c>
      <c r="R8" s="3">
        <v>-62200</v>
      </c>
      <c r="S8" s="3">
        <v>0</v>
      </c>
      <c r="T8" s="3">
        <v>0</v>
      </c>
      <c r="U8" s="3">
        <v>0</v>
      </c>
      <c r="V8" s="3">
        <v>1996</v>
      </c>
      <c r="W8" s="3">
        <v>9585200</v>
      </c>
      <c r="X8" s="3">
        <v>21406400</v>
      </c>
      <c r="Y8" s="3">
        <v>11821200</v>
      </c>
      <c r="Z8" s="3">
        <v>19521100</v>
      </c>
      <c r="AA8" s="3">
        <v>1885300</v>
      </c>
      <c r="AB8" s="3">
        <v>10</v>
      </c>
    </row>
    <row r="9" spans="1:28" x14ac:dyDescent="0.35">
      <c r="A9">
        <v>2022</v>
      </c>
      <c r="B9" t="str">
        <f t="shared" si="0"/>
        <v>01</v>
      </c>
      <c r="C9" t="s">
        <v>30</v>
      </c>
      <c r="D9" t="s">
        <v>35</v>
      </c>
      <c r="E9" t="str">
        <f>"201"</f>
        <v>201</v>
      </c>
      <c r="F9" t="s">
        <v>30</v>
      </c>
      <c r="G9" t="str">
        <f>"003"</f>
        <v>003</v>
      </c>
      <c r="H9" t="str">
        <f>"0014"</f>
        <v>0014</v>
      </c>
      <c r="I9" s="3">
        <v>17422700</v>
      </c>
      <c r="J9" s="3">
        <v>75.03</v>
      </c>
      <c r="K9" s="3">
        <v>23221000</v>
      </c>
      <c r="L9" s="3">
        <v>0</v>
      </c>
      <c r="M9" s="3">
        <v>23221000</v>
      </c>
      <c r="N9" s="3">
        <v>0</v>
      </c>
      <c r="O9" s="3">
        <v>0</v>
      </c>
      <c r="P9" s="3">
        <v>0</v>
      </c>
      <c r="Q9" s="3">
        <v>0</v>
      </c>
      <c r="R9" s="3">
        <v>-132200</v>
      </c>
      <c r="S9" s="3">
        <v>0</v>
      </c>
      <c r="T9" s="3">
        <v>0</v>
      </c>
      <c r="U9" s="3">
        <v>0</v>
      </c>
      <c r="V9" s="3">
        <v>1996</v>
      </c>
      <c r="W9" s="3">
        <v>5169700</v>
      </c>
      <c r="X9" s="3">
        <v>23088800</v>
      </c>
      <c r="Y9" s="3">
        <v>17919100</v>
      </c>
      <c r="Z9" s="3">
        <v>19171300</v>
      </c>
      <c r="AA9" s="3">
        <v>3917500</v>
      </c>
      <c r="AB9" s="3">
        <v>20</v>
      </c>
    </row>
    <row r="10" spans="1:28" x14ac:dyDescent="0.35">
      <c r="A10">
        <v>2022</v>
      </c>
      <c r="B10" t="str">
        <f t="shared" si="0"/>
        <v>01</v>
      </c>
      <c r="C10" t="s">
        <v>30</v>
      </c>
      <c r="D10" t="s">
        <v>35</v>
      </c>
      <c r="E10" t="str">
        <f>"291"</f>
        <v>291</v>
      </c>
      <c r="F10" t="s">
        <v>36</v>
      </c>
      <c r="G10" t="str">
        <f>"003"</f>
        <v>003</v>
      </c>
      <c r="H10" t="str">
        <f>"6678"</f>
        <v>6678</v>
      </c>
      <c r="I10" s="3">
        <v>68098600</v>
      </c>
      <c r="J10" s="3">
        <v>100</v>
      </c>
      <c r="K10" s="3">
        <v>68098600</v>
      </c>
      <c r="L10" s="3">
        <v>0</v>
      </c>
      <c r="M10" s="3">
        <v>68098600</v>
      </c>
      <c r="N10" s="3">
        <v>0</v>
      </c>
      <c r="O10" s="3">
        <v>0</v>
      </c>
      <c r="P10" s="3">
        <v>0</v>
      </c>
      <c r="Q10" s="3">
        <v>0</v>
      </c>
      <c r="R10" s="3">
        <v>452300</v>
      </c>
      <c r="S10" s="3">
        <v>0</v>
      </c>
      <c r="T10" s="3">
        <v>0</v>
      </c>
      <c r="U10" s="3">
        <v>0</v>
      </c>
      <c r="V10" s="3">
        <v>2005</v>
      </c>
      <c r="W10" s="3">
        <v>2149200</v>
      </c>
      <c r="X10" s="3">
        <v>68550900</v>
      </c>
      <c r="Y10" s="3">
        <v>66401700</v>
      </c>
      <c r="Z10" s="3">
        <v>67742600</v>
      </c>
      <c r="AA10" s="3">
        <v>808300</v>
      </c>
      <c r="AB10" s="3">
        <v>1</v>
      </c>
    </row>
    <row r="11" spans="1:28" x14ac:dyDescent="0.35">
      <c r="A11">
        <v>2022</v>
      </c>
      <c r="B11" t="str">
        <f>"02"</f>
        <v>02</v>
      </c>
      <c r="C11" t="s">
        <v>37</v>
      </c>
      <c r="D11" t="s">
        <v>35</v>
      </c>
      <c r="E11" t="str">
        <f>"201"</f>
        <v>201</v>
      </c>
      <c r="F11" t="s">
        <v>37</v>
      </c>
      <c r="G11" t="str">
        <f>"006"</f>
        <v>006</v>
      </c>
      <c r="H11" t="str">
        <f>"0170"</f>
        <v>0170</v>
      </c>
      <c r="I11" s="3">
        <v>16186200</v>
      </c>
      <c r="J11" s="3">
        <v>85.02</v>
      </c>
      <c r="K11" s="3">
        <v>19038100</v>
      </c>
      <c r="L11" s="3">
        <v>0</v>
      </c>
      <c r="M11" s="3">
        <v>19038100</v>
      </c>
      <c r="N11" s="3">
        <v>511300</v>
      </c>
      <c r="O11" s="3">
        <v>511300</v>
      </c>
      <c r="P11" s="3">
        <v>1300</v>
      </c>
      <c r="Q11" s="3">
        <v>1300</v>
      </c>
      <c r="R11" s="3">
        <v>-1230400</v>
      </c>
      <c r="S11" s="3">
        <v>0</v>
      </c>
      <c r="T11" s="3">
        <v>0</v>
      </c>
      <c r="U11" s="3">
        <v>0</v>
      </c>
      <c r="V11" s="3">
        <v>1994</v>
      </c>
      <c r="W11" s="3">
        <v>5659600</v>
      </c>
      <c r="X11" s="3">
        <v>18320300</v>
      </c>
      <c r="Y11" s="3">
        <v>12660700</v>
      </c>
      <c r="Z11" s="3">
        <v>17323600</v>
      </c>
      <c r="AA11" s="3">
        <v>996700</v>
      </c>
      <c r="AB11" s="3">
        <v>6</v>
      </c>
    </row>
    <row r="12" spans="1:28" x14ac:dyDescent="0.35">
      <c r="A12">
        <v>2022</v>
      </c>
      <c r="B12" t="str">
        <f>"02"</f>
        <v>02</v>
      </c>
      <c r="C12" t="s">
        <v>37</v>
      </c>
      <c r="D12" t="s">
        <v>35</v>
      </c>
      <c r="E12" t="str">
        <f>"201"</f>
        <v>201</v>
      </c>
      <c r="F12" t="s">
        <v>37</v>
      </c>
      <c r="G12" t="str">
        <f>"009"</f>
        <v>009</v>
      </c>
      <c r="H12" t="str">
        <f>"0170"</f>
        <v>0170</v>
      </c>
      <c r="I12" s="3">
        <v>10300900</v>
      </c>
      <c r="J12" s="3">
        <v>85.02</v>
      </c>
      <c r="K12" s="3">
        <v>12115900</v>
      </c>
      <c r="L12" s="3">
        <v>0</v>
      </c>
      <c r="M12" s="3">
        <v>12115900</v>
      </c>
      <c r="N12" s="3">
        <v>580200</v>
      </c>
      <c r="O12" s="3">
        <v>580200</v>
      </c>
      <c r="P12" s="3">
        <v>0</v>
      </c>
      <c r="Q12" s="3">
        <v>0</v>
      </c>
      <c r="R12" s="3">
        <v>-264700</v>
      </c>
      <c r="S12" s="3">
        <v>0</v>
      </c>
      <c r="T12" s="3">
        <v>0</v>
      </c>
      <c r="U12" s="3">
        <v>0</v>
      </c>
      <c r="V12" s="3">
        <v>2006</v>
      </c>
      <c r="W12" s="3">
        <v>2359600</v>
      </c>
      <c r="X12" s="3">
        <v>12431400</v>
      </c>
      <c r="Y12" s="3">
        <v>10071800</v>
      </c>
      <c r="Z12" s="3">
        <v>10555900</v>
      </c>
      <c r="AA12" s="3">
        <v>1875500</v>
      </c>
      <c r="AB12" s="3">
        <v>18</v>
      </c>
    </row>
    <row r="13" spans="1:28" x14ac:dyDescent="0.35">
      <c r="A13">
        <v>2022</v>
      </c>
      <c r="B13" t="str">
        <f>"02"</f>
        <v>02</v>
      </c>
      <c r="C13" t="s">
        <v>37</v>
      </c>
      <c r="D13" t="s">
        <v>35</v>
      </c>
      <c r="E13" t="str">
        <f>"201"</f>
        <v>201</v>
      </c>
      <c r="F13" t="s">
        <v>37</v>
      </c>
      <c r="G13" t="str">
        <f>"010"</f>
        <v>010</v>
      </c>
      <c r="H13" t="str">
        <f>"0170"</f>
        <v>0170</v>
      </c>
      <c r="I13" s="3">
        <v>6749800</v>
      </c>
      <c r="J13" s="3">
        <v>85.02</v>
      </c>
      <c r="K13" s="3">
        <v>7939100</v>
      </c>
      <c r="L13" s="3">
        <v>10054200</v>
      </c>
      <c r="M13" s="3">
        <v>10054200</v>
      </c>
      <c r="N13" s="3">
        <v>0</v>
      </c>
      <c r="O13" s="3">
        <v>0</v>
      </c>
      <c r="P13" s="3">
        <v>0</v>
      </c>
      <c r="Q13" s="3">
        <v>0</v>
      </c>
      <c r="R13" s="3">
        <v>-353500</v>
      </c>
      <c r="S13" s="3">
        <v>0</v>
      </c>
      <c r="T13" s="3">
        <v>0</v>
      </c>
      <c r="U13" s="3">
        <v>0</v>
      </c>
      <c r="V13" s="3">
        <v>2017</v>
      </c>
      <c r="W13" s="3">
        <v>4396300</v>
      </c>
      <c r="X13" s="3">
        <v>9700700</v>
      </c>
      <c r="Y13" s="3">
        <v>5304400</v>
      </c>
      <c r="Z13" s="3">
        <v>6803500</v>
      </c>
      <c r="AA13" s="3">
        <v>2897200</v>
      </c>
      <c r="AB13" s="3">
        <v>43</v>
      </c>
    </row>
    <row r="14" spans="1:28" x14ac:dyDescent="0.35">
      <c r="A14">
        <v>2022</v>
      </c>
      <c r="B14" t="str">
        <f t="shared" ref="B14:B31" si="1">"03"</f>
        <v>03</v>
      </c>
      <c r="C14" t="s">
        <v>38</v>
      </c>
      <c r="D14" t="s">
        <v>33</v>
      </c>
      <c r="E14" t="str">
        <f>"111"</f>
        <v>111</v>
      </c>
      <c r="F14" t="s">
        <v>39</v>
      </c>
      <c r="G14" t="str">
        <f>"001"</f>
        <v>001</v>
      </c>
      <c r="H14" t="str">
        <f>"0903"</f>
        <v>0903</v>
      </c>
      <c r="I14" s="3">
        <v>19910400</v>
      </c>
      <c r="J14" s="3">
        <v>92</v>
      </c>
      <c r="K14" s="3">
        <v>21641700</v>
      </c>
      <c r="L14" s="3">
        <v>0</v>
      </c>
      <c r="M14" s="3">
        <v>21641700</v>
      </c>
      <c r="N14" s="3">
        <v>1661100</v>
      </c>
      <c r="O14" s="3">
        <v>1661100</v>
      </c>
      <c r="P14" s="3">
        <v>1119000</v>
      </c>
      <c r="Q14" s="3">
        <v>1119000</v>
      </c>
      <c r="R14" s="3">
        <v>-317800</v>
      </c>
      <c r="S14" s="3">
        <v>0</v>
      </c>
      <c r="T14" s="3">
        <v>0</v>
      </c>
      <c r="U14" s="3">
        <v>0</v>
      </c>
      <c r="V14" s="3">
        <v>2005</v>
      </c>
      <c r="W14" s="3">
        <v>2317500</v>
      </c>
      <c r="X14" s="3">
        <v>24104000</v>
      </c>
      <c r="Y14" s="3">
        <v>21786500</v>
      </c>
      <c r="Z14" s="3">
        <v>25828600</v>
      </c>
      <c r="AA14" s="3">
        <v>-1724600</v>
      </c>
      <c r="AB14" s="3">
        <v>-7</v>
      </c>
    </row>
    <row r="15" spans="1:28" x14ac:dyDescent="0.35">
      <c r="A15">
        <v>2022</v>
      </c>
      <c r="B15" t="str">
        <f t="shared" si="1"/>
        <v>03</v>
      </c>
      <c r="C15" t="s">
        <v>38</v>
      </c>
      <c r="D15" t="s">
        <v>33</v>
      </c>
      <c r="E15" t="str">
        <f>"116"</f>
        <v>116</v>
      </c>
      <c r="F15" t="s">
        <v>40</v>
      </c>
      <c r="G15" t="str">
        <f>"002"</f>
        <v>002</v>
      </c>
      <c r="H15" t="str">
        <f>"0308"</f>
        <v>0308</v>
      </c>
      <c r="I15" s="3">
        <v>1535900</v>
      </c>
      <c r="J15" s="3">
        <v>85.25</v>
      </c>
      <c r="K15" s="3">
        <v>1801600</v>
      </c>
      <c r="L15" s="3">
        <v>0</v>
      </c>
      <c r="M15" s="3">
        <v>1801600</v>
      </c>
      <c r="N15" s="3">
        <v>0</v>
      </c>
      <c r="O15" s="3">
        <v>0</v>
      </c>
      <c r="P15" s="3">
        <v>0</v>
      </c>
      <c r="Q15" s="3">
        <v>0</v>
      </c>
      <c r="R15" s="3">
        <v>-96200</v>
      </c>
      <c r="S15" s="3">
        <v>0</v>
      </c>
      <c r="T15" s="3">
        <v>0</v>
      </c>
      <c r="U15" s="3">
        <v>0</v>
      </c>
      <c r="V15" s="3">
        <v>2001</v>
      </c>
      <c r="W15" s="3">
        <v>29900</v>
      </c>
      <c r="X15" s="3">
        <v>1705400</v>
      </c>
      <c r="Y15" s="3">
        <v>1675500</v>
      </c>
      <c r="Z15" s="3">
        <v>1903900</v>
      </c>
      <c r="AA15" s="3">
        <v>-198500</v>
      </c>
      <c r="AB15" s="3">
        <v>-10</v>
      </c>
    </row>
    <row r="16" spans="1:28" x14ac:dyDescent="0.35">
      <c r="A16">
        <v>2022</v>
      </c>
      <c r="B16" t="str">
        <f t="shared" si="1"/>
        <v>03</v>
      </c>
      <c r="C16" t="s">
        <v>38</v>
      </c>
      <c r="D16" t="s">
        <v>33</v>
      </c>
      <c r="E16" t="str">
        <f>"171"</f>
        <v>171</v>
      </c>
      <c r="F16" t="s">
        <v>41</v>
      </c>
      <c r="G16" t="str">
        <f>"001"</f>
        <v>001</v>
      </c>
      <c r="H16" t="str">
        <f>"4557"</f>
        <v>4557</v>
      </c>
      <c r="I16" s="3">
        <v>3975300</v>
      </c>
      <c r="J16" s="3">
        <v>100</v>
      </c>
      <c r="K16" s="3">
        <v>3975300</v>
      </c>
      <c r="L16" s="3">
        <v>0</v>
      </c>
      <c r="M16" s="3">
        <v>3975300</v>
      </c>
      <c r="N16" s="3">
        <v>775000</v>
      </c>
      <c r="O16" s="3">
        <v>775000</v>
      </c>
      <c r="P16" s="3">
        <v>121000</v>
      </c>
      <c r="Q16" s="3">
        <v>121000</v>
      </c>
      <c r="R16" s="3">
        <v>-43000</v>
      </c>
      <c r="S16" s="3">
        <v>0</v>
      </c>
      <c r="T16" s="3">
        <v>0</v>
      </c>
      <c r="U16" s="3">
        <v>0</v>
      </c>
      <c r="V16" s="3">
        <v>2002</v>
      </c>
      <c r="W16" s="3">
        <v>3258400</v>
      </c>
      <c r="X16" s="3">
        <v>4828300</v>
      </c>
      <c r="Y16" s="3">
        <v>1569900</v>
      </c>
      <c r="Z16" s="3">
        <v>5387000</v>
      </c>
      <c r="AA16" s="3">
        <v>-558700</v>
      </c>
      <c r="AB16" s="3">
        <v>-10</v>
      </c>
    </row>
    <row r="17" spans="1:28" x14ac:dyDescent="0.35">
      <c r="A17">
        <v>2022</v>
      </c>
      <c r="B17" t="str">
        <f t="shared" si="1"/>
        <v>03</v>
      </c>
      <c r="C17" t="s">
        <v>38</v>
      </c>
      <c r="D17" t="s">
        <v>33</v>
      </c>
      <c r="E17" t="str">
        <f>"186"</f>
        <v>186</v>
      </c>
      <c r="F17" t="s">
        <v>42</v>
      </c>
      <c r="G17" t="str">
        <f>"003"</f>
        <v>003</v>
      </c>
      <c r="H17" t="str">
        <f>"5810"</f>
        <v>5810</v>
      </c>
      <c r="I17" s="3">
        <v>113700</v>
      </c>
      <c r="J17" s="3">
        <v>100</v>
      </c>
      <c r="K17" s="3">
        <v>113700</v>
      </c>
      <c r="L17" s="3">
        <v>0</v>
      </c>
      <c r="M17" s="3">
        <v>113700</v>
      </c>
      <c r="N17" s="3">
        <v>0</v>
      </c>
      <c r="O17" s="3">
        <v>0</v>
      </c>
      <c r="P17" s="3">
        <v>0</v>
      </c>
      <c r="Q17" s="3">
        <v>0</v>
      </c>
      <c r="R17" s="3">
        <v>-100</v>
      </c>
      <c r="S17" s="3">
        <v>0</v>
      </c>
      <c r="T17" s="3">
        <v>0</v>
      </c>
      <c r="U17" s="3">
        <v>0</v>
      </c>
      <c r="V17" s="3">
        <v>2009</v>
      </c>
      <c r="W17" s="3">
        <v>102700</v>
      </c>
      <c r="X17" s="3">
        <v>113600</v>
      </c>
      <c r="Y17" s="3">
        <v>10900</v>
      </c>
      <c r="Z17" s="3">
        <v>137100</v>
      </c>
      <c r="AA17" s="3">
        <v>-23500</v>
      </c>
      <c r="AB17" s="3">
        <v>-17</v>
      </c>
    </row>
    <row r="18" spans="1:28" x14ac:dyDescent="0.35">
      <c r="A18">
        <v>2022</v>
      </c>
      <c r="B18" t="str">
        <f t="shared" si="1"/>
        <v>03</v>
      </c>
      <c r="C18" t="s">
        <v>38</v>
      </c>
      <c r="D18" t="s">
        <v>35</v>
      </c>
      <c r="E18" t="str">
        <f>"206"</f>
        <v>206</v>
      </c>
      <c r="F18" t="s">
        <v>38</v>
      </c>
      <c r="G18" t="str">
        <f>"002"</f>
        <v>002</v>
      </c>
      <c r="H18" t="str">
        <f>"0308"</f>
        <v>0308</v>
      </c>
      <c r="I18" s="3">
        <v>2070300</v>
      </c>
      <c r="J18" s="3">
        <v>74.38</v>
      </c>
      <c r="K18" s="3">
        <v>2783400</v>
      </c>
      <c r="L18" s="3">
        <v>0</v>
      </c>
      <c r="M18" s="3">
        <v>2783400</v>
      </c>
      <c r="N18" s="3">
        <v>1782200</v>
      </c>
      <c r="O18" s="3">
        <v>1782200</v>
      </c>
      <c r="P18" s="3">
        <v>81700</v>
      </c>
      <c r="Q18" s="3">
        <v>81700</v>
      </c>
      <c r="R18" s="3">
        <v>-4700</v>
      </c>
      <c r="S18" s="3">
        <v>0</v>
      </c>
      <c r="T18" s="3">
        <v>0</v>
      </c>
      <c r="U18" s="3">
        <v>0</v>
      </c>
      <c r="V18" s="3">
        <v>2000</v>
      </c>
      <c r="W18" s="3">
        <v>1991400</v>
      </c>
      <c r="X18" s="3">
        <v>4642600</v>
      </c>
      <c r="Y18" s="3">
        <v>2651200</v>
      </c>
      <c r="Z18" s="3">
        <v>3846000</v>
      </c>
      <c r="AA18" s="3">
        <v>796600</v>
      </c>
      <c r="AB18" s="3">
        <v>21</v>
      </c>
    </row>
    <row r="19" spans="1:28" x14ac:dyDescent="0.35">
      <c r="A19">
        <v>2022</v>
      </c>
      <c r="B19" t="str">
        <f t="shared" si="1"/>
        <v>03</v>
      </c>
      <c r="C19" t="s">
        <v>38</v>
      </c>
      <c r="D19" t="s">
        <v>35</v>
      </c>
      <c r="E19" t="str">
        <f>"206"</f>
        <v>206</v>
      </c>
      <c r="F19" t="s">
        <v>38</v>
      </c>
      <c r="G19" t="str">
        <f>"003"</f>
        <v>003</v>
      </c>
      <c r="H19" t="str">
        <f>"0308"</f>
        <v>0308</v>
      </c>
      <c r="I19" s="3">
        <v>10940900</v>
      </c>
      <c r="J19" s="3">
        <v>74.38</v>
      </c>
      <c r="K19" s="3">
        <v>14709500</v>
      </c>
      <c r="L19" s="3">
        <v>0</v>
      </c>
      <c r="M19" s="3">
        <v>14709500</v>
      </c>
      <c r="N19" s="3">
        <v>0</v>
      </c>
      <c r="O19" s="3">
        <v>0</v>
      </c>
      <c r="P19" s="3">
        <v>0</v>
      </c>
      <c r="Q19" s="3">
        <v>0</v>
      </c>
      <c r="R19" s="3">
        <v>-25500</v>
      </c>
      <c r="S19" s="3">
        <v>0</v>
      </c>
      <c r="T19" s="3">
        <v>0</v>
      </c>
      <c r="U19" s="3">
        <v>0</v>
      </c>
      <c r="V19" s="3">
        <v>2005</v>
      </c>
      <c r="W19" s="3">
        <v>9825400</v>
      </c>
      <c r="X19" s="3">
        <v>14684000</v>
      </c>
      <c r="Y19" s="3">
        <v>4858600</v>
      </c>
      <c r="Z19" s="3">
        <v>13208400</v>
      </c>
      <c r="AA19" s="3">
        <v>1475600</v>
      </c>
      <c r="AB19" s="3">
        <v>11</v>
      </c>
    </row>
    <row r="20" spans="1:28" x14ac:dyDescent="0.35">
      <c r="A20">
        <v>2022</v>
      </c>
      <c r="B20" t="str">
        <f t="shared" si="1"/>
        <v>03</v>
      </c>
      <c r="C20" t="s">
        <v>38</v>
      </c>
      <c r="D20" t="s">
        <v>35</v>
      </c>
      <c r="E20" t="str">
        <f>"206"</f>
        <v>206</v>
      </c>
      <c r="F20" t="s">
        <v>38</v>
      </c>
      <c r="G20" t="str">
        <f>"004"</f>
        <v>004</v>
      </c>
      <c r="H20" t="str">
        <f>"0308"</f>
        <v>0308</v>
      </c>
      <c r="I20" s="3">
        <v>13699200</v>
      </c>
      <c r="J20" s="3">
        <v>74.38</v>
      </c>
      <c r="K20" s="3">
        <v>18417900</v>
      </c>
      <c r="L20" s="3">
        <v>0</v>
      </c>
      <c r="M20" s="3">
        <v>18417900</v>
      </c>
      <c r="N20" s="3">
        <v>335000</v>
      </c>
      <c r="O20" s="3">
        <v>335000</v>
      </c>
      <c r="P20" s="3">
        <v>0</v>
      </c>
      <c r="Q20" s="3">
        <v>0</v>
      </c>
      <c r="R20" s="3">
        <v>-32200</v>
      </c>
      <c r="S20" s="3">
        <v>0</v>
      </c>
      <c r="T20" s="3">
        <v>0</v>
      </c>
      <c r="U20" s="3">
        <v>0</v>
      </c>
      <c r="V20" s="3">
        <v>2007</v>
      </c>
      <c r="W20" s="3">
        <v>12527200</v>
      </c>
      <c r="X20" s="3">
        <v>18720700</v>
      </c>
      <c r="Y20" s="3">
        <v>6193500</v>
      </c>
      <c r="Z20" s="3">
        <v>16995600</v>
      </c>
      <c r="AA20" s="3">
        <v>1725100</v>
      </c>
      <c r="AB20" s="3">
        <v>10</v>
      </c>
    </row>
    <row r="21" spans="1:28" x14ac:dyDescent="0.35">
      <c r="A21">
        <v>2022</v>
      </c>
      <c r="B21" t="str">
        <f t="shared" si="1"/>
        <v>03</v>
      </c>
      <c r="C21" t="s">
        <v>38</v>
      </c>
      <c r="D21" t="s">
        <v>35</v>
      </c>
      <c r="E21" t="str">
        <f>"206"</f>
        <v>206</v>
      </c>
      <c r="F21" t="s">
        <v>38</v>
      </c>
      <c r="G21" t="str">
        <f>"005"</f>
        <v>005</v>
      </c>
      <c r="H21" t="str">
        <f>"0308"</f>
        <v>0308</v>
      </c>
      <c r="I21" s="3">
        <v>6363700</v>
      </c>
      <c r="J21" s="3">
        <v>74.38</v>
      </c>
      <c r="K21" s="3">
        <v>8555700</v>
      </c>
      <c r="L21" s="3">
        <v>0</v>
      </c>
      <c r="M21" s="3">
        <v>8555700</v>
      </c>
      <c r="N21" s="3">
        <v>0</v>
      </c>
      <c r="O21" s="3">
        <v>0</v>
      </c>
      <c r="P21" s="3">
        <v>0</v>
      </c>
      <c r="Q21" s="3">
        <v>0</v>
      </c>
      <c r="R21" s="3">
        <v>-15400</v>
      </c>
      <c r="S21" s="3">
        <v>0</v>
      </c>
      <c r="T21" s="3">
        <v>0</v>
      </c>
      <c r="U21" s="3">
        <v>0</v>
      </c>
      <c r="V21" s="3">
        <v>2010</v>
      </c>
      <c r="W21" s="3">
        <v>5696200</v>
      </c>
      <c r="X21" s="3">
        <v>8540300</v>
      </c>
      <c r="Y21" s="3">
        <v>2844100</v>
      </c>
      <c r="Z21" s="3">
        <v>7952900</v>
      </c>
      <c r="AA21" s="3">
        <v>587400</v>
      </c>
      <c r="AB21" s="3">
        <v>7</v>
      </c>
    </row>
    <row r="22" spans="1:28" x14ac:dyDescent="0.35">
      <c r="A22">
        <v>2022</v>
      </c>
      <c r="B22" t="str">
        <f t="shared" si="1"/>
        <v>03</v>
      </c>
      <c r="C22" t="s">
        <v>38</v>
      </c>
      <c r="D22" t="s">
        <v>35</v>
      </c>
      <c r="E22" t="str">
        <f>"206"</f>
        <v>206</v>
      </c>
      <c r="F22" t="s">
        <v>38</v>
      </c>
      <c r="G22" t="str">
        <f>"006"</f>
        <v>006</v>
      </c>
      <c r="H22" t="str">
        <f>"0308"</f>
        <v>0308</v>
      </c>
      <c r="I22" s="3">
        <v>6881800</v>
      </c>
      <c r="J22" s="3">
        <v>74.38</v>
      </c>
      <c r="K22" s="3">
        <v>9252200</v>
      </c>
      <c r="L22" s="3">
        <v>0</v>
      </c>
      <c r="M22" s="3">
        <v>9252200</v>
      </c>
      <c r="N22" s="3">
        <v>0</v>
      </c>
      <c r="O22" s="3">
        <v>0</v>
      </c>
      <c r="P22" s="3">
        <v>0</v>
      </c>
      <c r="Q22" s="3">
        <v>0</v>
      </c>
      <c r="R22" s="3">
        <v>-16000</v>
      </c>
      <c r="S22" s="3">
        <v>0</v>
      </c>
      <c r="T22" s="3">
        <v>0</v>
      </c>
      <c r="U22" s="3">
        <v>0</v>
      </c>
      <c r="V22" s="3">
        <v>2015</v>
      </c>
      <c r="W22" s="3">
        <v>4803300</v>
      </c>
      <c r="X22" s="3">
        <v>9236200</v>
      </c>
      <c r="Y22" s="3">
        <v>4432900</v>
      </c>
      <c r="Z22" s="3">
        <v>8307700</v>
      </c>
      <c r="AA22" s="3">
        <v>928500</v>
      </c>
      <c r="AB22" s="3">
        <v>11</v>
      </c>
    </row>
    <row r="23" spans="1:28" x14ac:dyDescent="0.35">
      <c r="A23">
        <v>2022</v>
      </c>
      <c r="B23" t="str">
        <f t="shared" si="1"/>
        <v>03</v>
      </c>
      <c r="C23" t="s">
        <v>38</v>
      </c>
      <c r="D23" t="s">
        <v>35</v>
      </c>
      <c r="E23" t="str">
        <f>"211"</f>
        <v>211</v>
      </c>
      <c r="F23" t="s">
        <v>43</v>
      </c>
      <c r="G23" t="str">
        <f>"003"</f>
        <v>003</v>
      </c>
      <c r="H23" t="str">
        <f>"1080"</f>
        <v>1080</v>
      </c>
      <c r="I23" s="3">
        <v>0</v>
      </c>
      <c r="J23" s="3">
        <v>100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120700</v>
      </c>
      <c r="V23" s="3">
        <v>2007</v>
      </c>
      <c r="W23" s="3">
        <v>222800</v>
      </c>
      <c r="X23" s="3">
        <v>120700</v>
      </c>
      <c r="Y23" s="3">
        <v>-102100</v>
      </c>
      <c r="Z23" s="3">
        <v>122400</v>
      </c>
      <c r="AA23" s="3">
        <v>-1700</v>
      </c>
      <c r="AB23" s="3">
        <v>-1</v>
      </c>
    </row>
    <row r="24" spans="1:28" x14ac:dyDescent="0.35">
      <c r="A24">
        <v>2022</v>
      </c>
      <c r="B24" t="str">
        <f t="shared" si="1"/>
        <v>03</v>
      </c>
      <c r="C24" t="s">
        <v>38</v>
      </c>
      <c r="D24" t="s">
        <v>35</v>
      </c>
      <c r="E24" t="str">
        <f>"211"</f>
        <v>211</v>
      </c>
      <c r="F24" t="s">
        <v>43</v>
      </c>
      <c r="G24" t="str">
        <f>"004"</f>
        <v>004</v>
      </c>
      <c r="H24" t="str">
        <f>"1080"</f>
        <v>1080</v>
      </c>
      <c r="I24" s="3">
        <v>3721900</v>
      </c>
      <c r="J24" s="3">
        <v>100</v>
      </c>
      <c r="K24" s="3">
        <v>3721900</v>
      </c>
      <c r="L24" s="3">
        <v>0</v>
      </c>
      <c r="M24" s="3">
        <v>3721900</v>
      </c>
      <c r="N24" s="3">
        <v>0</v>
      </c>
      <c r="O24" s="3">
        <v>0</v>
      </c>
      <c r="P24" s="3">
        <v>0</v>
      </c>
      <c r="Q24" s="3">
        <v>0</v>
      </c>
      <c r="R24" s="3">
        <v>-4100</v>
      </c>
      <c r="S24" s="3">
        <v>0</v>
      </c>
      <c r="T24" s="3">
        <v>0</v>
      </c>
      <c r="U24" s="3">
        <v>0</v>
      </c>
      <c r="V24" s="3">
        <v>2020</v>
      </c>
      <c r="W24" s="3">
        <v>3677800</v>
      </c>
      <c r="X24" s="3">
        <v>3717800</v>
      </c>
      <c r="Y24" s="3">
        <v>40000</v>
      </c>
      <c r="Z24" s="3">
        <v>4137700</v>
      </c>
      <c r="AA24" s="3">
        <v>-419900</v>
      </c>
      <c r="AB24" s="3">
        <v>-10</v>
      </c>
    </row>
    <row r="25" spans="1:28" x14ac:dyDescent="0.35">
      <c r="A25">
        <v>2022</v>
      </c>
      <c r="B25" t="str">
        <f t="shared" si="1"/>
        <v>03</v>
      </c>
      <c r="C25" t="s">
        <v>38</v>
      </c>
      <c r="D25" t="s">
        <v>35</v>
      </c>
      <c r="E25" t="str">
        <f>"212"</f>
        <v>212</v>
      </c>
      <c r="F25" t="s">
        <v>44</v>
      </c>
      <c r="G25" t="str">
        <f>"007"</f>
        <v>007</v>
      </c>
      <c r="H25" t="str">
        <f>"1260"</f>
        <v>1260</v>
      </c>
      <c r="I25" s="3">
        <v>11264900</v>
      </c>
      <c r="J25" s="3">
        <v>76.819999999999993</v>
      </c>
      <c r="K25" s="3">
        <v>14664000</v>
      </c>
      <c r="L25" s="3">
        <v>0</v>
      </c>
      <c r="M25" s="3">
        <v>14664000</v>
      </c>
      <c r="N25" s="3">
        <v>0</v>
      </c>
      <c r="O25" s="3">
        <v>0</v>
      </c>
      <c r="P25" s="3">
        <v>0</v>
      </c>
      <c r="Q25" s="3">
        <v>0</v>
      </c>
      <c r="R25" s="3">
        <v>-59200</v>
      </c>
      <c r="S25" s="3">
        <v>0</v>
      </c>
      <c r="T25" s="3">
        <v>0</v>
      </c>
      <c r="U25" s="3">
        <v>6455000</v>
      </c>
      <c r="V25" s="3">
        <v>1995</v>
      </c>
      <c r="W25" s="3">
        <v>1006400</v>
      </c>
      <c r="X25" s="3">
        <v>21059800</v>
      </c>
      <c r="Y25" s="3">
        <v>20053400</v>
      </c>
      <c r="Z25" s="3">
        <v>16269400</v>
      </c>
      <c r="AA25" s="3">
        <v>4790400</v>
      </c>
      <c r="AB25" s="3">
        <v>29</v>
      </c>
    </row>
    <row r="26" spans="1:28" x14ac:dyDescent="0.35">
      <c r="A26">
        <v>2022</v>
      </c>
      <c r="B26" t="str">
        <f t="shared" si="1"/>
        <v>03</v>
      </c>
      <c r="C26" t="s">
        <v>38</v>
      </c>
      <c r="D26" t="s">
        <v>35</v>
      </c>
      <c r="E26" t="str">
        <f>"212"</f>
        <v>212</v>
      </c>
      <c r="F26" t="s">
        <v>44</v>
      </c>
      <c r="G26" t="str">
        <f>"008"</f>
        <v>008</v>
      </c>
      <c r="H26" t="str">
        <f>"1260"</f>
        <v>1260</v>
      </c>
      <c r="I26" s="3">
        <v>2366100</v>
      </c>
      <c r="J26" s="3">
        <v>76.819999999999993</v>
      </c>
      <c r="K26" s="3">
        <v>3080100</v>
      </c>
      <c r="L26" s="3">
        <v>0</v>
      </c>
      <c r="M26" s="3">
        <v>3080100</v>
      </c>
      <c r="N26" s="3">
        <v>0</v>
      </c>
      <c r="O26" s="3">
        <v>0</v>
      </c>
      <c r="P26" s="3">
        <v>0</v>
      </c>
      <c r="Q26" s="3">
        <v>0</v>
      </c>
      <c r="R26" s="3">
        <v>-68600</v>
      </c>
      <c r="S26" s="3">
        <v>0</v>
      </c>
      <c r="T26" s="3">
        <v>0</v>
      </c>
      <c r="U26" s="3">
        <v>0</v>
      </c>
      <c r="V26" s="3">
        <v>2017</v>
      </c>
      <c r="W26" s="3">
        <v>477500</v>
      </c>
      <c r="X26" s="3">
        <v>3011500</v>
      </c>
      <c r="Y26" s="3">
        <v>2534000</v>
      </c>
      <c r="Z26" s="3">
        <v>3036800</v>
      </c>
      <c r="AA26" s="3">
        <v>-25300</v>
      </c>
      <c r="AB26" s="3">
        <v>-1</v>
      </c>
    </row>
    <row r="27" spans="1:28" x14ac:dyDescent="0.35">
      <c r="A27">
        <v>2022</v>
      </c>
      <c r="B27" t="str">
        <f t="shared" si="1"/>
        <v>03</v>
      </c>
      <c r="C27" t="s">
        <v>38</v>
      </c>
      <c r="D27" t="s">
        <v>35</v>
      </c>
      <c r="E27" t="str">
        <f>"212"</f>
        <v>212</v>
      </c>
      <c r="F27" t="s">
        <v>44</v>
      </c>
      <c r="G27" t="str">
        <f>"009"</f>
        <v>009</v>
      </c>
      <c r="H27" t="str">
        <f>"1260"</f>
        <v>1260</v>
      </c>
      <c r="I27" s="3">
        <v>8738100</v>
      </c>
      <c r="J27" s="3">
        <v>76.819999999999993</v>
      </c>
      <c r="K27" s="3">
        <v>11374800</v>
      </c>
      <c r="L27" s="3">
        <v>0</v>
      </c>
      <c r="M27" s="3">
        <v>11374800</v>
      </c>
      <c r="N27" s="3">
        <v>11059300</v>
      </c>
      <c r="O27" s="3">
        <v>11059300</v>
      </c>
      <c r="P27" s="3">
        <v>1546200</v>
      </c>
      <c r="Q27" s="3">
        <v>1546200</v>
      </c>
      <c r="R27" s="3">
        <v>210300</v>
      </c>
      <c r="S27" s="3">
        <v>0</v>
      </c>
      <c r="T27" s="3">
        <v>0</v>
      </c>
      <c r="U27" s="3">
        <v>0</v>
      </c>
      <c r="V27" s="3">
        <v>2018</v>
      </c>
      <c r="W27" s="3">
        <v>6412300</v>
      </c>
      <c r="X27" s="3">
        <v>24190600</v>
      </c>
      <c r="Y27" s="3">
        <v>17778300</v>
      </c>
      <c r="Z27" s="3">
        <v>15730000</v>
      </c>
      <c r="AA27" s="3">
        <v>8460600</v>
      </c>
      <c r="AB27" s="3">
        <v>54</v>
      </c>
    </row>
    <row r="28" spans="1:28" x14ac:dyDescent="0.35">
      <c r="A28">
        <v>2022</v>
      </c>
      <c r="B28" t="str">
        <f t="shared" si="1"/>
        <v>03</v>
      </c>
      <c r="C28" t="s">
        <v>38</v>
      </c>
      <c r="D28" t="s">
        <v>35</v>
      </c>
      <c r="E28" t="str">
        <f>"276"</f>
        <v>276</v>
      </c>
      <c r="F28" t="s">
        <v>45</v>
      </c>
      <c r="G28" t="str">
        <f>"003"</f>
        <v>003</v>
      </c>
      <c r="H28" t="str">
        <f>"4802"</f>
        <v>4802</v>
      </c>
      <c r="I28" s="3">
        <v>21580600</v>
      </c>
      <c r="J28" s="3">
        <v>100</v>
      </c>
      <c r="K28" s="3">
        <v>21580600</v>
      </c>
      <c r="L28" s="3">
        <v>0</v>
      </c>
      <c r="M28" s="3">
        <v>21580600</v>
      </c>
      <c r="N28" s="3">
        <v>806100</v>
      </c>
      <c r="O28" s="3">
        <v>806100</v>
      </c>
      <c r="P28" s="3">
        <v>0</v>
      </c>
      <c r="Q28" s="3">
        <v>0</v>
      </c>
      <c r="R28" s="3">
        <v>2061100</v>
      </c>
      <c r="S28" s="3">
        <v>0</v>
      </c>
      <c r="T28" s="3">
        <v>0</v>
      </c>
      <c r="U28" s="3">
        <v>19414000</v>
      </c>
      <c r="V28" s="3">
        <v>2001</v>
      </c>
      <c r="W28" s="3">
        <v>21358700</v>
      </c>
      <c r="X28" s="3">
        <v>43861800</v>
      </c>
      <c r="Y28" s="3">
        <v>22503100</v>
      </c>
      <c r="Z28" s="3">
        <v>40237100</v>
      </c>
      <c r="AA28" s="3">
        <v>3624700</v>
      </c>
      <c r="AB28" s="3">
        <v>9</v>
      </c>
    </row>
    <row r="29" spans="1:28" x14ac:dyDescent="0.35">
      <c r="A29">
        <v>2022</v>
      </c>
      <c r="B29" t="str">
        <f t="shared" si="1"/>
        <v>03</v>
      </c>
      <c r="C29" t="s">
        <v>38</v>
      </c>
      <c r="D29" t="s">
        <v>35</v>
      </c>
      <c r="E29" t="str">
        <f>"276"</f>
        <v>276</v>
      </c>
      <c r="F29" t="s">
        <v>45</v>
      </c>
      <c r="G29" t="str">
        <f>"004"</f>
        <v>004</v>
      </c>
      <c r="H29" t="str">
        <f>"4802"</f>
        <v>4802</v>
      </c>
      <c r="I29" s="3">
        <v>48576800</v>
      </c>
      <c r="J29" s="3">
        <v>100</v>
      </c>
      <c r="K29" s="3">
        <v>48576800</v>
      </c>
      <c r="L29" s="3">
        <v>0</v>
      </c>
      <c r="M29" s="3">
        <v>48576800</v>
      </c>
      <c r="N29" s="3">
        <v>0</v>
      </c>
      <c r="O29" s="3">
        <v>0</v>
      </c>
      <c r="P29" s="3">
        <v>0</v>
      </c>
      <c r="Q29" s="3">
        <v>0</v>
      </c>
      <c r="R29" s="3">
        <v>5039300</v>
      </c>
      <c r="S29" s="3">
        <v>0</v>
      </c>
      <c r="T29" s="3">
        <v>0</v>
      </c>
      <c r="U29" s="3">
        <v>0</v>
      </c>
      <c r="V29" s="3">
        <v>2007</v>
      </c>
      <c r="W29" s="3">
        <v>3937100</v>
      </c>
      <c r="X29" s="3">
        <v>53616100</v>
      </c>
      <c r="Y29" s="3">
        <v>49679000</v>
      </c>
      <c r="Z29" s="3">
        <v>39045800</v>
      </c>
      <c r="AA29" s="3">
        <v>14570300</v>
      </c>
      <c r="AB29" s="3">
        <v>37</v>
      </c>
    </row>
    <row r="30" spans="1:28" x14ac:dyDescent="0.35">
      <c r="A30">
        <v>2022</v>
      </c>
      <c r="B30" t="str">
        <f t="shared" si="1"/>
        <v>03</v>
      </c>
      <c r="C30" t="s">
        <v>38</v>
      </c>
      <c r="D30" t="s">
        <v>35</v>
      </c>
      <c r="E30" t="str">
        <f>"276"</f>
        <v>276</v>
      </c>
      <c r="F30" t="s">
        <v>45</v>
      </c>
      <c r="G30" t="str">
        <f>"005"</f>
        <v>005</v>
      </c>
      <c r="H30" t="str">
        <f>"4802"</f>
        <v>4802</v>
      </c>
      <c r="I30" s="3">
        <v>46963600</v>
      </c>
      <c r="J30" s="3">
        <v>100</v>
      </c>
      <c r="K30" s="3">
        <v>46963600</v>
      </c>
      <c r="L30" s="3">
        <v>0</v>
      </c>
      <c r="M30" s="3">
        <v>46963600</v>
      </c>
      <c r="N30" s="3">
        <v>5134900</v>
      </c>
      <c r="O30" s="3">
        <v>5134900</v>
      </c>
      <c r="P30" s="3">
        <v>1027300</v>
      </c>
      <c r="Q30" s="3">
        <v>1027300</v>
      </c>
      <c r="R30" s="3">
        <v>3863600</v>
      </c>
      <c r="S30" s="3">
        <v>0</v>
      </c>
      <c r="T30" s="3">
        <v>0</v>
      </c>
      <c r="U30" s="3">
        <v>0</v>
      </c>
      <c r="V30" s="3">
        <v>2019</v>
      </c>
      <c r="W30" s="3">
        <v>49422700</v>
      </c>
      <c r="X30" s="3">
        <v>56989400</v>
      </c>
      <c r="Y30" s="3">
        <v>7566700</v>
      </c>
      <c r="Z30" s="3">
        <v>49452800</v>
      </c>
      <c r="AA30" s="3">
        <v>7536600</v>
      </c>
      <c r="AB30" s="3">
        <v>15</v>
      </c>
    </row>
    <row r="31" spans="1:28" x14ac:dyDescent="0.35">
      <c r="A31">
        <v>2022</v>
      </c>
      <c r="B31" t="str">
        <f t="shared" si="1"/>
        <v>03</v>
      </c>
      <c r="C31" t="s">
        <v>38</v>
      </c>
      <c r="D31" t="s">
        <v>35</v>
      </c>
      <c r="E31" t="str">
        <f>"276"</f>
        <v>276</v>
      </c>
      <c r="F31" t="s">
        <v>45</v>
      </c>
      <c r="G31" t="str">
        <f>"006"</f>
        <v>006</v>
      </c>
      <c r="H31" t="str">
        <f>"4802"</f>
        <v>4802</v>
      </c>
      <c r="I31" s="3">
        <v>11784700</v>
      </c>
      <c r="J31" s="3">
        <v>100</v>
      </c>
      <c r="K31" s="3">
        <v>11784700</v>
      </c>
      <c r="L31" s="3">
        <v>0</v>
      </c>
      <c r="M31" s="3">
        <v>11784700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2021</v>
      </c>
      <c r="W31" s="3">
        <v>12109900</v>
      </c>
      <c r="X31" s="3">
        <v>11784700</v>
      </c>
      <c r="Y31" s="3">
        <v>-325200</v>
      </c>
      <c r="Z31" s="3">
        <v>12109900</v>
      </c>
      <c r="AA31" s="3">
        <v>-325200</v>
      </c>
      <c r="AB31" s="3">
        <v>-3</v>
      </c>
    </row>
    <row r="32" spans="1:28" x14ac:dyDescent="0.35">
      <c r="A32">
        <v>2022</v>
      </c>
      <c r="B32" t="str">
        <f>"04"</f>
        <v>04</v>
      </c>
      <c r="C32" t="s">
        <v>46</v>
      </c>
      <c r="D32" t="s">
        <v>33</v>
      </c>
      <c r="E32" t="str">
        <f>"151"</f>
        <v>151</v>
      </c>
      <c r="F32" t="s">
        <v>47</v>
      </c>
      <c r="G32" t="str">
        <f>"001"</f>
        <v>001</v>
      </c>
      <c r="H32" t="str">
        <f>"1491"</f>
        <v>1491</v>
      </c>
      <c r="I32" s="3">
        <v>954300</v>
      </c>
      <c r="J32" s="3">
        <v>65.72</v>
      </c>
      <c r="K32" s="3">
        <v>1452100</v>
      </c>
      <c r="L32" s="3">
        <v>0</v>
      </c>
      <c r="M32" s="3">
        <v>1452100</v>
      </c>
      <c r="N32" s="3">
        <v>0</v>
      </c>
      <c r="O32" s="3">
        <v>0</v>
      </c>
      <c r="P32" s="3">
        <v>0</v>
      </c>
      <c r="Q32" s="3">
        <v>0</v>
      </c>
      <c r="R32" s="3">
        <v>-300</v>
      </c>
      <c r="S32" s="3">
        <v>0</v>
      </c>
      <c r="T32" s="3">
        <v>0</v>
      </c>
      <c r="U32" s="3">
        <v>0</v>
      </c>
      <c r="V32" s="3">
        <v>1999</v>
      </c>
      <c r="W32" s="3">
        <v>159000</v>
      </c>
      <c r="X32" s="3">
        <v>1451800</v>
      </c>
      <c r="Y32" s="3">
        <v>1292800</v>
      </c>
      <c r="Z32" s="3">
        <v>1228500</v>
      </c>
      <c r="AA32" s="3">
        <v>223300</v>
      </c>
      <c r="AB32" s="3">
        <v>18</v>
      </c>
    </row>
    <row r="33" spans="1:28" x14ac:dyDescent="0.35">
      <c r="A33">
        <v>2022</v>
      </c>
      <c r="B33" t="str">
        <f>"04"</f>
        <v>04</v>
      </c>
      <c r="C33" t="s">
        <v>46</v>
      </c>
      <c r="D33" t="s">
        <v>35</v>
      </c>
      <c r="E33" t="str">
        <f>"291"</f>
        <v>291</v>
      </c>
      <c r="F33" t="s">
        <v>48</v>
      </c>
      <c r="G33" t="str">
        <f>"002"</f>
        <v>002</v>
      </c>
      <c r="H33" t="str">
        <f>"6027"</f>
        <v>6027</v>
      </c>
      <c r="I33" s="3">
        <v>17528100</v>
      </c>
      <c r="J33" s="3">
        <v>77.91</v>
      </c>
      <c r="K33" s="3">
        <v>22497900</v>
      </c>
      <c r="L33" s="3">
        <v>17126813</v>
      </c>
      <c r="M33" s="3">
        <v>17126800</v>
      </c>
      <c r="N33" s="3">
        <v>96800</v>
      </c>
      <c r="O33" s="3">
        <v>96800</v>
      </c>
      <c r="P33" s="3">
        <v>15800</v>
      </c>
      <c r="Q33" s="3">
        <v>15800</v>
      </c>
      <c r="R33" s="3">
        <v>-28700</v>
      </c>
      <c r="S33" s="3">
        <v>0</v>
      </c>
      <c r="T33" s="3">
        <v>0</v>
      </c>
      <c r="U33" s="3">
        <v>4151400</v>
      </c>
      <c r="V33" s="3">
        <v>1995</v>
      </c>
      <c r="W33" s="3">
        <v>9141200</v>
      </c>
      <c r="X33" s="3">
        <v>21362100</v>
      </c>
      <c r="Y33" s="3">
        <v>12220900</v>
      </c>
      <c r="Z33" s="3">
        <v>20723500</v>
      </c>
      <c r="AA33" s="3">
        <v>638600</v>
      </c>
      <c r="AB33" s="3">
        <v>3</v>
      </c>
    </row>
    <row r="34" spans="1:28" x14ac:dyDescent="0.35">
      <c r="A34">
        <v>2022</v>
      </c>
      <c r="B34" t="str">
        <f>"04"</f>
        <v>04</v>
      </c>
      <c r="C34" t="s">
        <v>46</v>
      </c>
      <c r="D34" t="s">
        <v>35</v>
      </c>
      <c r="E34" t="str">
        <f>"291"</f>
        <v>291</v>
      </c>
      <c r="F34" t="s">
        <v>48</v>
      </c>
      <c r="G34" t="str">
        <f>"003"</f>
        <v>003</v>
      </c>
      <c r="H34" t="str">
        <f>"6027"</f>
        <v>6027</v>
      </c>
      <c r="I34" s="3">
        <v>4944200</v>
      </c>
      <c r="J34" s="3">
        <v>77.91</v>
      </c>
      <c r="K34" s="3">
        <v>6346000</v>
      </c>
      <c r="L34" s="3">
        <v>11717109</v>
      </c>
      <c r="M34" s="3">
        <v>11717100</v>
      </c>
      <c r="N34" s="3">
        <v>862300</v>
      </c>
      <c r="O34" s="3">
        <v>862300</v>
      </c>
      <c r="P34" s="3">
        <v>79100</v>
      </c>
      <c r="Q34" s="3">
        <v>79100</v>
      </c>
      <c r="R34" s="3">
        <v>-19400</v>
      </c>
      <c r="S34" s="3">
        <v>0</v>
      </c>
      <c r="T34" s="3">
        <v>0</v>
      </c>
      <c r="U34" s="3">
        <v>0</v>
      </c>
      <c r="V34" s="3">
        <v>2015</v>
      </c>
      <c r="W34" s="3">
        <v>9747800</v>
      </c>
      <c r="X34" s="3">
        <v>12639100</v>
      </c>
      <c r="Y34" s="3">
        <v>2891300</v>
      </c>
      <c r="Z34" s="3">
        <v>12056000</v>
      </c>
      <c r="AA34" s="3">
        <v>583100</v>
      </c>
      <c r="AB34" s="3">
        <v>5</v>
      </c>
    </row>
    <row r="35" spans="1:28" x14ac:dyDescent="0.35">
      <c r="A35">
        <v>2022</v>
      </c>
      <c r="B35" t="str">
        <f t="shared" ref="B35:B66" si="2">"05"</f>
        <v>05</v>
      </c>
      <c r="C35" t="s">
        <v>49</v>
      </c>
      <c r="D35" t="s">
        <v>31</v>
      </c>
      <c r="E35" t="str">
        <f>"024"</f>
        <v>024</v>
      </c>
      <c r="F35" t="s">
        <v>50</v>
      </c>
      <c r="G35" t="str">
        <f>"001A"</f>
        <v>001A</v>
      </c>
      <c r="H35" t="str">
        <f>"6328"</f>
        <v>6328</v>
      </c>
      <c r="I35" s="3">
        <v>29665100</v>
      </c>
      <c r="J35" s="3">
        <v>93.77</v>
      </c>
      <c r="K35" s="3">
        <v>31636000</v>
      </c>
      <c r="L35" s="3">
        <v>0</v>
      </c>
      <c r="M35" s="3">
        <v>31636000</v>
      </c>
      <c r="N35" s="3">
        <v>0</v>
      </c>
      <c r="O35" s="3">
        <v>0</v>
      </c>
      <c r="P35" s="3">
        <v>0</v>
      </c>
      <c r="Q35" s="3">
        <v>0</v>
      </c>
      <c r="R35" s="3">
        <v>6478500</v>
      </c>
      <c r="S35" s="3">
        <v>0</v>
      </c>
      <c r="T35" s="3">
        <v>0</v>
      </c>
      <c r="U35" s="3">
        <v>0</v>
      </c>
      <c r="V35" s="3">
        <v>2018</v>
      </c>
      <c r="W35" s="3">
        <v>212900</v>
      </c>
      <c r="X35" s="3">
        <v>38114500</v>
      </c>
      <c r="Y35" s="3">
        <v>37901600</v>
      </c>
      <c r="Z35" s="3">
        <v>13676400</v>
      </c>
      <c r="AA35" s="3">
        <v>24438100</v>
      </c>
      <c r="AB35" s="3">
        <v>179</v>
      </c>
    </row>
    <row r="36" spans="1:28" x14ac:dyDescent="0.35">
      <c r="A36">
        <v>2022</v>
      </c>
      <c r="B36" t="str">
        <f t="shared" si="2"/>
        <v>05</v>
      </c>
      <c r="C36" t="s">
        <v>49</v>
      </c>
      <c r="D36" t="s">
        <v>31</v>
      </c>
      <c r="E36" t="str">
        <f>"024"</f>
        <v>024</v>
      </c>
      <c r="F36" t="s">
        <v>50</v>
      </c>
      <c r="G36" t="str">
        <f>"002A"</f>
        <v>002A</v>
      </c>
      <c r="H36" t="str">
        <f>"6328"</f>
        <v>6328</v>
      </c>
      <c r="I36" s="3">
        <v>25456000</v>
      </c>
      <c r="J36" s="3">
        <v>93.77</v>
      </c>
      <c r="K36" s="3">
        <v>27147300</v>
      </c>
      <c r="L36" s="3">
        <v>0</v>
      </c>
      <c r="M36" s="3">
        <v>27147300</v>
      </c>
      <c r="N36" s="3">
        <v>0</v>
      </c>
      <c r="O36" s="3">
        <v>0</v>
      </c>
      <c r="P36" s="3">
        <v>0</v>
      </c>
      <c r="Q36" s="3">
        <v>0</v>
      </c>
      <c r="R36" s="3">
        <v>4238900</v>
      </c>
      <c r="S36" s="3">
        <v>0</v>
      </c>
      <c r="T36" s="3">
        <v>0</v>
      </c>
      <c r="U36" s="3">
        <v>0</v>
      </c>
      <c r="V36" s="3">
        <v>2018</v>
      </c>
      <c r="W36" s="3">
        <v>1218900</v>
      </c>
      <c r="X36" s="3">
        <v>31386200</v>
      </c>
      <c r="Y36" s="3">
        <v>30167300</v>
      </c>
      <c r="Z36" s="3">
        <v>18730400</v>
      </c>
      <c r="AA36" s="3">
        <v>12655800</v>
      </c>
      <c r="AB36" s="3">
        <v>68</v>
      </c>
    </row>
    <row r="37" spans="1:28" x14ac:dyDescent="0.35">
      <c r="A37">
        <v>2022</v>
      </c>
      <c r="B37" t="str">
        <f t="shared" si="2"/>
        <v>05</v>
      </c>
      <c r="C37" t="s">
        <v>49</v>
      </c>
      <c r="D37" t="s">
        <v>31</v>
      </c>
      <c r="E37" t="str">
        <f>"025"</f>
        <v>025</v>
      </c>
      <c r="F37" t="s">
        <v>51</v>
      </c>
      <c r="G37" t="str">
        <f>"001A"</f>
        <v>001A</v>
      </c>
      <c r="H37" t="str">
        <f>"1414"</f>
        <v>1414</v>
      </c>
      <c r="I37" s="3">
        <v>80093300</v>
      </c>
      <c r="J37" s="3">
        <v>100</v>
      </c>
      <c r="K37" s="3">
        <v>80093300</v>
      </c>
      <c r="L37" s="3">
        <v>0</v>
      </c>
      <c r="M37" s="3">
        <v>80093300</v>
      </c>
      <c r="N37" s="3">
        <v>0</v>
      </c>
      <c r="O37" s="3">
        <v>0</v>
      </c>
      <c r="P37" s="3">
        <v>0</v>
      </c>
      <c r="Q37" s="3">
        <v>0</v>
      </c>
      <c r="R37" s="3">
        <v>-244500</v>
      </c>
      <c r="S37" s="3">
        <v>0</v>
      </c>
      <c r="T37" s="3">
        <v>0</v>
      </c>
      <c r="U37" s="3">
        <v>0</v>
      </c>
      <c r="V37" s="3">
        <v>2015</v>
      </c>
      <c r="W37" s="3">
        <v>40566600</v>
      </c>
      <c r="X37" s="3">
        <v>79848800</v>
      </c>
      <c r="Y37" s="3">
        <v>39282200</v>
      </c>
      <c r="Z37" s="3">
        <v>66313500</v>
      </c>
      <c r="AA37" s="3">
        <v>13535300</v>
      </c>
      <c r="AB37" s="3">
        <v>20</v>
      </c>
    </row>
    <row r="38" spans="1:28" x14ac:dyDescent="0.35">
      <c r="A38">
        <v>2022</v>
      </c>
      <c r="B38" t="str">
        <f t="shared" si="2"/>
        <v>05</v>
      </c>
      <c r="C38" t="s">
        <v>49</v>
      </c>
      <c r="D38" t="s">
        <v>31</v>
      </c>
      <c r="E38" t="str">
        <f>"025"</f>
        <v>025</v>
      </c>
      <c r="F38" t="s">
        <v>51</v>
      </c>
      <c r="G38" t="str">
        <f>"002T"</f>
        <v>002T</v>
      </c>
      <c r="H38" t="str">
        <f>"1414"</f>
        <v>1414</v>
      </c>
      <c r="I38" s="3">
        <v>10312000</v>
      </c>
      <c r="J38" s="3">
        <v>100</v>
      </c>
      <c r="K38" s="3">
        <v>10312000</v>
      </c>
      <c r="L38" s="3">
        <v>0</v>
      </c>
      <c r="M38" s="3">
        <v>10312000</v>
      </c>
      <c r="N38" s="3">
        <v>0</v>
      </c>
      <c r="O38" s="3">
        <v>0</v>
      </c>
      <c r="P38" s="3">
        <v>0</v>
      </c>
      <c r="Q38" s="3">
        <v>0</v>
      </c>
      <c r="R38" s="3">
        <v>-23100</v>
      </c>
      <c r="S38" s="3">
        <v>0</v>
      </c>
      <c r="T38" s="3">
        <v>0</v>
      </c>
      <c r="U38" s="3">
        <v>0</v>
      </c>
      <c r="V38" s="3">
        <v>2019</v>
      </c>
      <c r="W38" s="3">
        <v>440000</v>
      </c>
      <c r="X38" s="3">
        <v>10288900</v>
      </c>
      <c r="Y38" s="3">
        <v>9848900</v>
      </c>
      <c r="Z38" s="3">
        <v>6255100</v>
      </c>
      <c r="AA38" s="3">
        <v>4033800</v>
      </c>
      <c r="AB38" s="3">
        <v>64</v>
      </c>
    </row>
    <row r="39" spans="1:28" x14ac:dyDescent="0.35">
      <c r="A39">
        <v>2022</v>
      </c>
      <c r="B39" t="str">
        <f t="shared" si="2"/>
        <v>05</v>
      </c>
      <c r="C39" t="s">
        <v>49</v>
      </c>
      <c r="D39" t="s">
        <v>33</v>
      </c>
      <c r="E39" t="str">
        <f>"102"</f>
        <v>102</v>
      </c>
      <c r="F39" t="s">
        <v>52</v>
      </c>
      <c r="G39" t="str">
        <f>"001"</f>
        <v>001</v>
      </c>
      <c r="H39" t="str">
        <f>"2289"</f>
        <v>2289</v>
      </c>
      <c r="I39" s="3">
        <v>122869800</v>
      </c>
      <c r="J39" s="3">
        <v>90.33</v>
      </c>
      <c r="K39" s="3">
        <v>136023200</v>
      </c>
      <c r="L39" s="3">
        <v>0</v>
      </c>
      <c r="M39" s="3">
        <v>136023200</v>
      </c>
      <c r="N39" s="3">
        <v>0</v>
      </c>
      <c r="O39" s="3">
        <v>0</v>
      </c>
      <c r="P39" s="3">
        <v>0</v>
      </c>
      <c r="Q39" s="3">
        <v>0</v>
      </c>
      <c r="R39" s="3">
        <v>-1031600</v>
      </c>
      <c r="S39" s="3">
        <v>0</v>
      </c>
      <c r="T39" s="3">
        <v>0</v>
      </c>
      <c r="U39" s="3">
        <v>0</v>
      </c>
      <c r="V39" s="3">
        <v>2012</v>
      </c>
      <c r="W39" s="3">
        <v>84407400</v>
      </c>
      <c r="X39" s="3">
        <v>134991600</v>
      </c>
      <c r="Y39" s="3">
        <v>50584200</v>
      </c>
      <c r="Z39" s="3">
        <v>119951100</v>
      </c>
      <c r="AA39" s="3">
        <v>15040500</v>
      </c>
      <c r="AB39" s="3">
        <v>13</v>
      </c>
    </row>
    <row r="40" spans="1:28" x14ac:dyDescent="0.35">
      <c r="A40">
        <v>2022</v>
      </c>
      <c r="B40" t="str">
        <f t="shared" si="2"/>
        <v>05</v>
      </c>
      <c r="C40" t="s">
        <v>49</v>
      </c>
      <c r="D40" t="s">
        <v>33</v>
      </c>
      <c r="E40" t="str">
        <f>"104"</f>
        <v>104</v>
      </c>
      <c r="F40" t="s">
        <v>53</v>
      </c>
      <c r="G40" t="str">
        <f>"003"</f>
        <v>003</v>
      </c>
      <c r="H40" t="str">
        <f>"0182"</f>
        <v>0182</v>
      </c>
      <c r="I40" s="3">
        <v>555126500</v>
      </c>
      <c r="J40" s="3">
        <v>88.9</v>
      </c>
      <c r="K40" s="3">
        <v>624439300</v>
      </c>
      <c r="L40" s="3">
        <v>0</v>
      </c>
      <c r="M40" s="3">
        <v>624439300</v>
      </c>
      <c r="N40" s="3">
        <v>25112900</v>
      </c>
      <c r="O40" s="3">
        <v>25112900</v>
      </c>
      <c r="P40" s="3">
        <v>1737400</v>
      </c>
      <c r="Q40" s="3">
        <v>1737400</v>
      </c>
      <c r="R40" s="3">
        <v>33326700</v>
      </c>
      <c r="S40" s="3">
        <v>0</v>
      </c>
      <c r="T40" s="3">
        <v>0</v>
      </c>
      <c r="U40" s="3">
        <v>70966200</v>
      </c>
      <c r="V40" s="3">
        <v>2008</v>
      </c>
      <c r="W40" s="3">
        <v>349253900</v>
      </c>
      <c r="X40" s="3">
        <v>755582500</v>
      </c>
      <c r="Y40" s="3">
        <v>406328600</v>
      </c>
      <c r="Z40" s="3">
        <v>563924100</v>
      </c>
      <c r="AA40" s="3">
        <v>191658400</v>
      </c>
      <c r="AB40" s="3">
        <v>34</v>
      </c>
    </row>
    <row r="41" spans="1:28" x14ac:dyDescent="0.35">
      <c r="A41">
        <v>2022</v>
      </c>
      <c r="B41" t="str">
        <f t="shared" si="2"/>
        <v>05</v>
      </c>
      <c r="C41" t="s">
        <v>49</v>
      </c>
      <c r="D41" t="s">
        <v>33</v>
      </c>
      <c r="E41" t="str">
        <f>"104"</f>
        <v>104</v>
      </c>
      <c r="F41" t="s">
        <v>53</v>
      </c>
      <c r="G41" t="str">
        <f>"004"</f>
        <v>004</v>
      </c>
      <c r="H41" t="str">
        <f>"0182"</f>
        <v>0182</v>
      </c>
      <c r="I41" s="3">
        <v>6252800</v>
      </c>
      <c r="J41" s="3">
        <v>88.9</v>
      </c>
      <c r="K41" s="3">
        <v>7033500</v>
      </c>
      <c r="L41" s="3">
        <v>0</v>
      </c>
      <c r="M41" s="3">
        <v>7033500</v>
      </c>
      <c r="N41" s="3">
        <v>21198300</v>
      </c>
      <c r="O41" s="3">
        <v>21198300</v>
      </c>
      <c r="P41" s="3">
        <v>984200</v>
      </c>
      <c r="Q41" s="3">
        <v>984200</v>
      </c>
      <c r="R41" s="3">
        <v>-3372900</v>
      </c>
      <c r="S41" s="3">
        <v>0</v>
      </c>
      <c r="T41" s="3">
        <v>0</v>
      </c>
      <c r="U41" s="3">
        <v>0</v>
      </c>
      <c r="V41" s="3">
        <v>2008</v>
      </c>
      <c r="W41" s="3">
        <v>1040700</v>
      </c>
      <c r="X41" s="3">
        <v>25843100</v>
      </c>
      <c r="Y41" s="3">
        <v>24802400</v>
      </c>
      <c r="Z41" s="3">
        <v>32214000</v>
      </c>
      <c r="AA41" s="3">
        <v>-6370900</v>
      </c>
      <c r="AB41" s="3">
        <v>-20</v>
      </c>
    </row>
    <row r="42" spans="1:28" x14ac:dyDescent="0.35">
      <c r="A42">
        <v>2022</v>
      </c>
      <c r="B42" t="str">
        <f t="shared" si="2"/>
        <v>05</v>
      </c>
      <c r="C42" t="s">
        <v>49</v>
      </c>
      <c r="D42" t="s">
        <v>33</v>
      </c>
      <c r="E42" t="str">
        <f>"104"</f>
        <v>104</v>
      </c>
      <c r="F42" t="s">
        <v>53</v>
      </c>
      <c r="G42" t="str">
        <f>"004"</f>
        <v>004</v>
      </c>
      <c r="H42" t="str">
        <f>"6328"</f>
        <v>6328</v>
      </c>
      <c r="I42" s="3">
        <v>58307200</v>
      </c>
      <c r="J42" s="3">
        <v>88.9</v>
      </c>
      <c r="K42" s="3">
        <v>65587400</v>
      </c>
      <c r="L42" s="3">
        <v>0</v>
      </c>
      <c r="M42" s="3">
        <v>65587400</v>
      </c>
      <c r="N42" s="3">
        <v>0</v>
      </c>
      <c r="O42" s="3">
        <v>0</v>
      </c>
      <c r="P42" s="3">
        <v>0</v>
      </c>
      <c r="Q42" s="3">
        <v>0</v>
      </c>
      <c r="R42" s="3">
        <v>5416400</v>
      </c>
      <c r="S42" s="3">
        <v>0</v>
      </c>
      <c r="T42" s="3">
        <v>0</v>
      </c>
      <c r="U42" s="3">
        <v>0</v>
      </c>
      <c r="V42" s="3">
        <v>2008</v>
      </c>
      <c r="W42" s="3">
        <v>14946700</v>
      </c>
      <c r="X42" s="3">
        <v>71003800</v>
      </c>
      <c r="Y42" s="3">
        <v>56057100</v>
      </c>
      <c r="Z42" s="3">
        <v>52928800</v>
      </c>
      <c r="AA42" s="3">
        <v>18075000</v>
      </c>
      <c r="AB42" s="3">
        <v>34</v>
      </c>
    </row>
    <row r="43" spans="1:28" x14ac:dyDescent="0.35">
      <c r="A43">
        <v>2022</v>
      </c>
      <c r="B43" t="str">
        <f t="shared" si="2"/>
        <v>05</v>
      </c>
      <c r="C43" t="s">
        <v>49</v>
      </c>
      <c r="D43" t="s">
        <v>33</v>
      </c>
      <c r="E43" t="str">
        <f>"104"</f>
        <v>104</v>
      </c>
      <c r="F43" t="s">
        <v>53</v>
      </c>
      <c r="G43" t="str">
        <f>"005"</f>
        <v>005</v>
      </c>
      <c r="H43" t="str">
        <f>"0182"</f>
        <v>0182</v>
      </c>
      <c r="I43" s="3">
        <v>108651200</v>
      </c>
      <c r="J43" s="3">
        <v>88.9</v>
      </c>
      <c r="K43" s="3">
        <v>122217300</v>
      </c>
      <c r="L43" s="3">
        <v>0</v>
      </c>
      <c r="M43" s="3">
        <v>122217300</v>
      </c>
      <c r="N43" s="3">
        <v>3113900</v>
      </c>
      <c r="O43" s="3">
        <v>3113900</v>
      </c>
      <c r="P43" s="3">
        <v>170000</v>
      </c>
      <c r="Q43" s="3">
        <v>170000</v>
      </c>
      <c r="R43" s="3">
        <v>13296500</v>
      </c>
      <c r="S43" s="3">
        <v>0</v>
      </c>
      <c r="T43" s="3">
        <v>0</v>
      </c>
      <c r="U43" s="3">
        <v>0</v>
      </c>
      <c r="V43" s="3">
        <v>2014</v>
      </c>
      <c r="W43" s="3">
        <v>85274300</v>
      </c>
      <c r="X43" s="3">
        <v>138797700</v>
      </c>
      <c r="Y43" s="3">
        <v>53523400</v>
      </c>
      <c r="Z43" s="3">
        <v>88303900</v>
      </c>
      <c r="AA43" s="3">
        <v>50493800</v>
      </c>
      <c r="AB43" s="3">
        <v>57</v>
      </c>
    </row>
    <row r="44" spans="1:28" x14ac:dyDescent="0.35">
      <c r="A44">
        <v>2022</v>
      </c>
      <c r="B44" t="str">
        <f t="shared" si="2"/>
        <v>05</v>
      </c>
      <c r="C44" t="s">
        <v>49</v>
      </c>
      <c r="D44" t="s">
        <v>33</v>
      </c>
      <c r="E44" t="str">
        <f>"106"</f>
        <v>106</v>
      </c>
      <c r="F44" t="s">
        <v>54</v>
      </c>
      <c r="G44" t="str">
        <f>"001"</f>
        <v>001</v>
      </c>
      <c r="H44" t="str">
        <f>"2289"</f>
        <v>2289</v>
      </c>
      <c r="I44" s="3">
        <v>33900800</v>
      </c>
      <c r="J44" s="3">
        <v>87.65</v>
      </c>
      <c r="K44" s="3">
        <v>38677500</v>
      </c>
      <c r="L44" s="3">
        <v>0</v>
      </c>
      <c r="M44" s="3">
        <v>38677500</v>
      </c>
      <c r="N44" s="3">
        <v>0</v>
      </c>
      <c r="O44" s="3">
        <v>0</v>
      </c>
      <c r="P44" s="3">
        <v>0</v>
      </c>
      <c r="Q44" s="3">
        <v>0</v>
      </c>
      <c r="R44" s="3">
        <v>-36700</v>
      </c>
      <c r="S44" s="3">
        <v>0</v>
      </c>
      <c r="T44" s="3">
        <v>0</v>
      </c>
      <c r="U44" s="3">
        <v>0</v>
      </c>
      <c r="V44" s="3">
        <v>2013</v>
      </c>
      <c r="W44" s="3">
        <v>7198700</v>
      </c>
      <c r="X44" s="3">
        <v>38640800</v>
      </c>
      <c r="Y44" s="3">
        <v>31442100</v>
      </c>
      <c r="Z44" s="3">
        <v>34680900</v>
      </c>
      <c r="AA44" s="3">
        <v>3959900</v>
      </c>
      <c r="AB44" s="3">
        <v>11</v>
      </c>
    </row>
    <row r="45" spans="1:28" x14ac:dyDescent="0.35">
      <c r="A45">
        <v>2022</v>
      </c>
      <c r="B45" t="str">
        <f t="shared" si="2"/>
        <v>05</v>
      </c>
      <c r="C45" t="s">
        <v>49</v>
      </c>
      <c r="D45" t="s">
        <v>33</v>
      </c>
      <c r="E45" t="str">
        <f>"106"</f>
        <v>106</v>
      </c>
      <c r="F45" t="s">
        <v>54</v>
      </c>
      <c r="G45" t="str">
        <f>"002"</f>
        <v>002</v>
      </c>
      <c r="H45" t="str">
        <f>"2289"</f>
        <v>2289</v>
      </c>
      <c r="I45" s="3">
        <v>42926100</v>
      </c>
      <c r="J45" s="3">
        <v>87.65</v>
      </c>
      <c r="K45" s="3">
        <v>48974400</v>
      </c>
      <c r="L45" s="3">
        <v>0</v>
      </c>
      <c r="M45" s="3">
        <v>48974400</v>
      </c>
      <c r="N45" s="3">
        <v>0</v>
      </c>
      <c r="O45" s="3">
        <v>0</v>
      </c>
      <c r="P45" s="3">
        <v>0</v>
      </c>
      <c r="Q45" s="3">
        <v>0</v>
      </c>
      <c r="R45" s="3">
        <v>-33100</v>
      </c>
      <c r="S45" s="3">
        <v>0</v>
      </c>
      <c r="T45" s="3">
        <v>0</v>
      </c>
      <c r="U45" s="3">
        <v>0</v>
      </c>
      <c r="V45" s="3">
        <v>2016</v>
      </c>
      <c r="W45" s="3">
        <v>3212200</v>
      </c>
      <c r="X45" s="3">
        <v>48941300</v>
      </c>
      <c r="Y45" s="3">
        <v>45729100</v>
      </c>
      <c r="Z45" s="3">
        <v>42688900</v>
      </c>
      <c r="AA45" s="3">
        <v>6252400</v>
      </c>
      <c r="AB45" s="3">
        <v>15</v>
      </c>
    </row>
    <row r="46" spans="1:28" x14ac:dyDescent="0.35">
      <c r="A46">
        <v>2022</v>
      </c>
      <c r="B46" t="str">
        <f t="shared" si="2"/>
        <v>05</v>
      </c>
      <c r="C46" t="s">
        <v>49</v>
      </c>
      <c r="D46" t="s">
        <v>33</v>
      </c>
      <c r="E46" t="str">
        <f>"116"</f>
        <v>116</v>
      </c>
      <c r="F46" t="s">
        <v>55</v>
      </c>
      <c r="G46" t="str">
        <f>"002"</f>
        <v>002</v>
      </c>
      <c r="H46" t="str">
        <f>"1407"</f>
        <v>1407</v>
      </c>
      <c r="I46" s="3">
        <v>2919700</v>
      </c>
      <c r="J46" s="3">
        <v>74.66</v>
      </c>
      <c r="K46" s="3">
        <v>3910700</v>
      </c>
      <c r="L46" s="3">
        <v>0</v>
      </c>
      <c r="M46" s="3">
        <v>3910700</v>
      </c>
      <c r="N46" s="3">
        <v>11115000</v>
      </c>
      <c r="O46" s="3">
        <v>11115000</v>
      </c>
      <c r="P46" s="3">
        <v>342900</v>
      </c>
      <c r="Q46" s="3">
        <v>342900</v>
      </c>
      <c r="R46" s="3">
        <v>0</v>
      </c>
      <c r="S46" s="3">
        <v>0</v>
      </c>
      <c r="T46" s="3">
        <v>0</v>
      </c>
      <c r="U46" s="3">
        <v>0</v>
      </c>
      <c r="V46" s="3">
        <v>2021</v>
      </c>
      <c r="W46" s="3">
        <v>9372500</v>
      </c>
      <c r="X46" s="3">
        <v>15368600</v>
      </c>
      <c r="Y46" s="3">
        <v>5996100</v>
      </c>
      <c r="Z46" s="3">
        <v>9372500</v>
      </c>
      <c r="AA46" s="3">
        <v>5996100</v>
      </c>
      <c r="AB46" s="3">
        <v>64</v>
      </c>
    </row>
    <row r="47" spans="1:28" x14ac:dyDescent="0.35">
      <c r="A47">
        <v>2022</v>
      </c>
      <c r="B47" t="str">
        <f t="shared" si="2"/>
        <v>05</v>
      </c>
      <c r="C47" t="s">
        <v>49</v>
      </c>
      <c r="D47" t="s">
        <v>33</v>
      </c>
      <c r="E47" t="str">
        <f>"126"</f>
        <v>126</v>
      </c>
      <c r="F47" t="s">
        <v>56</v>
      </c>
      <c r="G47" t="str">
        <f>"001"</f>
        <v>001</v>
      </c>
      <c r="H47" t="str">
        <f>"4613"</f>
        <v>4613</v>
      </c>
      <c r="I47" s="3">
        <v>247054400</v>
      </c>
      <c r="J47" s="3">
        <v>94.39</v>
      </c>
      <c r="K47" s="3">
        <v>261737900</v>
      </c>
      <c r="L47" s="3">
        <v>0</v>
      </c>
      <c r="M47" s="3">
        <v>261737900</v>
      </c>
      <c r="N47" s="3">
        <v>5934600</v>
      </c>
      <c r="O47" s="3">
        <v>5934600</v>
      </c>
      <c r="P47" s="3">
        <v>178900</v>
      </c>
      <c r="Q47" s="3">
        <v>178900</v>
      </c>
      <c r="R47" s="3">
        <v>6653300</v>
      </c>
      <c r="S47" s="3">
        <v>0</v>
      </c>
      <c r="T47" s="3">
        <v>0</v>
      </c>
      <c r="U47" s="3">
        <v>0</v>
      </c>
      <c r="V47" s="3">
        <v>2009</v>
      </c>
      <c r="W47" s="3">
        <v>20991900</v>
      </c>
      <c r="X47" s="3">
        <v>274504700</v>
      </c>
      <c r="Y47" s="3">
        <v>253512800</v>
      </c>
      <c r="Z47" s="3">
        <v>231245400</v>
      </c>
      <c r="AA47" s="3">
        <v>43259300</v>
      </c>
      <c r="AB47" s="3">
        <v>19</v>
      </c>
    </row>
    <row r="48" spans="1:28" x14ac:dyDescent="0.35">
      <c r="A48">
        <v>2022</v>
      </c>
      <c r="B48" t="str">
        <f t="shared" si="2"/>
        <v>05</v>
      </c>
      <c r="C48" t="s">
        <v>49</v>
      </c>
      <c r="D48" t="s">
        <v>33</v>
      </c>
      <c r="E48" t="str">
        <f>"126"</f>
        <v>126</v>
      </c>
      <c r="F48" t="s">
        <v>56</v>
      </c>
      <c r="G48" t="str">
        <f>"002"</f>
        <v>002</v>
      </c>
      <c r="H48" t="str">
        <f>"6328"</f>
        <v>6328</v>
      </c>
      <c r="I48" s="3">
        <v>100321300</v>
      </c>
      <c r="J48" s="3">
        <v>94.39</v>
      </c>
      <c r="K48" s="3">
        <v>106283800</v>
      </c>
      <c r="L48" s="3">
        <v>0</v>
      </c>
      <c r="M48" s="3">
        <v>106283800</v>
      </c>
      <c r="N48" s="3">
        <v>25671600</v>
      </c>
      <c r="O48" s="3">
        <v>25671600</v>
      </c>
      <c r="P48" s="3">
        <v>554500</v>
      </c>
      <c r="Q48" s="3">
        <v>554500</v>
      </c>
      <c r="R48" s="3">
        <v>5299200</v>
      </c>
      <c r="S48" s="3">
        <v>0</v>
      </c>
      <c r="T48" s="3">
        <v>0</v>
      </c>
      <c r="U48" s="3">
        <v>0</v>
      </c>
      <c r="V48" s="3">
        <v>2011</v>
      </c>
      <c r="W48" s="3">
        <v>3285500</v>
      </c>
      <c r="X48" s="3">
        <v>137809100</v>
      </c>
      <c r="Y48" s="3">
        <v>134523600</v>
      </c>
      <c r="Z48" s="3">
        <v>97108400</v>
      </c>
      <c r="AA48" s="3">
        <v>40700700</v>
      </c>
      <c r="AB48" s="3">
        <v>42</v>
      </c>
    </row>
    <row r="49" spans="1:28" x14ac:dyDescent="0.35">
      <c r="A49">
        <v>2022</v>
      </c>
      <c r="B49" t="str">
        <f t="shared" si="2"/>
        <v>05</v>
      </c>
      <c r="C49" t="s">
        <v>49</v>
      </c>
      <c r="D49" t="s">
        <v>33</v>
      </c>
      <c r="E49" t="str">
        <f t="shared" ref="E49:E55" si="3">"136"</f>
        <v>136</v>
      </c>
      <c r="F49" t="s">
        <v>57</v>
      </c>
      <c r="G49" t="str">
        <f>"003"</f>
        <v>003</v>
      </c>
      <c r="H49" t="str">
        <f t="shared" ref="H49:H55" si="4">"2604"</f>
        <v>2604</v>
      </c>
      <c r="I49" s="3">
        <v>50365700</v>
      </c>
      <c r="J49" s="3">
        <v>100</v>
      </c>
      <c r="K49" s="3">
        <v>50365700</v>
      </c>
      <c r="L49" s="3">
        <v>0</v>
      </c>
      <c r="M49" s="3">
        <v>50365700</v>
      </c>
      <c r="N49" s="3">
        <v>587700</v>
      </c>
      <c r="O49" s="3">
        <v>587700</v>
      </c>
      <c r="P49" s="3">
        <v>8400</v>
      </c>
      <c r="Q49" s="3">
        <v>8400</v>
      </c>
      <c r="R49" s="3">
        <v>-186100</v>
      </c>
      <c r="S49" s="3">
        <v>0</v>
      </c>
      <c r="T49" s="3">
        <v>0</v>
      </c>
      <c r="U49" s="3">
        <v>4415600</v>
      </c>
      <c r="V49" s="3">
        <v>2006</v>
      </c>
      <c r="W49" s="3">
        <v>16302800</v>
      </c>
      <c r="X49" s="3">
        <v>55191300</v>
      </c>
      <c r="Y49" s="3">
        <v>38888500</v>
      </c>
      <c r="Z49" s="3">
        <v>49858000</v>
      </c>
      <c r="AA49" s="3">
        <v>5333300</v>
      </c>
      <c r="AB49" s="3">
        <v>11</v>
      </c>
    </row>
    <row r="50" spans="1:28" x14ac:dyDescent="0.35">
      <c r="A50">
        <v>2022</v>
      </c>
      <c r="B50" t="str">
        <f t="shared" si="2"/>
        <v>05</v>
      </c>
      <c r="C50" t="s">
        <v>49</v>
      </c>
      <c r="D50" t="s">
        <v>33</v>
      </c>
      <c r="E50" t="str">
        <f t="shared" si="3"/>
        <v>136</v>
      </c>
      <c r="F50" t="s">
        <v>57</v>
      </c>
      <c r="G50" t="str">
        <f>"004"</f>
        <v>004</v>
      </c>
      <c r="H50" t="str">
        <f t="shared" si="4"/>
        <v>2604</v>
      </c>
      <c r="I50" s="3">
        <v>125261100</v>
      </c>
      <c r="J50" s="3">
        <v>100</v>
      </c>
      <c r="K50" s="3">
        <v>125261100</v>
      </c>
      <c r="L50" s="3">
        <v>0</v>
      </c>
      <c r="M50" s="3">
        <v>125261100</v>
      </c>
      <c r="N50" s="3">
        <v>4339800</v>
      </c>
      <c r="O50" s="3">
        <v>4339800</v>
      </c>
      <c r="P50" s="3">
        <v>491200</v>
      </c>
      <c r="Q50" s="3">
        <v>491200</v>
      </c>
      <c r="R50" s="3">
        <v>-476400</v>
      </c>
      <c r="S50" s="3">
        <v>0</v>
      </c>
      <c r="T50" s="3">
        <v>0</v>
      </c>
      <c r="U50" s="3">
        <v>0</v>
      </c>
      <c r="V50" s="3">
        <v>2007</v>
      </c>
      <c r="W50" s="3">
        <v>68155700</v>
      </c>
      <c r="X50" s="3">
        <v>129615700</v>
      </c>
      <c r="Y50" s="3">
        <v>61460000</v>
      </c>
      <c r="Z50" s="3">
        <v>119442000</v>
      </c>
      <c r="AA50" s="3">
        <v>10173700</v>
      </c>
      <c r="AB50" s="3">
        <v>9</v>
      </c>
    </row>
    <row r="51" spans="1:28" x14ac:dyDescent="0.35">
      <c r="A51">
        <v>2022</v>
      </c>
      <c r="B51" t="str">
        <f t="shared" si="2"/>
        <v>05</v>
      </c>
      <c r="C51" t="s">
        <v>49</v>
      </c>
      <c r="D51" t="s">
        <v>33</v>
      </c>
      <c r="E51" t="str">
        <f t="shared" si="3"/>
        <v>136</v>
      </c>
      <c r="F51" t="s">
        <v>57</v>
      </c>
      <c r="G51" t="str">
        <f>"005"</f>
        <v>005</v>
      </c>
      <c r="H51" t="str">
        <f t="shared" si="4"/>
        <v>2604</v>
      </c>
      <c r="I51" s="3">
        <v>16871100</v>
      </c>
      <c r="J51" s="3">
        <v>100</v>
      </c>
      <c r="K51" s="3">
        <v>16871100</v>
      </c>
      <c r="L51" s="3">
        <v>21199200</v>
      </c>
      <c r="M51" s="3">
        <v>21199200</v>
      </c>
      <c r="N51" s="3">
        <v>0</v>
      </c>
      <c r="O51" s="3">
        <v>0</v>
      </c>
      <c r="P51" s="3">
        <v>0</v>
      </c>
      <c r="Q51" s="3">
        <v>0</v>
      </c>
      <c r="R51" s="3">
        <v>-60900</v>
      </c>
      <c r="S51" s="3">
        <v>0</v>
      </c>
      <c r="T51" s="3">
        <v>0</v>
      </c>
      <c r="U51" s="3">
        <v>0</v>
      </c>
      <c r="V51" s="3">
        <v>2008</v>
      </c>
      <c r="W51" s="3">
        <v>9872400</v>
      </c>
      <c r="X51" s="3">
        <v>21138300</v>
      </c>
      <c r="Y51" s="3">
        <v>11265900</v>
      </c>
      <c r="Z51" s="3">
        <v>15022600</v>
      </c>
      <c r="AA51" s="3">
        <v>6115700</v>
      </c>
      <c r="AB51" s="3">
        <v>41</v>
      </c>
    </row>
    <row r="52" spans="1:28" x14ac:dyDescent="0.35">
      <c r="A52">
        <v>2022</v>
      </c>
      <c r="B52" t="str">
        <f t="shared" si="2"/>
        <v>05</v>
      </c>
      <c r="C52" t="s">
        <v>49</v>
      </c>
      <c r="D52" t="s">
        <v>33</v>
      </c>
      <c r="E52" t="str">
        <f t="shared" si="3"/>
        <v>136</v>
      </c>
      <c r="F52" t="s">
        <v>57</v>
      </c>
      <c r="G52" t="str">
        <f>"006"</f>
        <v>006</v>
      </c>
      <c r="H52" t="str">
        <f t="shared" si="4"/>
        <v>2604</v>
      </c>
      <c r="I52" s="3">
        <v>18823600</v>
      </c>
      <c r="J52" s="3">
        <v>100</v>
      </c>
      <c r="K52" s="3">
        <v>18823600</v>
      </c>
      <c r="L52" s="3">
        <v>27278900</v>
      </c>
      <c r="M52" s="3">
        <v>27278900</v>
      </c>
      <c r="N52" s="3">
        <v>22831400</v>
      </c>
      <c r="O52" s="3">
        <v>22831400</v>
      </c>
      <c r="P52" s="3">
        <v>2067600</v>
      </c>
      <c r="Q52" s="3">
        <v>2067600</v>
      </c>
      <c r="R52" s="3">
        <v>-66600</v>
      </c>
      <c r="S52" s="3">
        <v>0</v>
      </c>
      <c r="T52" s="3">
        <v>0</v>
      </c>
      <c r="U52" s="3">
        <v>0</v>
      </c>
      <c r="V52" s="3">
        <v>2008</v>
      </c>
      <c r="W52" s="3">
        <v>7930100</v>
      </c>
      <c r="X52" s="3">
        <v>52111300</v>
      </c>
      <c r="Y52" s="3">
        <v>44181200</v>
      </c>
      <c r="Z52" s="3">
        <v>39996500</v>
      </c>
      <c r="AA52" s="3">
        <v>12114800</v>
      </c>
      <c r="AB52" s="3">
        <v>30</v>
      </c>
    </row>
    <row r="53" spans="1:28" x14ac:dyDescent="0.35">
      <c r="A53">
        <v>2022</v>
      </c>
      <c r="B53" t="str">
        <f t="shared" si="2"/>
        <v>05</v>
      </c>
      <c r="C53" t="s">
        <v>49</v>
      </c>
      <c r="D53" t="s">
        <v>33</v>
      </c>
      <c r="E53" t="str">
        <f t="shared" si="3"/>
        <v>136</v>
      </c>
      <c r="F53" t="s">
        <v>57</v>
      </c>
      <c r="G53" t="str">
        <f>"007"</f>
        <v>007</v>
      </c>
      <c r="H53" t="str">
        <f t="shared" si="4"/>
        <v>2604</v>
      </c>
      <c r="I53" s="3">
        <v>26033300</v>
      </c>
      <c r="J53" s="3">
        <v>100</v>
      </c>
      <c r="K53" s="3">
        <v>26033300</v>
      </c>
      <c r="L53" s="3">
        <v>0</v>
      </c>
      <c r="M53" s="3">
        <v>26033300</v>
      </c>
      <c r="N53" s="3">
        <v>0</v>
      </c>
      <c r="O53" s="3">
        <v>0</v>
      </c>
      <c r="P53" s="3">
        <v>0</v>
      </c>
      <c r="Q53" s="3">
        <v>0</v>
      </c>
      <c r="R53" s="3">
        <v>-95700</v>
      </c>
      <c r="S53" s="3">
        <v>0</v>
      </c>
      <c r="T53" s="3">
        <v>0</v>
      </c>
      <c r="U53" s="3">
        <v>0</v>
      </c>
      <c r="V53" s="3">
        <v>2012</v>
      </c>
      <c r="W53" s="3">
        <v>18245700</v>
      </c>
      <c r="X53" s="3">
        <v>25937600</v>
      </c>
      <c r="Y53" s="3">
        <v>7691900</v>
      </c>
      <c r="Z53" s="3">
        <v>23051800</v>
      </c>
      <c r="AA53" s="3">
        <v>2885800</v>
      </c>
      <c r="AB53" s="3">
        <v>13</v>
      </c>
    </row>
    <row r="54" spans="1:28" x14ac:dyDescent="0.35">
      <c r="A54">
        <v>2022</v>
      </c>
      <c r="B54" t="str">
        <f t="shared" si="2"/>
        <v>05</v>
      </c>
      <c r="C54" t="s">
        <v>49</v>
      </c>
      <c r="D54" t="s">
        <v>33</v>
      </c>
      <c r="E54" t="str">
        <f t="shared" si="3"/>
        <v>136</v>
      </c>
      <c r="F54" t="s">
        <v>57</v>
      </c>
      <c r="G54" t="str">
        <f>"008"</f>
        <v>008</v>
      </c>
      <c r="H54" t="str">
        <f t="shared" si="4"/>
        <v>2604</v>
      </c>
      <c r="I54" s="3">
        <v>52980600</v>
      </c>
      <c r="J54" s="3">
        <v>100</v>
      </c>
      <c r="K54" s="3">
        <v>52980600</v>
      </c>
      <c r="L54" s="3">
        <v>0</v>
      </c>
      <c r="M54" s="3">
        <v>52980600</v>
      </c>
      <c r="N54" s="3">
        <v>0</v>
      </c>
      <c r="O54" s="3">
        <v>0</v>
      </c>
      <c r="P54" s="3">
        <v>0</v>
      </c>
      <c r="Q54" s="3">
        <v>0</v>
      </c>
      <c r="R54" s="3">
        <v>-193800</v>
      </c>
      <c r="S54" s="3">
        <v>0</v>
      </c>
      <c r="T54" s="3">
        <v>0</v>
      </c>
      <c r="U54" s="3">
        <v>0</v>
      </c>
      <c r="V54" s="3">
        <v>2015</v>
      </c>
      <c r="W54" s="3">
        <v>8378100</v>
      </c>
      <c r="X54" s="3">
        <v>52786800</v>
      </c>
      <c r="Y54" s="3">
        <v>44408700</v>
      </c>
      <c r="Z54" s="3">
        <v>46705000</v>
      </c>
      <c r="AA54" s="3">
        <v>6081800</v>
      </c>
      <c r="AB54" s="3">
        <v>13</v>
      </c>
    </row>
    <row r="55" spans="1:28" x14ac:dyDescent="0.35">
      <c r="A55">
        <v>2022</v>
      </c>
      <c r="B55" t="str">
        <f t="shared" si="2"/>
        <v>05</v>
      </c>
      <c r="C55" t="s">
        <v>49</v>
      </c>
      <c r="D55" t="s">
        <v>33</v>
      </c>
      <c r="E55" t="str">
        <f t="shared" si="3"/>
        <v>136</v>
      </c>
      <c r="F55" t="s">
        <v>57</v>
      </c>
      <c r="G55" t="str">
        <f>"009"</f>
        <v>009</v>
      </c>
      <c r="H55" t="str">
        <f t="shared" si="4"/>
        <v>2604</v>
      </c>
      <c r="I55" s="3">
        <v>0</v>
      </c>
      <c r="J55" s="3">
        <v>100</v>
      </c>
      <c r="K55" s="3">
        <v>0</v>
      </c>
      <c r="L55" s="3">
        <v>0</v>
      </c>
      <c r="M55" s="3">
        <v>0</v>
      </c>
      <c r="N55" s="3">
        <v>5590600</v>
      </c>
      <c r="O55" s="3">
        <v>5590600</v>
      </c>
      <c r="P55" s="3">
        <v>783100</v>
      </c>
      <c r="Q55" s="3">
        <v>783100</v>
      </c>
      <c r="R55" s="3">
        <v>0</v>
      </c>
      <c r="S55" s="3">
        <v>0</v>
      </c>
      <c r="T55" s="3">
        <v>0</v>
      </c>
      <c r="U55" s="3">
        <v>0</v>
      </c>
      <c r="V55" s="3">
        <v>2019</v>
      </c>
      <c r="W55" s="3">
        <v>6637800</v>
      </c>
      <c r="X55" s="3">
        <v>6373700</v>
      </c>
      <c r="Y55" s="3">
        <v>-264100</v>
      </c>
      <c r="Z55" s="3">
        <v>6030900</v>
      </c>
      <c r="AA55" s="3">
        <v>342800</v>
      </c>
      <c r="AB55" s="3">
        <v>6</v>
      </c>
    </row>
    <row r="56" spans="1:28" x14ac:dyDescent="0.35">
      <c r="A56">
        <v>2022</v>
      </c>
      <c r="B56" t="str">
        <f t="shared" si="2"/>
        <v>05</v>
      </c>
      <c r="C56" t="s">
        <v>49</v>
      </c>
      <c r="D56" t="s">
        <v>33</v>
      </c>
      <c r="E56" t="str">
        <f>"171"</f>
        <v>171</v>
      </c>
      <c r="F56" t="s">
        <v>58</v>
      </c>
      <c r="G56" t="str">
        <f>"002"</f>
        <v>002</v>
      </c>
      <c r="H56" t="str">
        <f>"4613"</f>
        <v>4613</v>
      </c>
      <c r="I56" s="3">
        <v>13443600</v>
      </c>
      <c r="J56" s="3">
        <v>78.84</v>
      </c>
      <c r="K56" s="3">
        <v>17051800</v>
      </c>
      <c r="L56" s="3">
        <v>0</v>
      </c>
      <c r="M56" s="3">
        <v>17051800</v>
      </c>
      <c r="N56" s="3">
        <v>4681400</v>
      </c>
      <c r="O56" s="3">
        <v>4681400</v>
      </c>
      <c r="P56" s="3">
        <v>844200</v>
      </c>
      <c r="Q56" s="3">
        <v>844200</v>
      </c>
      <c r="R56" s="3">
        <v>1072200</v>
      </c>
      <c r="S56" s="3">
        <v>0</v>
      </c>
      <c r="T56" s="3">
        <v>0</v>
      </c>
      <c r="U56" s="3">
        <v>1647600</v>
      </c>
      <c r="V56" s="3">
        <v>2005</v>
      </c>
      <c r="W56" s="3">
        <v>10361100</v>
      </c>
      <c r="X56" s="3">
        <v>25297200</v>
      </c>
      <c r="Y56" s="3">
        <v>14936100</v>
      </c>
      <c r="Z56" s="3">
        <v>23163400</v>
      </c>
      <c r="AA56" s="3">
        <v>2133800</v>
      </c>
      <c r="AB56" s="3">
        <v>9</v>
      </c>
    </row>
    <row r="57" spans="1:28" x14ac:dyDescent="0.35">
      <c r="A57">
        <v>2022</v>
      </c>
      <c r="B57" t="str">
        <f t="shared" si="2"/>
        <v>05</v>
      </c>
      <c r="C57" t="s">
        <v>49</v>
      </c>
      <c r="D57" t="s">
        <v>33</v>
      </c>
      <c r="E57" t="str">
        <f>"171"</f>
        <v>171</v>
      </c>
      <c r="F57" t="s">
        <v>58</v>
      </c>
      <c r="G57" t="str">
        <f>"003"</f>
        <v>003</v>
      </c>
      <c r="H57" t="str">
        <f>"4613"</f>
        <v>4613</v>
      </c>
      <c r="I57" s="3">
        <v>5070100</v>
      </c>
      <c r="J57" s="3">
        <v>78.84</v>
      </c>
      <c r="K57" s="3">
        <v>6430900</v>
      </c>
      <c r="L57" s="3">
        <v>0</v>
      </c>
      <c r="M57" s="3">
        <v>6430900</v>
      </c>
      <c r="N57" s="3">
        <v>95700</v>
      </c>
      <c r="O57" s="3">
        <v>95700</v>
      </c>
      <c r="P57" s="3">
        <v>400</v>
      </c>
      <c r="Q57" s="3">
        <v>400</v>
      </c>
      <c r="R57" s="3">
        <v>-9900</v>
      </c>
      <c r="S57" s="3">
        <v>0</v>
      </c>
      <c r="T57" s="3">
        <v>0</v>
      </c>
      <c r="U57" s="3">
        <v>0</v>
      </c>
      <c r="V57" s="3">
        <v>2014</v>
      </c>
      <c r="W57" s="3">
        <v>6000000</v>
      </c>
      <c r="X57" s="3">
        <v>6517100</v>
      </c>
      <c r="Y57" s="3">
        <v>517100</v>
      </c>
      <c r="Z57" s="3">
        <v>6087700</v>
      </c>
      <c r="AA57" s="3">
        <v>429400</v>
      </c>
      <c r="AB57" s="3">
        <v>7</v>
      </c>
    </row>
    <row r="58" spans="1:28" x14ac:dyDescent="0.35">
      <c r="A58">
        <v>2022</v>
      </c>
      <c r="B58" t="str">
        <f t="shared" si="2"/>
        <v>05</v>
      </c>
      <c r="C58" t="s">
        <v>49</v>
      </c>
      <c r="D58" t="s">
        <v>33</v>
      </c>
      <c r="E58" t="str">
        <f>"171"</f>
        <v>171</v>
      </c>
      <c r="F58" t="s">
        <v>58</v>
      </c>
      <c r="G58" t="str">
        <f>"004"</f>
        <v>004</v>
      </c>
      <c r="H58" t="str">
        <f>"4613"</f>
        <v>4613</v>
      </c>
      <c r="I58" s="3">
        <v>27251300</v>
      </c>
      <c r="J58" s="3">
        <v>78.84</v>
      </c>
      <c r="K58" s="3">
        <v>34565300</v>
      </c>
      <c r="L58" s="3">
        <v>0</v>
      </c>
      <c r="M58" s="3">
        <v>34565300</v>
      </c>
      <c r="N58" s="3">
        <v>0</v>
      </c>
      <c r="O58" s="3">
        <v>0</v>
      </c>
      <c r="P58" s="3">
        <v>0</v>
      </c>
      <c r="Q58" s="3">
        <v>0</v>
      </c>
      <c r="R58" s="3">
        <v>-47000</v>
      </c>
      <c r="S58" s="3">
        <v>0</v>
      </c>
      <c r="T58" s="3">
        <v>0</v>
      </c>
      <c r="U58" s="3">
        <v>0</v>
      </c>
      <c r="V58" s="3">
        <v>2015</v>
      </c>
      <c r="W58" s="3">
        <v>1902300</v>
      </c>
      <c r="X58" s="3">
        <v>34518300</v>
      </c>
      <c r="Y58" s="3">
        <v>32616000</v>
      </c>
      <c r="Z58" s="3">
        <v>28331100</v>
      </c>
      <c r="AA58" s="3">
        <v>6187200</v>
      </c>
      <c r="AB58" s="3">
        <v>22</v>
      </c>
    </row>
    <row r="59" spans="1:28" x14ac:dyDescent="0.35">
      <c r="A59">
        <v>2022</v>
      </c>
      <c r="B59" t="str">
        <f t="shared" si="2"/>
        <v>05</v>
      </c>
      <c r="C59" t="s">
        <v>49</v>
      </c>
      <c r="D59" t="s">
        <v>33</v>
      </c>
      <c r="E59" t="str">
        <f>"178"</f>
        <v>178</v>
      </c>
      <c r="F59" t="s">
        <v>59</v>
      </c>
      <c r="G59" t="str">
        <f>"001"</f>
        <v>001</v>
      </c>
      <c r="H59" t="str">
        <f>"2604"</f>
        <v>2604</v>
      </c>
      <c r="I59" s="3">
        <v>26628300</v>
      </c>
      <c r="J59" s="3">
        <v>85.41</v>
      </c>
      <c r="K59" s="3">
        <v>31177000</v>
      </c>
      <c r="L59" s="3">
        <v>0</v>
      </c>
      <c r="M59" s="3">
        <v>31177000</v>
      </c>
      <c r="N59" s="3">
        <v>6376400</v>
      </c>
      <c r="O59" s="3">
        <v>6376400</v>
      </c>
      <c r="P59" s="3">
        <v>1698900</v>
      </c>
      <c r="Q59" s="3">
        <v>1698900</v>
      </c>
      <c r="R59" s="3">
        <v>-11400</v>
      </c>
      <c r="S59" s="3">
        <v>0</v>
      </c>
      <c r="T59" s="3">
        <v>0</v>
      </c>
      <c r="U59" s="3">
        <v>37387300</v>
      </c>
      <c r="V59" s="3">
        <v>2004</v>
      </c>
      <c r="W59" s="3">
        <v>10470700</v>
      </c>
      <c r="X59" s="3">
        <v>76628200</v>
      </c>
      <c r="Y59" s="3">
        <v>66157500</v>
      </c>
      <c r="Z59" s="3">
        <v>66033900</v>
      </c>
      <c r="AA59" s="3">
        <v>10594300</v>
      </c>
      <c r="AB59" s="3">
        <v>16</v>
      </c>
    </row>
    <row r="60" spans="1:28" x14ac:dyDescent="0.35">
      <c r="A60">
        <v>2022</v>
      </c>
      <c r="B60" t="str">
        <f t="shared" si="2"/>
        <v>05</v>
      </c>
      <c r="C60" t="s">
        <v>49</v>
      </c>
      <c r="D60" t="s">
        <v>33</v>
      </c>
      <c r="E60" t="str">
        <f>"178"</f>
        <v>178</v>
      </c>
      <c r="F60" t="s">
        <v>59</v>
      </c>
      <c r="G60" t="str">
        <f>"002"</f>
        <v>002</v>
      </c>
      <c r="H60" t="str">
        <f>"2604"</f>
        <v>2604</v>
      </c>
      <c r="I60" s="3">
        <v>15536500</v>
      </c>
      <c r="J60" s="3">
        <v>85.41</v>
      </c>
      <c r="K60" s="3">
        <v>18190500</v>
      </c>
      <c r="L60" s="3">
        <v>0</v>
      </c>
      <c r="M60" s="3">
        <v>18190500</v>
      </c>
      <c r="N60" s="3">
        <v>10905200</v>
      </c>
      <c r="O60" s="3">
        <v>10905200</v>
      </c>
      <c r="P60" s="3">
        <v>544700</v>
      </c>
      <c r="Q60" s="3">
        <v>544700</v>
      </c>
      <c r="R60" s="3">
        <v>-8000</v>
      </c>
      <c r="S60" s="3">
        <v>0</v>
      </c>
      <c r="T60" s="3">
        <v>0</v>
      </c>
      <c r="U60" s="3">
        <v>0</v>
      </c>
      <c r="V60" s="3">
        <v>2006</v>
      </c>
      <c r="W60" s="3">
        <v>10526200</v>
      </c>
      <c r="X60" s="3">
        <v>29632400</v>
      </c>
      <c r="Y60" s="3">
        <v>19106200</v>
      </c>
      <c r="Z60" s="3">
        <v>27208600</v>
      </c>
      <c r="AA60" s="3">
        <v>2423800</v>
      </c>
      <c r="AB60" s="3">
        <v>9</v>
      </c>
    </row>
    <row r="61" spans="1:28" x14ac:dyDescent="0.35">
      <c r="A61">
        <v>2022</v>
      </c>
      <c r="B61" t="str">
        <f t="shared" si="2"/>
        <v>05</v>
      </c>
      <c r="C61" t="s">
        <v>49</v>
      </c>
      <c r="D61" t="s">
        <v>33</v>
      </c>
      <c r="E61" t="str">
        <f>"178"</f>
        <v>178</v>
      </c>
      <c r="F61" t="s">
        <v>59</v>
      </c>
      <c r="G61" t="str">
        <f>"004"</f>
        <v>004</v>
      </c>
      <c r="H61" t="str">
        <f>"2604"</f>
        <v>2604</v>
      </c>
      <c r="I61" s="3">
        <v>67081300</v>
      </c>
      <c r="J61" s="3">
        <v>85.41</v>
      </c>
      <c r="K61" s="3">
        <v>78540300</v>
      </c>
      <c r="L61" s="3">
        <v>0</v>
      </c>
      <c r="M61" s="3">
        <v>78540300</v>
      </c>
      <c r="N61" s="3">
        <v>0</v>
      </c>
      <c r="O61" s="3">
        <v>0</v>
      </c>
      <c r="P61" s="3">
        <v>0</v>
      </c>
      <c r="Q61" s="3">
        <v>0</v>
      </c>
      <c r="R61" s="3">
        <v>-35500</v>
      </c>
      <c r="S61" s="3">
        <v>0</v>
      </c>
      <c r="T61" s="3">
        <v>0</v>
      </c>
      <c r="U61" s="3">
        <v>0</v>
      </c>
      <c r="V61" s="3">
        <v>2014</v>
      </c>
      <c r="W61" s="3">
        <v>34008700</v>
      </c>
      <c r="X61" s="3">
        <v>78504800</v>
      </c>
      <c r="Y61" s="3">
        <v>44496100</v>
      </c>
      <c r="Z61" s="3">
        <v>66608100</v>
      </c>
      <c r="AA61" s="3">
        <v>11896700</v>
      </c>
      <c r="AB61" s="3">
        <v>18</v>
      </c>
    </row>
    <row r="62" spans="1:28" x14ac:dyDescent="0.35">
      <c r="A62">
        <v>2022</v>
      </c>
      <c r="B62" t="str">
        <f t="shared" si="2"/>
        <v>05</v>
      </c>
      <c r="C62" t="s">
        <v>49</v>
      </c>
      <c r="D62" t="s">
        <v>33</v>
      </c>
      <c r="E62" t="str">
        <f>"191"</f>
        <v>191</v>
      </c>
      <c r="F62" t="s">
        <v>60</v>
      </c>
      <c r="G62" t="str">
        <f>"003"</f>
        <v>003</v>
      </c>
      <c r="H62" t="str">
        <f>"6734"</f>
        <v>6734</v>
      </c>
      <c r="I62" s="3">
        <v>14812800</v>
      </c>
      <c r="J62" s="3">
        <v>75.25</v>
      </c>
      <c r="K62" s="3">
        <v>19684800</v>
      </c>
      <c r="L62" s="3">
        <v>0</v>
      </c>
      <c r="M62" s="3">
        <v>19684800</v>
      </c>
      <c r="N62" s="3">
        <v>0</v>
      </c>
      <c r="O62" s="3">
        <v>0</v>
      </c>
      <c r="P62" s="3">
        <v>0</v>
      </c>
      <c r="Q62" s="3">
        <v>0</v>
      </c>
      <c r="R62" s="3">
        <v>-101400</v>
      </c>
      <c r="S62" s="3">
        <v>0</v>
      </c>
      <c r="T62" s="3">
        <v>0</v>
      </c>
      <c r="U62" s="3">
        <v>0</v>
      </c>
      <c r="V62" s="3">
        <v>2015</v>
      </c>
      <c r="W62" s="3">
        <v>8953900</v>
      </c>
      <c r="X62" s="3">
        <v>19583400</v>
      </c>
      <c r="Y62" s="3">
        <v>10629500</v>
      </c>
      <c r="Z62" s="3">
        <v>11873600</v>
      </c>
      <c r="AA62" s="3">
        <v>7709800</v>
      </c>
      <c r="AB62" s="3">
        <v>65</v>
      </c>
    </row>
    <row r="63" spans="1:28" x14ac:dyDescent="0.35">
      <c r="A63">
        <v>2022</v>
      </c>
      <c r="B63" t="str">
        <f t="shared" si="2"/>
        <v>05</v>
      </c>
      <c r="C63" t="s">
        <v>49</v>
      </c>
      <c r="D63" t="s">
        <v>33</v>
      </c>
      <c r="E63" t="str">
        <f>"191"</f>
        <v>191</v>
      </c>
      <c r="F63" t="s">
        <v>60</v>
      </c>
      <c r="G63" t="str">
        <f>"004"</f>
        <v>004</v>
      </c>
      <c r="H63" t="str">
        <f>"6734"</f>
        <v>6734</v>
      </c>
      <c r="I63" s="3">
        <v>1400</v>
      </c>
      <c r="J63" s="3">
        <v>75.25</v>
      </c>
      <c r="K63" s="3">
        <v>1900</v>
      </c>
      <c r="L63" s="3">
        <v>0</v>
      </c>
      <c r="M63" s="3">
        <v>1900</v>
      </c>
      <c r="N63" s="3">
        <v>13520600</v>
      </c>
      <c r="O63" s="3">
        <v>13520600</v>
      </c>
      <c r="P63" s="3">
        <v>792700</v>
      </c>
      <c r="Q63" s="3">
        <v>792700</v>
      </c>
      <c r="R63" s="3">
        <v>100</v>
      </c>
      <c r="S63" s="3">
        <v>0</v>
      </c>
      <c r="T63" s="3">
        <v>0</v>
      </c>
      <c r="U63" s="3">
        <v>0</v>
      </c>
      <c r="V63" s="3">
        <v>2016</v>
      </c>
      <c r="W63" s="3">
        <v>8400</v>
      </c>
      <c r="X63" s="3">
        <v>14315300</v>
      </c>
      <c r="Y63" s="3">
        <v>14306900</v>
      </c>
      <c r="Z63" s="3">
        <v>14168700</v>
      </c>
      <c r="AA63" s="3">
        <v>146600</v>
      </c>
      <c r="AB63" s="3">
        <v>1</v>
      </c>
    </row>
    <row r="64" spans="1:28" x14ac:dyDescent="0.35">
      <c r="A64">
        <v>2022</v>
      </c>
      <c r="B64" t="str">
        <f t="shared" si="2"/>
        <v>05</v>
      </c>
      <c r="C64" t="s">
        <v>49</v>
      </c>
      <c r="D64" t="s">
        <v>33</v>
      </c>
      <c r="E64" t="str">
        <f>"191"</f>
        <v>191</v>
      </c>
      <c r="F64" t="s">
        <v>60</v>
      </c>
      <c r="G64" t="str">
        <f>"005"</f>
        <v>005</v>
      </c>
      <c r="H64" t="str">
        <f>"6734"</f>
        <v>6734</v>
      </c>
      <c r="I64" s="3">
        <v>10810100</v>
      </c>
      <c r="J64" s="3">
        <v>75.25</v>
      </c>
      <c r="K64" s="3">
        <v>14365600</v>
      </c>
      <c r="L64" s="3">
        <v>0</v>
      </c>
      <c r="M64" s="3">
        <v>14365600</v>
      </c>
      <c r="N64" s="3">
        <v>0</v>
      </c>
      <c r="O64" s="3">
        <v>0</v>
      </c>
      <c r="P64" s="3">
        <v>0</v>
      </c>
      <c r="Q64" s="3">
        <v>0</v>
      </c>
      <c r="R64" s="3">
        <v>-79500</v>
      </c>
      <c r="S64" s="3">
        <v>0</v>
      </c>
      <c r="T64" s="3">
        <v>0</v>
      </c>
      <c r="U64" s="3">
        <v>0</v>
      </c>
      <c r="V64" s="3">
        <v>2018</v>
      </c>
      <c r="W64" s="3">
        <v>5315100</v>
      </c>
      <c r="X64" s="3">
        <v>14286100</v>
      </c>
      <c r="Y64" s="3">
        <v>8971000</v>
      </c>
      <c r="Z64" s="3">
        <v>9317500</v>
      </c>
      <c r="AA64" s="3">
        <v>4968600</v>
      </c>
      <c r="AB64" s="3">
        <v>53</v>
      </c>
    </row>
    <row r="65" spans="1:28" x14ac:dyDescent="0.35">
      <c r="A65">
        <v>2022</v>
      </c>
      <c r="B65" t="str">
        <f t="shared" si="2"/>
        <v>05</v>
      </c>
      <c r="C65" t="s">
        <v>49</v>
      </c>
      <c r="D65" t="s">
        <v>35</v>
      </c>
      <c r="E65" t="str">
        <f t="shared" ref="E65:E75" si="5">"216"</f>
        <v>216</v>
      </c>
      <c r="F65" t="s">
        <v>61</v>
      </c>
      <c r="G65" t="str">
        <f>"007"</f>
        <v>007</v>
      </c>
      <c r="H65" t="str">
        <f>"1414"</f>
        <v>1414</v>
      </c>
      <c r="I65" s="3">
        <v>17233800</v>
      </c>
      <c r="J65" s="3">
        <v>100</v>
      </c>
      <c r="K65" s="3">
        <v>17233800</v>
      </c>
      <c r="L65" s="3">
        <v>0</v>
      </c>
      <c r="M65" s="3">
        <v>17233800</v>
      </c>
      <c r="N65" s="3">
        <v>155600</v>
      </c>
      <c r="O65" s="3">
        <v>155600</v>
      </c>
      <c r="P65" s="3">
        <v>700</v>
      </c>
      <c r="Q65" s="3">
        <v>700</v>
      </c>
      <c r="R65" s="3">
        <v>394800</v>
      </c>
      <c r="S65" s="3">
        <v>0</v>
      </c>
      <c r="T65" s="3">
        <v>0</v>
      </c>
      <c r="U65" s="3">
        <v>0</v>
      </c>
      <c r="V65" s="3">
        <v>2007</v>
      </c>
      <c r="W65" s="3">
        <v>12056000</v>
      </c>
      <c r="X65" s="3">
        <v>17784900</v>
      </c>
      <c r="Y65" s="3">
        <v>5728900</v>
      </c>
      <c r="Z65" s="3">
        <v>17388600</v>
      </c>
      <c r="AA65" s="3">
        <v>396300</v>
      </c>
      <c r="AB65" s="3">
        <v>2</v>
      </c>
    </row>
    <row r="66" spans="1:28" x14ac:dyDescent="0.35">
      <c r="A66">
        <v>2022</v>
      </c>
      <c r="B66" t="str">
        <f t="shared" si="2"/>
        <v>05</v>
      </c>
      <c r="C66" t="s">
        <v>49</v>
      </c>
      <c r="D66" t="s">
        <v>35</v>
      </c>
      <c r="E66" t="str">
        <f t="shared" si="5"/>
        <v>216</v>
      </c>
      <c r="F66" t="s">
        <v>61</v>
      </c>
      <c r="G66" t="str">
        <f>"008"</f>
        <v>008</v>
      </c>
      <c r="H66" t="str">
        <f>"6328"</f>
        <v>6328</v>
      </c>
      <c r="I66" s="3">
        <v>52353700</v>
      </c>
      <c r="J66" s="3">
        <v>100</v>
      </c>
      <c r="K66" s="3">
        <v>52353700</v>
      </c>
      <c r="L66" s="3">
        <v>0</v>
      </c>
      <c r="M66" s="3">
        <v>52353700</v>
      </c>
      <c r="N66" s="3">
        <v>3070800</v>
      </c>
      <c r="O66" s="3">
        <v>3070800</v>
      </c>
      <c r="P66" s="3">
        <v>145300</v>
      </c>
      <c r="Q66" s="3">
        <v>145300</v>
      </c>
      <c r="R66" s="3">
        <v>1344500</v>
      </c>
      <c r="S66" s="3">
        <v>0</v>
      </c>
      <c r="T66" s="3">
        <v>0</v>
      </c>
      <c r="U66" s="3">
        <v>1943500</v>
      </c>
      <c r="V66" s="3">
        <v>2007</v>
      </c>
      <c r="W66" s="3">
        <v>36633200</v>
      </c>
      <c r="X66" s="3">
        <v>58857800</v>
      </c>
      <c r="Y66" s="3">
        <v>22224600</v>
      </c>
      <c r="Z66" s="3">
        <v>50184200</v>
      </c>
      <c r="AA66" s="3">
        <v>8673600</v>
      </c>
      <c r="AB66" s="3">
        <v>17</v>
      </c>
    </row>
    <row r="67" spans="1:28" x14ac:dyDescent="0.35">
      <c r="A67">
        <v>2022</v>
      </c>
      <c r="B67" t="str">
        <f t="shared" ref="B67:B88" si="6">"05"</f>
        <v>05</v>
      </c>
      <c r="C67" t="s">
        <v>49</v>
      </c>
      <c r="D67" t="s">
        <v>35</v>
      </c>
      <c r="E67" t="str">
        <f t="shared" si="5"/>
        <v>216</v>
      </c>
      <c r="F67" t="s">
        <v>61</v>
      </c>
      <c r="G67" t="str">
        <f>"009"</f>
        <v>009</v>
      </c>
      <c r="H67" t="str">
        <f>"6328"</f>
        <v>6328</v>
      </c>
      <c r="I67" s="3">
        <v>16952200</v>
      </c>
      <c r="J67" s="3">
        <v>100</v>
      </c>
      <c r="K67" s="3">
        <v>16952200</v>
      </c>
      <c r="L67" s="3">
        <v>0</v>
      </c>
      <c r="M67" s="3">
        <v>16952200</v>
      </c>
      <c r="N67" s="3">
        <v>0</v>
      </c>
      <c r="O67" s="3">
        <v>0</v>
      </c>
      <c r="P67" s="3">
        <v>6600</v>
      </c>
      <c r="Q67" s="3">
        <v>6600</v>
      </c>
      <c r="R67" s="3">
        <v>373300</v>
      </c>
      <c r="S67" s="3">
        <v>0</v>
      </c>
      <c r="T67" s="3">
        <v>0</v>
      </c>
      <c r="U67" s="3">
        <v>0</v>
      </c>
      <c r="V67" s="3">
        <v>2012</v>
      </c>
      <c r="W67" s="3">
        <v>14776100</v>
      </c>
      <c r="X67" s="3">
        <v>17332100</v>
      </c>
      <c r="Y67" s="3">
        <v>2556000</v>
      </c>
      <c r="Z67" s="3">
        <v>16284600</v>
      </c>
      <c r="AA67" s="3">
        <v>1047500</v>
      </c>
      <c r="AB67" s="3">
        <v>6</v>
      </c>
    </row>
    <row r="68" spans="1:28" x14ac:dyDescent="0.35">
      <c r="A68">
        <v>2022</v>
      </c>
      <c r="B68" t="str">
        <f t="shared" si="6"/>
        <v>05</v>
      </c>
      <c r="C68" t="s">
        <v>49</v>
      </c>
      <c r="D68" t="s">
        <v>35</v>
      </c>
      <c r="E68" t="str">
        <f t="shared" si="5"/>
        <v>216</v>
      </c>
      <c r="F68" t="s">
        <v>61</v>
      </c>
      <c r="G68" t="str">
        <f>"010"</f>
        <v>010</v>
      </c>
      <c r="H68" t="str">
        <f>"1414"</f>
        <v>1414</v>
      </c>
      <c r="I68" s="3">
        <v>7936400</v>
      </c>
      <c r="J68" s="3">
        <v>100</v>
      </c>
      <c r="K68" s="3">
        <v>7936400</v>
      </c>
      <c r="L68" s="3">
        <v>0</v>
      </c>
      <c r="M68" s="3">
        <v>7936400</v>
      </c>
      <c r="N68" s="3">
        <v>24931400</v>
      </c>
      <c r="O68" s="3">
        <v>24931400</v>
      </c>
      <c r="P68" s="3">
        <v>3060000</v>
      </c>
      <c r="Q68" s="3">
        <v>3060000</v>
      </c>
      <c r="R68" s="3">
        <v>160200</v>
      </c>
      <c r="S68" s="3">
        <v>0</v>
      </c>
      <c r="T68" s="3">
        <v>0</v>
      </c>
      <c r="U68" s="3">
        <v>0</v>
      </c>
      <c r="V68" s="3">
        <v>2012</v>
      </c>
      <c r="W68" s="3">
        <v>24811900</v>
      </c>
      <c r="X68" s="3">
        <v>36088000</v>
      </c>
      <c r="Y68" s="3">
        <v>11276100</v>
      </c>
      <c r="Z68" s="3">
        <v>32148900</v>
      </c>
      <c r="AA68" s="3">
        <v>3939100</v>
      </c>
      <c r="AB68" s="3">
        <v>12</v>
      </c>
    </row>
    <row r="69" spans="1:28" x14ac:dyDescent="0.35">
      <c r="A69">
        <v>2022</v>
      </c>
      <c r="B69" t="str">
        <f t="shared" si="6"/>
        <v>05</v>
      </c>
      <c r="C69" t="s">
        <v>49</v>
      </c>
      <c r="D69" t="s">
        <v>35</v>
      </c>
      <c r="E69" t="str">
        <f t="shared" si="5"/>
        <v>216</v>
      </c>
      <c r="F69" t="s">
        <v>61</v>
      </c>
      <c r="G69" t="str">
        <f>"011"</f>
        <v>011</v>
      </c>
      <c r="H69" t="str">
        <f>"6328"</f>
        <v>6328</v>
      </c>
      <c r="I69" s="3">
        <v>19862700</v>
      </c>
      <c r="J69" s="3">
        <v>100</v>
      </c>
      <c r="K69" s="3">
        <v>19862700</v>
      </c>
      <c r="L69" s="3">
        <v>0</v>
      </c>
      <c r="M69" s="3">
        <v>19862700</v>
      </c>
      <c r="N69" s="3">
        <v>11003700</v>
      </c>
      <c r="O69" s="3">
        <v>11003700</v>
      </c>
      <c r="P69" s="3">
        <v>673800</v>
      </c>
      <c r="Q69" s="3">
        <v>673800</v>
      </c>
      <c r="R69" s="3">
        <v>295100</v>
      </c>
      <c r="S69" s="3">
        <v>0</v>
      </c>
      <c r="T69" s="3">
        <v>0</v>
      </c>
      <c r="U69" s="3">
        <v>0</v>
      </c>
      <c r="V69" s="3">
        <v>2015</v>
      </c>
      <c r="W69" s="3">
        <v>13014000</v>
      </c>
      <c r="X69" s="3">
        <v>31835300</v>
      </c>
      <c r="Y69" s="3">
        <v>18821300</v>
      </c>
      <c r="Z69" s="3">
        <v>17189000</v>
      </c>
      <c r="AA69" s="3">
        <v>14646300</v>
      </c>
      <c r="AB69" s="3">
        <v>85</v>
      </c>
    </row>
    <row r="70" spans="1:28" x14ac:dyDescent="0.35">
      <c r="A70">
        <v>2022</v>
      </c>
      <c r="B70" t="str">
        <f t="shared" si="6"/>
        <v>05</v>
      </c>
      <c r="C70" t="s">
        <v>49</v>
      </c>
      <c r="D70" t="s">
        <v>35</v>
      </c>
      <c r="E70" t="str">
        <f t="shared" si="5"/>
        <v>216</v>
      </c>
      <c r="F70" t="s">
        <v>61</v>
      </c>
      <c r="G70" t="str">
        <f>"012"</f>
        <v>012</v>
      </c>
      <c r="H70" t="str">
        <f>"6328"</f>
        <v>6328</v>
      </c>
      <c r="I70" s="3">
        <v>17195900</v>
      </c>
      <c r="J70" s="3">
        <v>100</v>
      </c>
      <c r="K70" s="3">
        <v>17195900</v>
      </c>
      <c r="L70" s="3">
        <v>0</v>
      </c>
      <c r="M70" s="3">
        <v>17195900</v>
      </c>
      <c r="N70" s="3">
        <v>44620900</v>
      </c>
      <c r="O70" s="3">
        <v>44620900</v>
      </c>
      <c r="P70" s="3">
        <v>1281200</v>
      </c>
      <c r="Q70" s="3">
        <v>1281200</v>
      </c>
      <c r="R70" s="3">
        <v>159100</v>
      </c>
      <c r="S70" s="3">
        <v>0</v>
      </c>
      <c r="T70" s="3">
        <v>0</v>
      </c>
      <c r="U70" s="3">
        <v>0</v>
      </c>
      <c r="V70" s="3">
        <v>2015</v>
      </c>
      <c r="W70" s="3">
        <v>23440300</v>
      </c>
      <c r="X70" s="3">
        <v>63257100</v>
      </c>
      <c r="Y70" s="3">
        <v>39816800</v>
      </c>
      <c r="Z70" s="3">
        <v>18103300</v>
      </c>
      <c r="AA70" s="3">
        <v>45153800</v>
      </c>
      <c r="AB70" s="3">
        <v>249</v>
      </c>
    </row>
    <row r="71" spans="1:28" x14ac:dyDescent="0.35">
      <c r="A71">
        <v>2022</v>
      </c>
      <c r="B71" t="str">
        <f t="shared" si="6"/>
        <v>05</v>
      </c>
      <c r="C71" t="s">
        <v>49</v>
      </c>
      <c r="D71" t="s">
        <v>35</v>
      </c>
      <c r="E71" t="str">
        <f t="shared" si="5"/>
        <v>216</v>
      </c>
      <c r="F71" t="s">
        <v>61</v>
      </c>
      <c r="G71" t="str">
        <f>"013"</f>
        <v>013</v>
      </c>
      <c r="H71" t="str">
        <f>"6328"</f>
        <v>6328</v>
      </c>
      <c r="I71" s="3">
        <v>61494000</v>
      </c>
      <c r="J71" s="3">
        <v>100</v>
      </c>
      <c r="K71" s="3">
        <v>61494000</v>
      </c>
      <c r="L71" s="3">
        <v>0</v>
      </c>
      <c r="M71" s="3">
        <v>61494000</v>
      </c>
      <c r="N71" s="3">
        <v>0</v>
      </c>
      <c r="O71" s="3">
        <v>0</v>
      </c>
      <c r="P71" s="3">
        <v>0</v>
      </c>
      <c r="Q71" s="3">
        <v>0</v>
      </c>
      <c r="R71" s="3">
        <v>1404500</v>
      </c>
      <c r="S71" s="3">
        <v>0</v>
      </c>
      <c r="T71" s="3">
        <v>0</v>
      </c>
      <c r="U71" s="3">
        <v>0</v>
      </c>
      <c r="V71" s="3">
        <v>2017</v>
      </c>
      <c r="W71" s="3">
        <v>53361100</v>
      </c>
      <c r="X71" s="3">
        <v>62898500</v>
      </c>
      <c r="Y71" s="3">
        <v>9537400</v>
      </c>
      <c r="Z71" s="3">
        <v>60915300</v>
      </c>
      <c r="AA71" s="3">
        <v>1983200</v>
      </c>
      <c r="AB71" s="3">
        <v>3</v>
      </c>
    </row>
    <row r="72" spans="1:28" x14ac:dyDescent="0.35">
      <c r="A72">
        <v>2022</v>
      </c>
      <c r="B72" t="str">
        <f t="shared" si="6"/>
        <v>05</v>
      </c>
      <c r="C72" t="s">
        <v>49</v>
      </c>
      <c r="D72" t="s">
        <v>35</v>
      </c>
      <c r="E72" t="str">
        <f t="shared" si="5"/>
        <v>216</v>
      </c>
      <c r="F72" t="s">
        <v>61</v>
      </c>
      <c r="G72" t="str">
        <f>"014"</f>
        <v>014</v>
      </c>
      <c r="H72" t="str">
        <f>"1414"</f>
        <v>1414</v>
      </c>
      <c r="I72" s="3">
        <v>2294200</v>
      </c>
      <c r="J72" s="3">
        <v>100</v>
      </c>
      <c r="K72" s="3">
        <v>2294200</v>
      </c>
      <c r="L72" s="3">
        <v>0</v>
      </c>
      <c r="M72" s="3">
        <v>2294200</v>
      </c>
      <c r="N72" s="3">
        <v>0</v>
      </c>
      <c r="O72" s="3">
        <v>0</v>
      </c>
      <c r="P72" s="3">
        <v>0</v>
      </c>
      <c r="Q72" s="3">
        <v>0</v>
      </c>
      <c r="R72" s="3">
        <v>68600</v>
      </c>
      <c r="S72" s="3">
        <v>0</v>
      </c>
      <c r="T72" s="3">
        <v>0</v>
      </c>
      <c r="U72" s="3">
        <v>0</v>
      </c>
      <c r="V72" s="3">
        <v>2019</v>
      </c>
      <c r="W72" s="3">
        <v>579600</v>
      </c>
      <c r="X72" s="3">
        <v>2362800</v>
      </c>
      <c r="Y72" s="3">
        <v>1783200</v>
      </c>
      <c r="Z72" s="3">
        <v>2906800</v>
      </c>
      <c r="AA72" s="3">
        <v>-544000</v>
      </c>
      <c r="AB72" s="3">
        <v>-19</v>
      </c>
    </row>
    <row r="73" spans="1:28" x14ac:dyDescent="0.35">
      <c r="A73">
        <v>2022</v>
      </c>
      <c r="B73" t="str">
        <f t="shared" si="6"/>
        <v>05</v>
      </c>
      <c r="C73" t="s">
        <v>49</v>
      </c>
      <c r="D73" t="s">
        <v>35</v>
      </c>
      <c r="E73" t="str">
        <f t="shared" si="5"/>
        <v>216</v>
      </c>
      <c r="F73" t="s">
        <v>61</v>
      </c>
      <c r="G73" t="str">
        <f>"015"</f>
        <v>015</v>
      </c>
      <c r="H73" t="str">
        <f>"6328"</f>
        <v>6328</v>
      </c>
      <c r="I73" s="3">
        <v>28973400</v>
      </c>
      <c r="J73" s="3">
        <v>100</v>
      </c>
      <c r="K73" s="3">
        <v>28973400</v>
      </c>
      <c r="L73" s="3">
        <v>0</v>
      </c>
      <c r="M73" s="3">
        <v>28973400</v>
      </c>
      <c r="N73" s="3">
        <v>0</v>
      </c>
      <c r="O73" s="3">
        <v>0</v>
      </c>
      <c r="P73" s="3">
        <v>0</v>
      </c>
      <c r="Q73" s="3">
        <v>0</v>
      </c>
      <c r="R73" s="3">
        <v>60600</v>
      </c>
      <c r="S73" s="3">
        <v>0</v>
      </c>
      <c r="T73" s="3">
        <v>0</v>
      </c>
      <c r="U73" s="3">
        <v>0</v>
      </c>
      <c r="V73" s="3">
        <v>2020</v>
      </c>
      <c r="W73" s="3">
        <v>2616000</v>
      </c>
      <c r="X73" s="3">
        <v>29034000</v>
      </c>
      <c r="Y73" s="3">
        <v>26418000</v>
      </c>
      <c r="Z73" s="3">
        <v>2553300</v>
      </c>
      <c r="AA73" s="3">
        <v>26480700</v>
      </c>
      <c r="AB73" s="3">
        <v>1037</v>
      </c>
    </row>
    <row r="74" spans="1:28" x14ac:dyDescent="0.35">
      <c r="A74">
        <v>2022</v>
      </c>
      <c r="B74" t="str">
        <f t="shared" si="6"/>
        <v>05</v>
      </c>
      <c r="C74" t="s">
        <v>49</v>
      </c>
      <c r="D74" t="s">
        <v>35</v>
      </c>
      <c r="E74" t="str">
        <f t="shared" si="5"/>
        <v>216</v>
      </c>
      <c r="F74" t="s">
        <v>61</v>
      </c>
      <c r="G74" t="str">
        <f>"016"</f>
        <v>016</v>
      </c>
      <c r="H74" t="str">
        <f>"1414"</f>
        <v>1414</v>
      </c>
      <c r="I74" s="3">
        <v>0</v>
      </c>
      <c r="J74" s="3">
        <v>100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2020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x14ac:dyDescent="0.35">
      <c r="A75">
        <v>2022</v>
      </c>
      <c r="B75" t="str">
        <f t="shared" si="6"/>
        <v>05</v>
      </c>
      <c r="C75" t="s">
        <v>49</v>
      </c>
      <c r="D75" t="s">
        <v>35</v>
      </c>
      <c r="E75" t="str">
        <f t="shared" si="5"/>
        <v>216</v>
      </c>
      <c r="F75" t="s">
        <v>61</v>
      </c>
      <c r="G75" t="str">
        <f>"017"</f>
        <v>017</v>
      </c>
      <c r="H75" t="str">
        <f>"1414"</f>
        <v>1414</v>
      </c>
      <c r="I75" s="3">
        <v>0</v>
      </c>
      <c r="J75" s="3">
        <v>100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2021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x14ac:dyDescent="0.35">
      <c r="A76">
        <v>2022</v>
      </c>
      <c r="B76" t="str">
        <f t="shared" si="6"/>
        <v>05</v>
      </c>
      <c r="C76" t="s">
        <v>49</v>
      </c>
      <c r="D76" t="s">
        <v>35</v>
      </c>
      <c r="E76" t="str">
        <f t="shared" ref="E76:E88" si="7">"231"</f>
        <v>231</v>
      </c>
      <c r="F76" t="s">
        <v>62</v>
      </c>
      <c r="G76" t="str">
        <f>"004"</f>
        <v>004</v>
      </c>
      <c r="H76" t="str">
        <f t="shared" ref="H76:H88" si="8">"2289"</f>
        <v>2289</v>
      </c>
      <c r="I76" s="3">
        <v>23701900</v>
      </c>
      <c r="J76" s="3">
        <v>100</v>
      </c>
      <c r="K76" s="3">
        <v>23701900</v>
      </c>
      <c r="L76" s="3">
        <v>0</v>
      </c>
      <c r="M76" s="3">
        <v>23701900</v>
      </c>
      <c r="N76" s="3">
        <v>0</v>
      </c>
      <c r="O76" s="3">
        <v>0</v>
      </c>
      <c r="P76" s="3">
        <v>0</v>
      </c>
      <c r="Q76" s="3">
        <v>0</v>
      </c>
      <c r="R76" s="3">
        <v>-26000</v>
      </c>
      <c r="S76" s="3">
        <v>0</v>
      </c>
      <c r="T76" s="3">
        <v>0</v>
      </c>
      <c r="U76" s="3">
        <v>31628000</v>
      </c>
      <c r="V76" s="3">
        <v>1998</v>
      </c>
      <c r="W76" s="3">
        <v>26954000</v>
      </c>
      <c r="X76" s="3">
        <v>55303900</v>
      </c>
      <c r="Y76" s="3">
        <v>28349900</v>
      </c>
      <c r="Z76" s="3">
        <v>52274300</v>
      </c>
      <c r="AA76" s="3">
        <v>3029600</v>
      </c>
      <c r="AB76" s="3">
        <v>6</v>
      </c>
    </row>
    <row r="77" spans="1:28" x14ac:dyDescent="0.35">
      <c r="A77">
        <v>2022</v>
      </c>
      <c r="B77" t="str">
        <f t="shared" si="6"/>
        <v>05</v>
      </c>
      <c r="C77" t="s">
        <v>49</v>
      </c>
      <c r="D77" t="s">
        <v>35</v>
      </c>
      <c r="E77" t="str">
        <f t="shared" si="7"/>
        <v>231</v>
      </c>
      <c r="F77" t="s">
        <v>62</v>
      </c>
      <c r="G77" t="str">
        <f>"005"</f>
        <v>005</v>
      </c>
      <c r="H77" t="str">
        <f t="shared" si="8"/>
        <v>2289</v>
      </c>
      <c r="I77" s="3">
        <v>134859600</v>
      </c>
      <c r="J77" s="3">
        <v>100</v>
      </c>
      <c r="K77" s="3">
        <v>134859600</v>
      </c>
      <c r="L77" s="3">
        <v>0</v>
      </c>
      <c r="M77" s="3">
        <v>134859600</v>
      </c>
      <c r="N77" s="3">
        <v>0</v>
      </c>
      <c r="O77" s="3">
        <v>0</v>
      </c>
      <c r="P77" s="3">
        <v>852200</v>
      </c>
      <c r="Q77" s="3">
        <v>852200</v>
      </c>
      <c r="R77" s="3">
        <v>-186500</v>
      </c>
      <c r="S77" s="3">
        <v>0</v>
      </c>
      <c r="T77" s="3">
        <v>0</v>
      </c>
      <c r="U77" s="3">
        <v>605300</v>
      </c>
      <c r="V77" s="3">
        <v>2000</v>
      </c>
      <c r="W77" s="3">
        <v>55249400</v>
      </c>
      <c r="X77" s="3">
        <v>136130600</v>
      </c>
      <c r="Y77" s="3">
        <v>80881200</v>
      </c>
      <c r="Z77" s="3">
        <v>149455800</v>
      </c>
      <c r="AA77" s="3">
        <v>-13325200</v>
      </c>
      <c r="AB77" s="3">
        <v>-9</v>
      </c>
    </row>
    <row r="78" spans="1:28" x14ac:dyDescent="0.35">
      <c r="A78">
        <v>2022</v>
      </c>
      <c r="B78" t="str">
        <f t="shared" si="6"/>
        <v>05</v>
      </c>
      <c r="C78" t="s">
        <v>49</v>
      </c>
      <c r="D78" t="s">
        <v>35</v>
      </c>
      <c r="E78" t="str">
        <f t="shared" si="7"/>
        <v>231</v>
      </c>
      <c r="F78" t="s">
        <v>62</v>
      </c>
      <c r="G78" t="str">
        <f>"010"</f>
        <v>010</v>
      </c>
      <c r="H78" t="str">
        <f t="shared" si="8"/>
        <v>2289</v>
      </c>
      <c r="I78" s="3">
        <v>36206100</v>
      </c>
      <c r="J78" s="3">
        <v>100</v>
      </c>
      <c r="K78" s="3">
        <v>36206100</v>
      </c>
      <c r="L78" s="3">
        <v>0</v>
      </c>
      <c r="M78" s="3">
        <v>36206100</v>
      </c>
      <c r="N78" s="3">
        <v>0</v>
      </c>
      <c r="O78" s="3">
        <v>0</v>
      </c>
      <c r="P78" s="3">
        <v>0</v>
      </c>
      <c r="Q78" s="3">
        <v>0</v>
      </c>
      <c r="R78" s="3">
        <v>-48100</v>
      </c>
      <c r="S78" s="3">
        <v>0</v>
      </c>
      <c r="T78" s="3">
        <v>0</v>
      </c>
      <c r="U78" s="3">
        <v>0</v>
      </c>
      <c r="V78" s="3">
        <v>2004</v>
      </c>
      <c r="W78" s="3">
        <v>24402500</v>
      </c>
      <c r="X78" s="3">
        <v>36158000</v>
      </c>
      <c r="Y78" s="3">
        <v>11755500</v>
      </c>
      <c r="Z78" s="3">
        <v>38165200</v>
      </c>
      <c r="AA78" s="3">
        <v>-2007200</v>
      </c>
      <c r="AB78" s="3">
        <v>-5</v>
      </c>
    </row>
    <row r="79" spans="1:28" x14ac:dyDescent="0.35">
      <c r="A79">
        <v>2022</v>
      </c>
      <c r="B79" t="str">
        <f t="shared" si="6"/>
        <v>05</v>
      </c>
      <c r="C79" t="s">
        <v>49</v>
      </c>
      <c r="D79" t="s">
        <v>35</v>
      </c>
      <c r="E79" t="str">
        <f t="shared" si="7"/>
        <v>231</v>
      </c>
      <c r="F79" t="s">
        <v>62</v>
      </c>
      <c r="G79" t="str">
        <f>"012"</f>
        <v>012</v>
      </c>
      <c r="H79" t="str">
        <f t="shared" si="8"/>
        <v>2289</v>
      </c>
      <c r="I79" s="3">
        <v>239210300</v>
      </c>
      <c r="J79" s="3">
        <v>100</v>
      </c>
      <c r="K79" s="3">
        <v>239210300</v>
      </c>
      <c r="L79" s="3">
        <v>0</v>
      </c>
      <c r="M79" s="3">
        <v>239210300</v>
      </c>
      <c r="N79" s="3">
        <v>27794900</v>
      </c>
      <c r="O79" s="3">
        <v>27794900</v>
      </c>
      <c r="P79" s="3">
        <v>4918500</v>
      </c>
      <c r="Q79" s="3">
        <v>4918500</v>
      </c>
      <c r="R79" s="3">
        <v>-387900</v>
      </c>
      <c r="S79" s="3">
        <v>0</v>
      </c>
      <c r="T79" s="3">
        <v>0</v>
      </c>
      <c r="U79" s="3">
        <v>0</v>
      </c>
      <c r="V79" s="3">
        <v>2005</v>
      </c>
      <c r="W79" s="3">
        <v>196591800</v>
      </c>
      <c r="X79" s="3">
        <v>271535800</v>
      </c>
      <c r="Y79" s="3">
        <v>74944000</v>
      </c>
      <c r="Z79" s="3">
        <v>336496900</v>
      </c>
      <c r="AA79" s="3">
        <v>-64961100</v>
      </c>
      <c r="AB79" s="3">
        <v>-19</v>
      </c>
    </row>
    <row r="80" spans="1:28" x14ac:dyDescent="0.35">
      <c r="A80">
        <v>2022</v>
      </c>
      <c r="B80" t="str">
        <f t="shared" si="6"/>
        <v>05</v>
      </c>
      <c r="C80" t="s">
        <v>49</v>
      </c>
      <c r="D80" t="s">
        <v>35</v>
      </c>
      <c r="E80" t="str">
        <f t="shared" si="7"/>
        <v>231</v>
      </c>
      <c r="F80" t="s">
        <v>62</v>
      </c>
      <c r="G80" t="str">
        <f>"013"</f>
        <v>013</v>
      </c>
      <c r="H80" t="str">
        <f t="shared" si="8"/>
        <v>2289</v>
      </c>
      <c r="I80" s="3">
        <v>163038700</v>
      </c>
      <c r="J80" s="3">
        <v>100</v>
      </c>
      <c r="K80" s="3">
        <v>163038700</v>
      </c>
      <c r="L80" s="3">
        <v>0</v>
      </c>
      <c r="M80" s="3">
        <v>163038700</v>
      </c>
      <c r="N80" s="3">
        <v>0</v>
      </c>
      <c r="O80" s="3">
        <v>0</v>
      </c>
      <c r="P80" s="3">
        <v>0</v>
      </c>
      <c r="Q80" s="3">
        <v>0</v>
      </c>
      <c r="R80" s="3">
        <v>-213300</v>
      </c>
      <c r="S80" s="3">
        <v>0</v>
      </c>
      <c r="T80" s="3">
        <v>0</v>
      </c>
      <c r="U80" s="3">
        <v>0</v>
      </c>
      <c r="V80" s="3">
        <v>2005</v>
      </c>
      <c r="W80" s="3">
        <v>46360500</v>
      </c>
      <c r="X80" s="3">
        <v>162825400</v>
      </c>
      <c r="Y80" s="3">
        <v>116464900</v>
      </c>
      <c r="Z80" s="3">
        <v>169326700</v>
      </c>
      <c r="AA80" s="3">
        <v>-6501300</v>
      </c>
      <c r="AB80" s="3">
        <v>-4</v>
      </c>
    </row>
    <row r="81" spans="1:28" x14ac:dyDescent="0.35">
      <c r="A81">
        <v>2022</v>
      </c>
      <c r="B81" t="str">
        <f t="shared" si="6"/>
        <v>05</v>
      </c>
      <c r="C81" t="s">
        <v>49</v>
      </c>
      <c r="D81" t="s">
        <v>35</v>
      </c>
      <c r="E81" t="str">
        <f t="shared" si="7"/>
        <v>231</v>
      </c>
      <c r="F81" t="s">
        <v>62</v>
      </c>
      <c r="G81" t="str">
        <f>"014"</f>
        <v>014</v>
      </c>
      <c r="H81" t="str">
        <f t="shared" si="8"/>
        <v>2289</v>
      </c>
      <c r="I81" s="3">
        <v>30681000</v>
      </c>
      <c r="J81" s="3">
        <v>100</v>
      </c>
      <c r="K81" s="3">
        <v>30681000</v>
      </c>
      <c r="L81" s="3">
        <v>0</v>
      </c>
      <c r="M81" s="3">
        <v>30681000</v>
      </c>
      <c r="N81" s="3">
        <v>0</v>
      </c>
      <c r="O81" s="3">
        <v>0</v>
      </c>
      <c r="P81" s="3">
        <v>122700</v>
      </c>
      <c r="Q81" s="3">
        <v>122700</v>
      </c>
      <c r="R81" s="3">
        <v>-48900</v>
      </c>
      <c r="S81" s="3">
        <v>0</v>
      </c>
      <c r="T81" s="3">
        <v>0</v>
      </c>
      <c r="U81" s="3">
        <v>0</v>
      </c>
      <c r="V81" s="3">
        <v>2006</v>
      </c>
      <c r="W81" s="3">
        <v>6155500</v>
      </c>
      <c r="X81" s="3">
        <v>30754800</v>
      </c>
      <c r="Y81" s="3">
        <v>24599300</v>
      </c>
      <c r="Z81" s="3">
        <v>37302600</v>
      </c>
      <c r="AA81" s="3">
        <v>-6547800</v>
      </c>
      <c r="AB81" s="3">
        <v>-18</v>
      </c>
    </row>
    <row r="82" spans="1:28" x14ac:dyDescent="0.35">
      <c r="A82">
        <v>2022</v>
      </c>
      <c r="B82" t="str">
        <f t="shared" si="6"/>
        <v>05</v>
      </c>
      <c r="C82" t="s">
        <v>49</v>
      </c>
      <c r="D82" t="s">
        <v>35</v>
      </c>
      <c r="E82" t="str">
        <f t="shared" si="7"/>
        <v>231</v>
      </c>
      <c r="F82" t="s">
        <v>62</v>
      </c>
      <c r="G82" t="str">
        <f>"016"</f>
        <v>016</v>
      </c>
      <c r="H82" t="str">
        <f t="shared" si="8"/>
        <v>2289</v>
      </c>
      <c r="I82" s="3">
        <v>106623400</v>
      </c>
      <c r="J82" s="3">
        <v>100</v>
      </c>
      <c r="K82" s="3">
        <v>106623400</v>
      </c>
      <c r="L82" s="3">
        <v>0</v>
      </c>
      <c r="M82" s="3">
        <v>106623400</v>
      </c>
      <c r="N82" s="3">
        <v>0</v>
      </c>
      <c r="O82" s="3">
        <v>0</v>
      </c>
      <c r="P82" s="3">
        <v>8700</v>
      </c>
      <c r="Q82" s="3">
        <v>8700</v>
      </c>
      <c r="R82" s="3">
        <v>-138400</v>
      </c>
      <c r="S82" s="3">
        <v>0</v>
      </c>
      <c r="T82" s="3">
        <v>0</v>
      </c>
      <c r="U82" s="3">
        <v>0</v>
      </c>
      <c r="V82" s="3">
        <v>2007</v>
      </c>
      <c r="W82" s="3">
        <v>82363200</v>
      </c>
      <c r="X82" s="3">
        <v>106493700</v>
      </c>
      <c r="Y82" s="3">
        <v>24130500</v>
      </c>
      <c r="Z82" s="3">
        <v>109840600</v>
      </c>
      <c r="AA82" s="3">
        <v>-3346900</v>
      </c>
      <c r="AB82" s="3">
        <v>-3</v>
      </c>
    </row>
    <row r="83" spans="1:28" x14ac:dyDescent="0.35">
      <c r="A83">
        <v>2022</v>
      </c>
      <c r="B83" t="str">
        <f t="shared" si="6"/>
        <v>05</v>
      </c>
      <c r="C83" t="s">
        <v>49</v>
      </c>
      <c r="D83" t="s">
        <v>35</v>
      </c>
      <c r="E83" t="str">
        <f t="shared" si="7"/>
        <v>231</v>
      </c>
      <c r="F83" t="s">
        <v>62</v>
      </c>
      <c r="G83" t="str">
        <f>"018"</f>
        <v>018</v>
      </c>
      <c r="H83" t="str">
        <f t="shared" si="8"/>
        <v>2289</v>
      </c>
      <c r="I83" s="3">
        <v>63382800</v>
      </c>
      <c r="J83" s="3">
        <v>100</v>
      </c>
      <c r="K83" s="3">
        <v>63382800</v>
      </c>
      <c r="L83" s="3">
        <v>0</v>
      </c>
      <c r="M83" s="3">
        <v>63382800</v>
      </c>
      <c r="N83" s="3">
        <v>0</v>
      </c>
      <c r="O83" s="3">
        <v>0</v>
      </c>
      <c r="P83" s="3">
        <v>0</v>
      </c>
      <c r="Q83" s="3">
        <v>0</v>
      </c>
      <c r="R83" s="3">
        <v>-72300</v>
      </c>
      <c r="S83" s="3">
        <v>0</v>
      </c>
      <c r="T83" s="3">
        <v>0</v>
      </c>
      <c r="U83" s="3">
        <v>0</v>
      </c>
      <c r="V83" s="3">
        <v>2016</v>
      </c>
      <c r="W83" s="3">
        <v>29760700</v>
      </c>
      <c r="X83" s="3">
        <v>63310500</v>
      </c>
      <c r="Y83" s="3">
        <v>33549800</v>
      </c>
      <c r="Z83" s="3">
        <v>57445100</v>
      </c>
      <c r="AA83" s="3">
        <v>5865400</v>
      </c>
      <c r="AB83" s="3">
        <v>10</v>
      </c>
    </row>
    <row r="84" spans="1:28" x14ac:dyDescent="0.35">
      <c r="A84">
        <v>2022</v>
      </c>
      <c r="B84" t="str">
        <f t="shared" si="6"/>
        <v>05</v>
      </c>
      <c r="C84" t="s">
        <v>49</v>
      </c>
      <c r="D84" t="s">
        <v>35</v>
      </c>
      <c r="E84" t="str">
        <f t="shared" si="7"/>
        <v>231</v>
      </c>
      <c r="F84" t="s">
        <v>62</v>
      </c>
      <c r="G84" t="str">
        <f>"019"</f>
        <v>019</v>
      </c>
      <c r="H84" t="str">
        <f t="shared" si="8"/>
        <v>2289</v>
      </c>
      <c r="I84" s="3">
        <v>40329900</v>
      </c>
      <c r="J84" s="3">
        <v>100</v>
      </c>
      <c r="K84" s="3">
        <v>40329900</v>
      </c>
      <c r="L84" s="3">
        <v>0</v>
      </c>
      <c r="M84" s="3">
        <v>40329900</v>
      </c>
      <c r="N84" s="3">
        <v>0</v>
      </c>
      <c r="O84" s="3">
        <v>0</v>
      </c>
      <c r="P84" s="3">
        <v>0</v>
      </c>
      <c r="Q84" s="3">
        <v>0</v>
      </c>
      <c r="R84" s="3">
        <v>-48700</v>
      </c>
      <c r="S84" s="3">
        <v>0</v>
      </c>
      <c r="T84" s="3">
        <v>0</v>
      </c>
      <c r="U84" s="3">
        <v>0</v>
      </c>
      <c r="V84" s="3">
        <v>2017</v>
      </c>
      <c r="W84" s="3">
        <v>27027500</v>
      </c>
      <c r="X84" s="3">
        <v>40281200</v>
      </c>
      <c r="Y84" s="3">
        <v>13253700</v>
      </c>
      <c r="Z84" s="3">
        <v>38723600</v>
      </c>
      <c r="AA84" s="3">
        <v>1557600</v>
      </c>
      <c r="AB84" s="3">
        <v>4</v>
      </c>
    </row>
    <row r="85" spans="1:28" x14ac:dyDescent="0.35">
      <c r="A85">
        <v>2022</v>
      </c>
      <c r="B85" t="str">
        <f t="shared" si="6"/>
        <v>05</v>
      </c>
      <c r="C85" t="s">
        <v>49</v>
      </c>
      <c r="D85" t="s">
        <v>35</v>
      </c>
      <c r="E85" t="str">
        <f t="shared" si="7"/>
        <v>231</v>
      </c>
      <c r="F85" t="s">
        <v>62</v>
      </c>
      <c r="G85" t="str">
        <f>"020"</f>
        <v>020</v>
      </c>
      <c r="H85" t="str">
        <f t="shared" si="8"/>
        <v>2289</v>
      </c>
      <c r="I85" s="3">
        <v>13191300</v>
      </c>
      <c r="J85" s="3">
        <v>100</v>
      </c>
      <c r="K85" s="3">
        <v>13191300</v>
      </c>
      <c r="L85" s="3">
        <v>0</v>
      </c>
      <c r="M85" s="3">
        <v>13191300</v>
      </c>
      <c r="N85" s="3">
        <v>0</v>
      </c>
      <c r="O85" s="3">
        <v>0</v>
      </c>
      <c r="P85" s="3">
        <v>0</v>
      </c>
      <c r="Q85" s="3">
        <v>0</v>
      </c>
      <c r="R85" s="3">
        <v>-15800</v>
      </c>
      <c r="S85" s="3">
        <v>0</v>
      </c>
      <c r="T85" s="3">
        <v>0</v>
      </c>
      <c r="U85" s="3">
        <v>0</v>
      </c>
      <c r="V85" s="3">
        <v>2018</v>
      </c>
      <c r="W85" s="3">
        <v>5285100</v>
      </c>
      <c r="X85" s="3">
        <v>13175500</v>
      </c>
      <c r="Y85" s="3">
        <v>7890400</v>
      </c>
      <c r="Z85" s="3">
        <v>12564900</v>
      </c>
      <c r="AA85" s="3">
        <v>610600</v>
      </c>
      <c r="AB85" s="3">
        <v>5</v>
      </c>
    </row>
    <row r="86" spans="1:28" x14ac:dyDescent="0.35">
      <c r="A86">
        <v>2022</v>
      </c>
      <c r="B86" t="str">
        <f t="shared" si="6"/>
        <v>05</v>
      </c>
      <c r="C86" t="s">
        <v>49</v>
      </c>
      <c r="D86" t="s">
        <v>35</v>
      </c>
      <c r="E86" t="str">
        <f t="shared" si="7"/>
        <v>231</v>
      </c>
      <c r="F86" t="s">
        <v>62</v>
      </c>
      <c r="G86" t="str">
        <f>"021"</f>
        <v>021</v>
      </c>
      <c r="H86" t="str">
        <f t="shared" si="8"/>
        <v>2289</v>
      </c>
      <c r="I86" s="3">
        <v>8194300</v>
      </c>
      <c r="J86" s="3">
        <v>100</v>
      </c>
      <c r="K86" s="3">
        <v>8194300</v>
      </c>
      <c r="L86" s="3">
        <v>0</v>
      </c>
      <c r="M86" s="3">
        <v>8194300</v>
      </c>
      <c r="N86" s="3">
        <v>83420100</v>
      </c>
      <c r="O86" s="3">
        <v>83420100</v>
      </c>
      <c r="P86" s="3">
        <v>27052800</v>
      </c>
      <c r="Q86" s="3">
        <v>27052800</v>
      </c>
      <c r="R86" s="3">
        <v>-5700</v>
      </c>
      <c r="S86" s="3">
        <v>0</v>
      </c>
      <c r="T86" s="3">
        <v>0</v>
      </c>
      <c r="U86" s="3">
        <v>0</v>
      </c>
      <c r="V86" s="3">
        <v>2018</v>
      </c>
      <c r="W86" s="3">
        <v>25446300</v>
      </c>
      <c r="X86" s="3">
        <v>118661500</v>
      </c>
      <c r="Y86" s="3">
        <v>93215200</v>
      </c>
      <c r="Z86" s="3">
        <v>114266500</v>
      </c>
      <c r="AA86" s="3">
        <v>4395000</v>
      </c>
      <c r="AB86" s="3">
        <v>4</v>
      </c>
    </row>
    <row r="87" spans="1:28" x14ac:dyDescent="0.35">
      <c r="A87">
        <v>2022</v>
      </c>
      <c r="B87" t="str">
        <f t="shared" si="6"/>
        <v>05</v>
      </c>
      <c r="C87" t="s">
        <v>49</v>
      </c>
      <c r="D87" t="s">
        <v>35</v>
      </c>
      <c r="E87" t="str">
        <f t="shared" si="7"/>
        <v>231</v>
      </c>
      <c r="F87" t="s">
        <v>62</v>
      </c>
      <c r="G87" t="str">
        <f>"022"</f>
        <v>022</v>
      </c>
      <c r="H87" t="str">
        <f t="shared" si="8"/>
        <v>2289</v>
      </c>
      <c r="I87" s="3">
        <v>3697900</v>
      </c>
      <c r="J87" s="3">
        <v>100</v>
      </c>
      <c r="K87" s="3">
        <v>3697900</v>
      </c>
      <c r="L87" s="3">
        <v>0</v>
      </c>
      <c r="M87" s="3">
        <v>3697900</v>
      </c>
      <c r="N87" s="3">
        <v>420200</v>
      </c>
      <c r="O87" s="3">
        <v>420200</v>
      </c>
      <c r="P87" s="3">
        <v>17700</v>
      </c>
      <c r="Q87" s="3">
        <v>17700</v>
      </c>
      <c r="R87" s="3">
        <v>-4700</v>
      </c>
      <c r="S87" s="3">
        <v>0</v>
      </c>
      <c r="T87" s="3">
        <v>0</v>
      </c>
      <c r="U87" s="3">
        <v>0</v>
      </c>
      <c r="V87" s="3">
        <v>2019</v>
      </c>
      <c r="W87" s="3">
        <v>3941400</v>
      </c>
      <c r="X87" s="3">
        <v>4131100</v>
      </c>
      <c r="Y87" s="3">
        <v>189700</v>
      </c>
      <c r="Z87" s="3">
        <v>4128300</v>
      </c>
      <c r="AA87" s="3">
        <v>2800</v>
      </c>
      <c r="AB87" s="3">
        <v>0</v>
      </c>
    </row>
    <row r="88" spans="1:28" x14ac:dyDescent="0.35">
      <c r="A88">
        <v>2022</v>
      </c>
      <c r="B88" t="str">
        <f t="shared" si="6"/>
        <v>05</v>
      </c>
      <c r="C88" t="s">
        <v>49</v>
      </c>
      <c r="D88" t="s">
        <v>35</v>
      </c>
      <c r="E88" t="str">
        <f t="shared" si="7"/>
        <v>231</v>
      </c>
      <c r="F88" t="s">
        <v>62</v>
      </c>
      <c r="G88" t="str">
        <f>"023"</f>
        <v>023</v>
      </c>
      <c r="H88" t="str">
        <f t="shared" si="8"/>
        <v>2289</v>
      </c>
      <c r="I88" s="3">
        <v>6482400</v>
      </c>
      <c r="J88" s="3">
        <v>100</v>
      </c>
      <c r="K88" s="3">
        <v>6482400</v>
      </c>
      <c r="L88" s="3">
        <v>0</v>
      </c>
      <c r="M88" s="3">
        <v>6482400</v>
      </c>
      <c r="N88" s="3">
        <v>7471600</v>
      </c>
      <c r="O88" s="3">
        <v>7471600</v>
      </c>
      <c r="P88" s="3">
        <v>121200</v>
      </c>
      <c r="Q88" s="3">
        <v>121200</v>
      </c>
      <c r="R88" s="3">
        <v>-5700</v>
      </c>
      <c r="S88" s="3">
        <v>0</v>
      </c>
      <c r="T88" s="3">
        <v>0</v>
      </c>
      <c r="U88" s="3">
        <v>0</v>
      </c>
      <c r="V88" s="3">
        <v>2019</v>
      </c>
      <c r="W88" s="3">
        <v>12027400</v>
      </c>
      <c r="X88" s="3">
        <v>14069500</v>
      </c>
      <c r="Y88" s="3">
        <v>2042100</v>
      </c>
      <c r="Z88" s="3">
        <v>11974200</v>
      </c>
      <c r="AA88" s="3">
        <v>2095300</v>
      </c>
      <c r="AB88" s="3">
        <v>17</v>
      </c>
    </row>
    <row r="89" spans="1:28" x14ac:dyDescent="0.35">
      <c r="A89">
        <v>2022</v>
      </c>
      <c r="B89" t="str">
        <f>"06"</f>
        <v>06</v>
      </c>
      <c r="C89" t="s">
        <v>63</v>
      </c>
      <c r="D89" t="s">
        <v>33</v>
      </c>
      <c r="E89" t="str">
        <f>"111"</f>
        <v>111</v>
      </c>
      <c r="F89" t="s">
        <v>64</v>
      </c>
      <c r="G89" t="str">
        <f>"001"</f>
        <v>001</v>
      </c>
      <c r="H89" t="str">
        <f>"1155"</f>
        <v>1155</v>
      </c>
      <c r="I89" s="3">
        <v>1063600</v>
      </c>
      <c r="J89" s="3">
        <v>78.8</v>
      </c>
      <c r="K89" s="3">
        <v>1349700</v>
      </c>
      <c r="L89" s="3">
        <v>0</v>
      </c>
      <c r="M89" s="3">
        <v>1349700</v>
      </c>
      <c r="N89" s="3">
        <v>4726400</v>
      </c>
      <c r="O89" s="3">
        <v>4726400</v>
      </c>
      <c r="P89" s="3">
        <v>1843300</v>
      </c>
      <c r="Q89" s="3">
        <v>1843300</v>
      </c>
      <c r="R89" s="3">
        <v>-400</v>
      </c>
      <c r="S89" s="3">
        <v>0</v>
      </c>
      <c r="T89" s="3">
        <v>0</v>
      </c>
      <c r="U89" s="3">
        <v>0</v>
      </c>
      <c r="V89" s="3">
        <v>2019</v>
      </c>
      <c r="W89" s="3">
        <v>1988700</v>
      </c>
      <c r="X89" s="3">
        <v>7919000</v>
      </c>
      <c r="Y89" s="3">
        <v>5930300</v>
      </c>
      <c r="Z89" s="3">
        <v>7518500</v>
      </c>
      <c r="AA89" s="3">
        <v>400500</v>
      </c>
      <c r="AB89" s="3">
        <v>5</v>
      </c>
    </row>
    <row r="90" spans="1:28" x14ac:dyDescent="0.35">
      <c r="A90">
        <v>2022</v>
      </c>
      <c r="B90" t="str">
        <f>"06"</f>
        <v>06</v>
      </c>
      <c r="C90" t="s">
        <v>63</v>
      </c>
      <c r="D90" t="s">
        <v>35</v>
      </c>
      <c r="E90" t="str">
        <f>"201"</f>
        <v>201</v>
      </c>
      <c r="F90" t="s">
        <v>65</v>
      </c>
      <c r="G90" t="str">
        <f>"001"</f>
        <v>001</v>
      </c>
      <c r="H90" t="str">
        <f>"0084"</f>
        <v>0084</v>
      </c>
      <c r="I90" s="3">
        <v>3849400</v>
      </c>
      <c r="J90" s="3">
        <v>78.11</v>
      </c>
      <c r="K90" s="3">
        <v>4928200</v>
      </c>
      <c r="L90" s="3">
        <v>0</v>
      </c>
      <c r="M90" s="3">
        <v>4928200</v>
      </c>
      <c r="N90" s="3">
        <v>0</v>
      </c>
      <c r="O90" s="3">
        <v>0</v>
      </c>
      <c r="P90" s="3">
        <v>0</v>
      </c>
      <c r="Q90" s="3">
        <v>0</v>
      </c>
      <c r="R90" s="3">
        <v>-6200</v>
      </c>
      <c r="S90" s="3">
        <v>0</v>
      </c>
      <c r="T90" s="3">
        <v>0</v>
      </c>
      <c r="U90" s="3">
        <v>0</v>
      </c>
      <c r="V90" s="3">
        <v>1994</v>
      </c>
      <c r="W90" s="3">
        <v>769100</v>
      </c>
      <c r="X90" s="3">
        <v>4922000</v>
      </c>
      <c r="Y90" s="3">
        <v>4152900</v>
      </c>
      <c r="Z90" s="3">
        <v>4678400</v>
      </c>
      <c r="AA90" s="3">
        <v>243600</v>
      </c>
      <c r="AB90" s="3">
        <v>5</v>
      </c>
    </row>
    <row r="91" spans="1:28" x14ac:dyDescent="0.35">
      <c r="A91">
        <v>2022</v>
      </c>
      <c r="B91" t="str">
        <f>"06"</f>
        <v>06</v>
      </c>
      <c r="C91" t="s">
        <v>63</v>
      </c>
      <c r="D91" t="s">
        <v>35</v>
      </c>
      <c r="E91" t="str">
        <f>"251"</f>
        <v>251</v>
      </c>
      <c r="F91" t="s">
        <v>66</v>
      </c>
      <c r="G91" t="str">
        <f>"001"</f>
        <v>001</v>
      </c>
      <c r="H91" t="str">
        <f>"3668"</f>
        <v>3668</v>
      </c>
      <c r="I91" s="3">
        <v>10248300</v>
      </c>
      <c r="J91" s="3">
        <v>68.510000000000005</v>
      </c>
      <c r="K91" s="3">
        <v>14958800</v>
      </c>
      <c r="L91" s="3">
        <v>0</v>
      </c>
      <c r="M91" s="3">
        <v>14958800</v>
      </c>
      <c r="N91" s="3">
        <v>1362500</v>
      </c>
      <c r="O91" s="3">
        <v>1362500</v>
      </c>
      <c r="P91" s="3">
        <v>0</v>
      </c>
      <c r="Q91" s="3">
        <v>0</v>
      </c>
      <c r="R91" s="3">
        <v>-17600</v>
      </c>
      <c r="S91" s="3">
        <v>0</v>
      </c>
      <c r="T91" s="3">
        <v>0</v>
      </c>
      <c r="U91" s="3">
        <v>1400</v>
      </c>
      <c r="V91" s="3">
        <v>1989</v>
      </c>
      <c r="W91" s="3">
        <v>116300</v>
      </c>
      <c r="X91" s="3">
        <v>16305100</v>
      </c>
      <c r="Y91" s="3">
        <v>16188800</v>
      </c>
      <c r="Z91" s="3">
        <v>14701200</v>
      </c>
      <c r="AA91" s="3">
        <v>1603900</v>
      </c>
      <c r="AB91" s="3">
        <v>11</v>
      </c>
    </row>
    <row r="92" spans="1:28" x14ac:dyDescent="0.35">
      <c r="A92">
        <v>2022</v>
      </c>
      <c r="B92" t="str">
        <f>"06"</f>
        <v>06</v>
      </c>
      <c r="C92" t="s">
        <v>63</v>
      </c>
      <c r="D92" t="s">
        <v>35</v>
      </c>
      <c r="E92" t="str">
        <f>"251"</f>
        <v>251</v>
      </c>
      <c r="F92" t="s">
        <v>66</v>
      </c>
      <c r="G92" t="str">
        <f>"002"</f>
        <v>002</v>
      </c>
      <c r="H92" t="str">
        <f>"3668"</f>
        <v>3668</v>
      </c>
      <c r="I92" s="3">
        <v>9028400</v>
      </c>
      <c r="J92" s="3">
        <v>68.510000000000005</v>
      </c>
      <c r="K92" s="3">
        <v>13178200</v>
      </c>
      <c r="L92" s="3">
        <v>0</v>
      </c>
      <c r="M92" s="3">
        <v>13178200</v>
      </c>
      <c r="N92" s="3">
        <v>0</v>
      </c>
      <c r="O92" s="3">
        <v>0</v>
      </c>
      <c r="P92" s="3">
        <v>0</v>
      </c>
      <c r="Q92" s="3">
        <v>0</v>
      </c>
      <c r="R92" s="3">
        <v>-15600</v>
      </c>
      <c r="S92" s="3">
        <v>0</v>
      </c>
      <c r="T92" s="3">
        <v>0</v>
      </c>
      <c r="U92" s="3">
        <v>0</v>
      </c>
      <c r="V92" s="3">
        <v>2005</v>
      </c>
      <c r="W92" s="3">
        <v>19900</v>
      </c>
      <c r="X92" s="3">
        <v>13162600</v>
      </c>
      <c r="Y92" s="3">
        <v>13142700</v>
      </c>
      <c r="Z92" s="3">
        <v>11834000</v>
      </c>
      <c r="AA92" s="3">
        <v>1328600</v>
      </c>
      <c r="AB92" s="3">
        <v>11</v>
      </c>
    </row>
    <row r="93" spans="1:28" x14ac:dyDescent="0.35">
      <c r="A93">
        <v>2022</v>
      </c>
      <c r="B93" t="str">
        <f t="shared" ref="B93:B98" si="9">"07"</f>
        <v>07</v>
      </c>
      <c r="C93" t="s">
        <v>67</v>
      </c>
      <c r="D93" t="s">
        <v>33</v>
      </c>
      <c r="E93" t="str">
        <f>"131"</f>
        <v>131</v>
      </c>
      <c r="F93" t="s">
        <v>68</v>
      </c>
      <c r="G93" t="str">
        <f>"004"</f>
        <v>004</v>
      </c>
      <c r="H93" t="str">
        <f>"2233"</f>
        <v>2233</v>
      </c>
      <c r="I93" s="3">
        <v>3807800</v>
      </c>
      <c r="J93" s="3">
        <v>73.459999999999994</v>
      </c>
      <c r="K93" s="3">
        <v>5183500</v>
      </c>
      <c r="L93" s="3">
        <v>0</v>
      </c>
      <c r="M93" s="3">
        <v>5183500</v>
      </c>
      <c r="N93" s="3">
        <v>0</v>
      </c>
      <c r="O93" s="3">
        <v>0</v>
      </c>
      <c r="P93" s="3">
        <v>0</v>
      </c>
      <c r="Q93" s="3">
        <v>0</v>
      </c>
      <c r="R93" s="3">
        <v>18800</v>
      </c>
      <c r="S93" s="3">
        <v>0</v>
      </c>
      <c r="T93" s="3">
        <v>0</v>
      </c>
      <c r="U93" s="3">
        <v>117500</v>
      </c>
      <c r="V93" s="3">
        <v>2005</v>
      </c>
      <c r="W93" s="3">
        <v>1091000</v>
      </c>
      <c r="X93" s="3">
        <v>5319800</v>
      </c>
      <c r="Y93" s="3">
        <v>4228800</v>
      </c>
      <c r="Z93" s="3">
        <v>4769600</v>
      </c>
      <c r="AA93" s="3">
        <v>550200</v>
      </c>
      <c r="AB93" s="3">
        <v>12</v>
      </c>
    </row>
    <row r="94" spans="1:28" x14ac:dyDescent="0.35">
      <c r="A94">
        <v>2022</v>
      </c>
      <c r="B94" t="str">
        <f t="shared" si="9"/>
        <v>07</v>
      </c>
      <c r="C94" t="s">
        <v>67</v>
      </c>
      <c r="D94" t="s">
        <v>33</v>
      </c>
      <c r="E94" t="str">
        <f>"131"</f>
        <v>131</v>
      </c>
      <c r="F94" t="s">
        <v>68</v>
      </c>
      <c r="G94" t="str">
        <f>"005"</f>
        <v>005</v>
      </c>
      <c r="H94" t="str">
        <f>"2233"</f>
        <v>2233</v>
      </c>
      <c r="I94" s="3">
        <v>546600</v>
      </c>
      <c r="J94" s="3">
        <v>73.459999999999994</v>
      </c>
      <c r="K94" s="3">
        <v>744100</v>
      </c>
      <c r="L94" s="3">
        <v>0</v>
      </c>
      <c r="M94" s="3">
        <v>744100</v>
      </c>
      <c r="N94" s="3">
        <v>0</v>
      </c>
      <c r="O94" s="3">
        <v>0</v>
      </c>
      <c r="P94" s="3">
        <v>0</v>
      </c>
      <c r="Q94" s="3">
        <v>0</v>
      </c>
      <c r="R94" s="3">
        <v>2500</v>
      </c>
      <c r="S94" s="3">
        <v>0</v>
      </c>
      <c r="T94" s="3">
        <v>0</v>
      </c>
      <c r="U94" s="3">
        <v>0</v>
      </c>
      <c r="V94" s="3">
        <v>2008</v>
      </c>
      <c r="W94" s="3">
        <v>102000</v>
      </c>
      <c r="X94" s="3">
        <v>746600</v>
      </c>
      <c r="Y94" s="3">
        <v>644600</v>
      </c>
      <c r="Z94" s="3">
        <v>637600</v>
      </c>
      <c r="AA94" s="3">
        <v>109000</v>
      </c>
      <c r="AB94" s="3">
        <v>17</v>
      </c>
    </row>
    <row r="95" spans="1:28" x14ac:dyDescent="0.35">
      <c r="A95">
        <v>2022</v>
      </c>
      <c r="B95" t="str">
        <f t="shared" si="9"/>
        <v>07</v>
      </c>
      <c r="C95" t="s">
        <v>67</v>
      </c>
      <c r="D95" t="s">
        <v>33</v>
      </c>
      <c r="E95" t="str">
        <f>"131"</f>
        <v>131</v>
      </c>
      <c r="F95" t="s">
        <v>68</v>
      </c>
      <c r="G95" t="str">
        <f>"006"</f>
        <v>006</v>
      </c>
      <c r="H95" t="str">
        <f>"2233"</f>
        <v>2233</v>
      </c>
      <c r="I95" s="3">
        <v>3181900</v>
      </c>
      <c r="J95" s="3">
        <v>73.459999999999994</v>
      </c>
      <c r="K95" s="3">
        <v>4331500</v>
      </c>
      <c r="L95" s="3">
        <v>0</v>
      </c>
      <c r="M95" s="3">
        <v>4331500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2021</v>
      </c>
      <c r="W95" s="3">
        <v>3908600</v>
      </c>
      <c r="X95" s="3">
        <v>4331500</v>
      </c>
      <c r="Y95" s="3">
        <v>422900</v>
      </c>
      <c r="Z95" s="3">
        <v>3908600</v>
      </c>
      <c r="AA95" s="3">
        <v>422900</v>
      </c>
      <c r="AB95" s="3">
        <v>11</v>
      </c>
    </row>
    <row r="96" spans="1:28" x14ac:dyDescent="0.35">
      <c r="A96">
        <v>2022</v>
      </c>
      <c r="B96" t="str">
        <f t="shared" si="9"/>
        <v>07</v>
      </c>
      <c r="C96" t="s">
        <v>67</v>
      </c>
      <c r="D96" t="s">
        <v>33</v>
      </c>
      <c r="E96" t="str">
        <f>"181"</f>
        <v>181</v>
      </c>
      <c r="F96" t="s">
        <v>69</v>
      </c>
      <c r="G96" t="str">
        <f>"002"</f>
        <v>002</v>
      </c>
      <c r="H96" t="str">
        <f>"5376"</f>
        <v>5376</v>
      </c>
      <c r="I96" s="3">
        <v>20047400</v>
      </c>
      <c r="J96" s="3">
        <v>80.959999999999994</v>
      </c>
      <c r="K96" s="3">
        <v>24762100</v>
      </c>
      <c r="L96" s="3">
        <v>0</v>
      </c>
      <c r="M96" s="3">
        <v>24762100</v>
      </c>
      <c r="N96" s="3">
        <v>2392600</v>
      </c>
      <c r="O96" s="3">
        <v>2392600</v>
      </c>
      <c r="P96" s="3">
        <v>245100</v>
      </c>
      <c r="Q96" s="3">
        <v>245100</v>
      </c>
      <c r="R96" s="3">
        <v>51100</v>
      </c>
      <c r="S96" s="3">
        <v>0</v>
      </c>
      <c r="T96" s="3">
        <v>0</v>
      </c>
      <c r="U96" s="3">
        <v>329400</v>
      </c>
      <c r="V96" s="3">
        <v>2003</v>
      </c>
      <c r="W96" s="3">
        <v>18762600</v>
      </c>
      <c r="X96" s="3">
        <v>27780300</v>
      </c>
      <c r="Y96" s="3">
        <v>9017700</v>
      </c>
      <c r="Z96" s="3">
        <v>25887900</v>
      </c>
      <c r="AA96" s="3">
        <v>1892400</v>
      </c>
      <c r="AB96" s="3">
        <v>7</v>
      </c>
    </row>
    <row r="97" spans="1:28" x14ac:dyDescent="0.35">
      <c r="A97">
        <v>2022</v>
      </c>
      <c r="B97" t="str">
        <f t="shared" si="9"/>
        <v>07</v>
      </c>
      <c r="C97" t="s">
        <v>67</v>
      </c>
      <c r="D97" t="s">
        <v>33</v>
      </c>
      <c r="E97" t="str">
        <f>"181"</f>
        <v>181</v>
      </c>
      <c r="F97" t="s">
        <v>69</v>
      </c>
      <c r="G97" t="str">
        <f>"003"</f>
        <v>003</v>
      </c>
      <c r="H97" t="str">
        <f>"5376"</f>
        <v>5376</v>
      </c>
      <c r="I97" s="3">
        <v>475200</v>
      </c>
      <c r="J97" s="3">
        <v>80.959999999999994</v>
      </c>
      <c r="K97" s="3">
        <v>587000</v>
      </c>
      <c r="L97" s="3">
        <v>0</v>
      </c>
      <c r="M97" s="3">
        <v>587000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2021</v>
      </c>
      <c r="W97" s="3">
        <v>588100</v>
      </c>
      <c r="X97" s="3">
        <v>587000</v>
      </c>
      <c r="Y97" s="3">
        <v>-1100</v>
      </c>
      <c r="Z97" s="3">
        <v>588100</v>
      </c>
      <c r="AA97" s="3">
        <v>-1100</v>
      </c>
      <c r="AB97" s="3">
        <v>0</v>
      </c>
    </row>
    <row r="98" spans="1:28" x14ac:dyDescent="0.35">
      <c r="A98">
        <v>2022</v>
      </c>
      <c r="B98" t="str">
        <f t="shared" si="9"/>
        <v>07</v>
      </c>
      <c r="C98" t="s">
        <v>67</v>
      </c>
      <c r="D98" t="s">
        <v>33</v>
      </c>
      <c r="E98" t="str">
        <f>"191"</f>
        <v>191</v>
      </c>
      <c r="F98" t="s">
        <v>70</v>
      </c>
      <c r="G98" t="str">
        <f>"002"</f>
        <v>002</v>
      </c>
      <c r="H98" t="str">
        <f>"6293"</f>
        <v>6293</v>
      </c>
      <c r="I98" s="3">
        <v>3701800</v>
      </c>
      <c r="J98" s="3">
        <v>74.489999999999995</v>
      </c>
      <c r="K98" s="3">
        <v>4969500</v>
      </c>
      <c r="L98" s="3">
        <v>0</v>
      </c>
      <c r="M98" s="3">
        <v>4969500</v>
      </c>
      <c r="N98" s="3">
        <v>0</v>
      </c>
      <c r="O98" s="3">
        <v>0</v>
      </c>
      <c r="P98" s="3">
        <v>0</v>
      </c>
      <c r="Q98" s="3">
        <v>0</v>
      </c>
      <c r="R98" s="3">
        <v>-7300</v>
      </c>
      <c r="S98" s="3">
        <v>0</v>
      </c>
      <c r="T98" s="3">
        <v>0</v>
      </c>
      <c r="U98" s="3">
        <v>0</v>
      </c>
      <c r="V98" s="3">
        <v>2005</v>
      </c>
      <c r="W98" s="3">
        <v>3223200</v>
      </c>
      <c r="X98" s="3">
        <v>4962200</v>
      </c>
      <c r="Y98" s="3">
        <v>1739000</v>
      </c>
      <c r="Z98" s="3">
        <v>4316100</v>
      </c>
      <c r="AA98" s="3">
        <v>646100</v>
      </c>
      <c r="AB98" s="3">
        <v>15</v>
      </c>
    </row>
    <row r="99" spans="1:28" x14ac:dyDescent="0.35">
      <c r="A99">
        <v>2022</v>
      </c>
      <c r="B99" t="str">
        <f t="shared" ref="B99:B119" si="10">"08"</f>
        <v>08</v>
      </c>
      <c r="C99" t="s">
        <v>71</v>
      </c>
      <c r="D99" t="s">
        <v>33</v>
      </c>
      <c r="E99" t="str">
        <f>"131"</f>
        <v>131</v>
      </c>
      <c r="F99" t="s">
        <v>72</v>
      </c>
      <c r="G99" t="str">
        <f>"001"</f>
        <v>001</v>
      </c>
      <c r="H99" t="str">
        <f>"2835"</f>
        <v>2835</v>
      </c>
      <c r="I99" s="3">
        <v>53390600</v>
      </c>
      <c r="J99" s="3">
        <v>81.69</v>
      </c>
      <c r="K99" s="3">
        <v>65357600</v>
      </c>
      <c r="L99" s="3">
        <v>0</v>
      </c>
      <c r="M99" s="3">
        <v>65357600</v>
      </c>
      <c r="N99" s="3">
        <v>0</v>
      </c>
      <c r="O99" s="3">
        <v>0</v>
      </c>
      <c r="P99" s="3">
        <v>0</v>
      </c>
      <c r="Q99" s="3">
        <v>0</v>
      </c>
      <c r="R99" s="3">
        <v>8189500</v>
      </c>
      <c r="S99" s="3">
        <v>0</v>
      </c>
      <c r="T99" s="3">
        <v>0</v>
      </c>
      <c r="U99" s="3">
        <v>0</v>
      </c>
      <c r="V99" s="3">
        <v>2013</v>
      </c>
      <c r="W99" s="3">
        <v>785100</v>
      </c>
      <c r="X99" s="3">
        <v>73547100</v>
      </c>
      <c r="Y99" s="3">
        <v>72762000</v>
      </c>
      <c r="Z99" s="3">
        <v>41771200</v>
      </c>
      <c r="AA99" s="3">
        <v>31775900</v>
      </c>
      <c r="AB99" s="3">
        <v>76</v>
      </c>
    </row>
    <row r="100" spans="1:28" x14ac:dyDescent="0.35">
      <c r="A100">
        <v>2022</v>
      </c>
      <c r="B100" t="str">
        <f t="shared" si="10"/>
        <v>08</v>
      </c>
      <c r="C100" t="s">
        <v>71</v>
      </c>
      <c r="D100" t="s">
        <v>33</v>
      </c>
      <c r="E100" t="str">
        <f>"131"</f>
        <v>131</v>
      </c>
      <c r="F100" t="s">
        <v>72</v>
      </c>
      <c r="G100" t="str">
        <f>"002"</f>
        <v>002</v>
      </c>
      <c r="H100" t="str">
        <f>"2758"</f>
        <v>2758</v>
      </c>
      <c r="I100" s="3">
        <v>11358400</v>
      </c>
      <c r="J100" s="3">
        <v>81.69</v>
      </c>
      <c r="K100" s="3">
        <v>13904300</v>
      </c>
      <c r="L100" s="3">
        <v>0</v>
      </c>
      <c r="M100" s="3">
        <v>13904300</v>
      </c>
      <c r="N100" s="3">
        <v>0</v>
      </c>
      <c r="O100" s="3">
        <v>0</v>
      </c>
      <c r="P100" s="3">
        <v>0</v>
      </c>
      <c r="Q100" s="3">
        <v>0</v>
      </c>
      <c r="R100" s="3">
        <v>179800</v>
      </c>
      <c r="S100" s="3">
        <v>0</v>
      </c>
      <c r="T100" s="3">
        <v>0</v>
      </c>
      <c r="U100" s="3">
        <v>0</v>
      </c>
      <c r="V100" s="3">
        <v>2019</v>
      </c>
      <c r="W100" s="3">
        <v>4708200</v>
      </c>
      <c r="X100" s="3">
        <v>14084100</v>
      </c>
      <c r="Y100" s="3">
        <v>9375900</v>
      </c>
      <c r="Z100" s="3">
        <v>16101100</v>
      </c>
      <c r="AA100" s="3">
        <v>-2017000</v>
      </c>
      <c r="AB100" s="3">
        <v>-13</v>
      </c>
    </row>
    <row r="101" spans="1:28" x14ac:dyDescent="0.35">
      <c r="A101">
        <v>2022</v>
      </c>
      <c r="B101" t="str">
        <f t="shared" si="10"/>
        <v>08</v>
      </c>
      <c r="C101" t="s">
        <v>71</v>
      </c>
      <c r="D101" t="s">
        <v>33</v>
      </c>
      <c r="E101" t="str">
        <f>"131"</f>
        <v>131</v>
      </c>
      <c r="F101" t="s">
        <v>72</v>
      </c>
      <c r="G101" t="str">
        <f>"003"</f>
        <v>003</v>
      </c>
      <c r="H101" t="str">
        <f>"2835"</f>
        <v>2835</v>
      </c>
      <c r="I101" s="3">
        <v>7732900</v>
      </c>
      <c r="J101" s="3">
        <v>81.69</v>
      </c>
      <c r="K101" s="3">
        <v>9466200</v>
      </c>
      <c r="L101" s="3">
        <v>0</v>
      </c>
      <c r="M101" s="3">
        <v>9466200</v>
      </c>
      <c r="N101" s="3">
        <v>0</v>
      </c>
      <c r="O101" s="3">
        <v>0</v>
      </c>
      <c r="P101" s="3">
        <v>0</v>
      </c>
      <c r="Q101" s="3">
        <v>0</v>
      </c>
      <c r="R101" s="3">
        <v>591000</v>
      </c>
      <c r="S101" s="3">
        <v>0</v>
      </c>
      <c r="T101" s="3">
        <v>0</v>
      </c>
      <c r="U101" s="3">
        <v>0</v>
      </c>
      <c r="V101" s="3">
        <v>2020</v>
      </c>
      <c r="W101" s="3">
        <v>193500</v>
      </c>
      <c r="X101" s="3">
        <v>10057200</v>
      </c>
      <c r="Y101" s="3">
        <v>9863700</v>
      </c>
      <c r="Z101" s="3">
        <v>1287700</v>
      </c>
      <c r="AA101" s="3">
        <v>8769500</v>
      </c>
      <c r="AB101" s="3">
        <v>681</v>
      </c>
    </row>
    <row r="102" spans="1:28" x14ac:dyDescent="0.35">
      <c r="A102">
        <v>2022</v>
      </c>
      <c r="B102" t="str">
        <f t="shared" si="10"/>
        <v>08</v>
      </c>
      <c r="C102" t="s">
        <v>71</v>
      </c>
      <c r="D102" t="s">
        <v>33</v>
      </c>
      <c r="E102" t="str">
        <f>"131"</f>
        <v>131</v>
      </c>
      <c r="F102" t="s">
        <v>72</v>
      </c>
      <c r="G102" t="str">
        <f>"004"</f>
        <v>004</v>
      </c>
      <c r="H102" t="str">
        <f>"0147"</f>
        <v>0147</v>
      </c>
      <c r="I102" s="3">
        <v>15401500</v>
      </c>
      <c r="J102" s="3">
        <v>81.69</v>
      </c>
      <c r="K102" s="3">
        <v>18853600</v>
      </c>
      <c r="L102" s="3">
        <v>0</v>
      </c>
      <c r="M102" s="3">
        <v>18853600</v>
      </c>
      <c r="N102" s="3">
        <v>0</v>
      </c>
      <c r="O102" s="3">
        <v>0</v>
      </c>
      <c r="P102" s="3">
        <v>0</v>
      </c>
      <c r="Q102" s="3">
        <v>0</v>
      </c>
      <c r="R102" s="3">
        <v>-4000</v>
      </c>
      <c r="S102" s="3">
        <v>0</v>
      </c>
      <c r="T102" s="3">
        <v>0</v>
      </c>
      <c r="U102" s="3">
        <v>0</v>
      </c>
      <c r="V102" s="3">
        <v>2020</v>
      </c>
      <c r="W102" s="3">
        <v>444400</v>
      </c>
      <c r="X102" s="3">
        <v>18849600</v>
      </c>
      <c r="Y102" s="3">
        <v>18405200</v>
      </c>
      <c r="Z102" s="3">
        <v>439300</v>
      </c>
      <c r="AA102" s="3">
        <v>18410300</v>
      </c>
      <c r="AB102" s="3">
        <v>4191</v>
      </c>
    </row>
    <row r="103" spans="1:28" x14ac:dyDescent="0.35">
      <c r="A103">
        <v>2022</v>
      </c>
      <c r="B103" t="str">
        <f t="shared" si="10"/>
        <v>08</v>
      </c>
      <c r="C103" t="s">
        <v>71</v>
      </c>
      <c r="D103" t="s">
        <v>33</v>
      </c>
      <c r="E103" t="str">
        <f>"136"</f>
        <v>136</v>
      </c>
      <c r="F103" t="s">
        <v>73</v>
      </c>
      <c r="G103" t="str">
        <f>"002"</f>
        <v>002</v>
      </c>
      <c r="H103" t="str">
        <f>"2534"</f>
        <v>2534</v>
      </c>
      <c r="I103" s="3">
        <v>4789400</v>
      </c>
      <c r="J103" s="3">
        <v>100</v>
      </c>
      <c r="K103" s="3">
        <v>4789400</v>
      </c>
      <c r="L103" s="3">
        <v>0</v>
      </c>
      <c r="M103" s="3">
        <v>4789400</v>
      </c>
      <c r="N103" s="3">
        <v>12044300</v>
      </c>
      <c r="O103" s="3">
        <v>12044300</v>
      </c>
      <c r="P103" s="3">
        <v>3786700</v>
      </c>
      <c r="Q103" s="3">
        <v>3786700</v>
      </c>
      <c r="R103" s="3">
        <v>-17800</v>
      </c>
      <c r="S103" s="3">
        <v>0</v>
      </c>
      <c r="T103" s="3">
        <v>0</v>
      </c>
      <c r="U103" s="3">
        <v>0</v>
      </c>
      <c r="V103" s="3">
        <v>2007</v>
      </c>
      <c r="W103" s="3">
        <v>2371700</v>
      </c>
      <c r="X103" s="3">
        <v>20602600</v>
      </c>
      <c r="Y103" s="3">
        <v>18230900</v>
      </c>
      <c r="Z103" s="3">
        <v>21267100</v>
      </c>
      <c r="AA103" s="3">
        <v>-664500</v>
      </c>
      <c r="AB103" s="3">
        <v>-3</v>
      </c>
    </row>
    <row r="104" spans="1:28" x14ac:dyDescent="0.35">
      <c r="A104">
        <v>2022</v>
      </c>
      <c r="B104" t="str">
        <f t="shared" si="10"/>
        <v>08</v>
      </c>
      <c r="C104" t="s">
        <v>71</v>
      </c>
      <c r="D104" t="s">
        <v>33</v>
      </c>
      <c r="E104" t="str">
        <f>"179"</f>
        <v>179</v>
      </c>
      <c r="F104" t="s">
        <v>74</v>
      </c>
      <c r="G104" t="str">
        <f>"002"</f>
        <v>002</v>
      </c>
      <c r="H104" t="str">
        <f>"2758"</f>
        <v>2758</v>
      </c>
      <c r="I104" s="3">
        <v>4721200</v>
      </c>
      <c r="J104" s="3">
        <v>80.290000000000006</v>
      </c>
      <c r="K104" s="3">
        <v>5880200</v>
      </c>
      <c r="L104" s="3">
        <v>0</v>
      </c>
      <c r="M104" s="3">
        <v>5880200</v>
      </c>
      <c r="N104" s="3">
        <v>0</v>
      </c>
      <c r="O104" s="3">
        <v>0</v>
      </c>
      <c r="P104" s="3">
        <v>0</v>
      </c>
      <c r="Q104" s="3">
        <v>0</v>
      </c>
      <c r="R104" s="3">
        <v>-17000</v>
      </c>
      <c r="S104" s="3">
        <v>0</v>
      </c>
      <c r="T104" s="3">
        <v>0</v>
      </c>
      <c r="U104" s="3">
        <v>0</v>
      </c>
      <c r="V104" s="3">
        <v>2013</v>
      </c>
      <c r="W104" s="3">
        <v>2827500</v>
      </c>
      <c r="X104" s="3">
        <v>5863200</v>
      </c>
      <c r="Y104" s="3">
        <v>3035700</v>
      </c>
      <c r="Z104" s="3">
        <v>5740300</v>
      </c>
      <c r="AA104" s="3">
        <v>122900</v>
      </c>
      <c r="AB104" s="3">
        <v>2</v>
      </c>
    </row>
    <row r="105" spans="1:28" x14ac:dyDescent="0.35">
      <c r="A105">
        <v>2022</v>
      </c>
      <c r="B105" t="str">
        <f t="shared" si="10"/>
        <v>08</v>
      </c>
      <c r="C105" t="s">
        <v>71</v>
      </c>
      <c r="D105" t="s">
        <v>33</v>
      </c>
      <c r="E105" t="str">
        <f>"179"</f>
        <v>179</v>
      </c>
      <c r="F105" t="s">
        <v>74</v>
      </c>
      <c r="G105" t="str">
        <f>"003"</f>
        <v>003</v>
      </c>
      <c r="H105" t="str">
        <f>"2758"</f>
        <v>2758</v>
      </c>
      <c r="I105" s="3">
        <v>11711600</v>
      </c>
      <c r="J105" s="3">
        <v>80.290000000000006</v>
      </c>
      <c r="K105" s="3">
        <v>14586600</v>
      </c>
      <c r="L105" s="3">
        <v>0</v>
      </c>
      <c r="M105" s="3">
        <v>14586600</v>
      </c>
      <c r="N105" s="3">
        <v>0</v>
      </c>
      <c r="O105" s="3">
        <v>0</v>
      </c>
      <c r="P105" s="3">
        <v>0</v>
      </c>
      <c r="Q105" s="3">
        <v>0</v>
      </c>
      <c r="R105" s="3">
        <v>-41200</v>
      </c>
      <c r="S105" s="3">
        <v>0</v>
      </c>
      <c r="T105" s="3">
        <v>0</v>
      </c>
      <c r="U105" s="3">
        <v>0</v>
      </c>
      <c r="V105" s="3">
        <v>2013</v>
      </c>
      <c r="W105" s="3">
        <v>8668600</v>
      </c>
      <c r="X105" s="3">
        <v>14545400</v>
      </c>
      <c r="Y105" s="3">
        <v>5876800</v>
      </c>
      <c r="Z105" s="3">
        <v>13821200</v>
      </c>
      <c r="AA105" s="3">
        <v>724200</v>
      </c>
      <c r="AB105" s="3">
        <v>5</v>
      </c>
    </row>
    <row r="106" spans="1:28" x14ac:dyDescent="0.35">
      <c r="A106">
        <v>2022</v>
      </c>
      <c r="B106" t="str">
        <f t="shared" si="10"/>
        <v>08</v>
      </c>
      <c r="C106" t="s">
        <v>71</v>
      </c>
      <c r="D106" t="s">
        <v>35</v>
      </c>
      <c r="E106" t="str">
        <f>"201"</f>
        <v>201</v>
      </c>
      <c r="F106" t="s">
        <v>75</v>
      </c>
      <c r="G106" t="str">
        <f>"006"</f>
        <v>006</v>
      </c>
      <c r="H106" t="str">
        <f>"2835"</f>
        <v>2835</v>
      </c>
      <c r="I106" s="3">
        <v>132045900</v>
      </c>
      <c r="J106" s="3">
        <v>79.41</v>
      </c>
      <c r="K106" s="3">
        <v>166283700</v>
      </c>
      <c r="L106" s="3">
        <v>0</v>
      </c>
      <c r="M106" s="3">
        <v>166283700</v>
      </c>
      <c r="N106" s="3">
        <v>1360300</v>
      </c>
      <c r="O106" s="3">
        <v>1360300</v>
      </c>
      <c r="P106" s="3">
        <v>101700</v>
      </c>
      <c r="Q106" s="3">
        <v>101700</v>
      </c>
      <c r="R106" s="3">
        <v>7322600</v>
      </c>
      <c r="S106" s="3">
        <v>0</v>
      </c>
      <c r="T106" s="3">
        <v>0</v>
      </c>
      <c r="U106" s="3">
        <v>0</v>
      </c>
      <c r="V106" s="3">
        <v>2000</v>
      </c>
      <c r="W106" s="3">
        <v>7136400</v>
      </c>
      <c r="X106" s="3">
        <v>175068300</v>
      </c>
      <c r="Y106" s="3">
        <v>167931900</v>
      </c>
      <c r="Z106" s="3">
        <v>137738300</v>
      </c>
      <c r="AA106" s="3">
        <v>37330000</v>
      </c>
      <c r="AB106" s="3">
        <v>27</v>
      </c>
    </row>
    <row r="107" spans="1:28" x14ac:dyDescent="0.35">
      <c r="A107">
        <v>2022</v>
      </c>
      <c r="B107" t="str">
        <f t="shared" si="10"/>
        <v>08</v>
      </c>
      <c r="C107" t="s">
        <v>71</v>
      </c>
      <c r="D107" t="s">
        <v>35</v>
      </c>
      <c r="E107" t="str">
        <f>"206"</f>
        <v>206</v>
      </c>
      <c r="F107" t="s">
        <v>76</v>
      </c>
      <c r="G107" t="str">
        <f>"002"</f>
        <v>002</v>
      </c>
      <c r="H107" t="str">
        <f>"0658"</f>
        <v>0658</v>
      </c>
      <c r="I107" s="3">
        <v>6316800</v>
      </c>
      <c r="J107" s="3">
        <v>100</v>
      </c>
      <c r="K107" s="3">
        <v>6316800</v>
      </c>
      <c r="L107" s="3">
        <v>0</v>
      </c>
      <c r="M107" s="3">
        <v>6316800</v>
      </c>
      <c r="N107" s="3">
        <v>0</v>
      </c>
      <c r="O107" s="3">
        <v>0</v>
      </c>
      <c r="P107" s="3">
        <v>0</v>
      </c>
      <c r="Q107" s="3">
        <v>0</v>
      </c>
      <c r="R107" s="3">
        <v>-18100</v>
      </c>
      <c r="S107" s="3">
        <v>0</v>
      </c>
      <c r="T107" s="3">
        <v>0</v>
      </c>
      <c r="U107" s="3">
        <v>0</v>
      </c>
      <c r="V107" s="3">
        <v>2006</v>
      </c>
      <c r="W107" s="3">
        <v>997500</v>
      </c>
      <c r="X107" s="3">
        <v>6298700</v>
      </c>
      <c r="Y107" s="3">
        <v>5301200</v>
      </c>
      <c r="Z107" s="3">
        <v>6374300</v>
      </c>
      <c r="AA107" s="3">
        <v>-75600</v>
      </c>
      <c r="AB107" s="3">
        <v>-1</v>
      </c>
    </row>
    <row r="108" spans="1:28" x14ac:dyDescent="0.35">
      <c r="A108">
        <v>2022</v>
      </c>
      <c r="B108" t="str">
        <f t="shared" si="10"/>
        <v>08</v>
      </c>
      <c r="C108" t="s">
        <v>71</v>
      </c>
      <c r="D108" t="s">
        <v>35</v>
      </c>
      <c r="E108" t="str">
        <f>"206"</f>
        <v>206</v>
      </c>
      <c r="F108" t="s">
        <v>76</v>
      </c>
      <c r="G108" t="str">
        <f>"003"</f>
        <v>003</v>
      </c>
      <c r="H108" t="str">
        <f>"0658"</f>
        <v>0658</v>
      </c>
      <c r="I108" s="3">
        <v>10029200</v>
      </c>
      <c r="J108" s="3">
        <v>100</v>
      </c>
      <c r="K108" s="3">
        <v>10029200</v>
      </c>
      <c r="L108" s="3">
        <v>0</v>
      </c>
      <c r="M108" s="3">
        <v>10029200</v>
      </c>
      <c r="N108" s="3">
        <v>0</v>
      </c>
      <c r="O108" s="3">
        <v>0</v>
      </c>
      <c r="P108" s="3">
        <v>0</v>
      </c>
      <c r="Q108" s="3">
        <v>0</v>
      </c>
      <c r="R108" s="3">
        <v>-30900</v>
      </c>
      <c r="S108" s="3">
        <v>0</v>
      </c>
      <c r="T108" s="3">
        <v>0</v>
      </c>
      <c r="U108" s="3">
        <v>0</v>
      </c>
      <c r="V108" s="3">
        <v>2007</v>
      </c>
      <c r="W108" s="3">
        <v>127200</v>
      </c>
      <c r="X108" s="3">
        <v>9998300</v>
      </c>
      <c r="Y108" s="3">
        <v>9871100</v>
      </c>
      <c r="Z108" s="3">
        <v>10910700</v>
      </c>
      <c r="AA108" s="3">
        <v>-912400</v>
      </c>
      <c r="AB108" s="3">
        <v>-8</v>
      </c>
    </row>
    <row r="109" spans="1:28" x14ac:dyDescent="0.35">
      <c r="A109">
        <v>2022</v>
      </c>
      <c r="B109" t="str">
        <f t="shared" si="10"/>
        <v>08</v>
      </c>
      <c r="C109" t="s">
        <v>71</v>
      </c>
      <c r="D109" t="s">
        <v>35</v>
      </c>
      <c r="E109" t="str">
        <f>"206"</f>
        <v>206</v>
      </c>
      <c r="F109" t="s">
        <v>76</v>
      </c>
      <c r="G109" t="str">
        <f>"004"</f>
        <v>004</v>
      </c>
      <c r="H109" t="str">
        <f>"0658"</f>
        <v>0658</v>
      </c>
      <c r="I109" s="3">
        <v>12300500</v>
      </c>
      <c r="J109" s="3">
        <v>100</v>
      </c>
      <c r="K109" s="3">
        <v>12300500</v>
      </c>
      <c r="L109" s="3">
        <v>0</v>
      </c>
      <c r="M109" s="3">
        <v>12300500</v>
      </c>
      <c r="N109" s="3">
        <v>6447100</v>
      </c>
      <c r="O109" s="3">
        <v>6447100</v>
      </c>
      <c r="P109" s="3">
        <v>494300</v>
      </c>
      <c r="Q109" s="3">
        <v>494300</v>
      </c>
      <c r="R109" s="3">
        <v>-34400</v>
      </c>
      <c r="S109" s="3">
        <v>0</v>
      </c>
      <c r="T109" s="3">
        <v>0</v>
      </c>
      <c r="U109" s="3">
        <v>0</v>
      </c>
      <c r="V109" s="3">
        <v>2007</v>
      </c>
      <c r="W109" s="3">
        <v>5412400</v>
      </c>
      <c r="X109" s="3">
        <v>19207500</v>
      </c>
      <c r="Y109" s="3">
        <v>13795100</v>
      </c>
      <c r="Z109" s="3">
        <v>19046300</v>
      </c>
      <c r="AA109" s="3">
        <v>161200</v>
      </c>
      <c r="AB109" s="3">
        <v>1</v>
      </c>
    </row>
    <row r="110" spans="1:28" x14ac:dyDescent="0.35">
      <c r="A110">
        <v>2022</v>
      </c>
      <c r="B110" t="str">
        <f t="shared" si="10"/>
        <v>08</v>
      </c>
      <c r="C110" t="s">
        <v>71</v>
      </c>
      <c r="D110" t="s">
        <v>35</v>
      </c>
      <c r="E110" t="str">
        <f>"206"</f>
        <v>206</v>
      </c>
      <c r="F110" t="s">
        <v>76</v>
      </c>
      <c r="G110" t="str">
        <f>"005E"</f>
        <v>005E</v>
      </c>
      <c r="H110" t="str">
        <f>"0658"</f>
        <v>0658</v>
      </c>
      <c r="I110" s="3">
        <v>4152400</v>
      </c>
      <c r="J110" s="3">
        <v>100</v>
      </c>
      <c r="K110" s="3">
        <v>4152400</v>
      </c>
      <c r="L110" s="3">
        <v>0</v>
      </c>
      <c r="M110" s="3">
        <v>4152400</v>
      </c>
      <c r="N110" s="3">
        <v>0</v>
      </c>
      <c r="O110" s="3">
        <v>0</v>
      </c>
      <c r="P110" s="3">
        <v>809000</v>
      </c>
      <c r="Q110" s="3">
        <v>809000</v>
      </c>
      <c r="R110" s="3">
        <v>-7600</v>
      </c>
      <c r="S110" s="3">
        <v>0</v>
      </c>
      <c r="T110" s="3">
        <v>0</v>
      </c>
      <c r="U110" s="3">
        <v>0</v>
      </c>
      <c r="V110" s="3">
        <v>2018</v>
      </c>
      <c r="W110" s="3">
        <v>314601</v>
      </c>
      <c r="X110" s="3">
        <v>4953800</v>
      </c>
      <c r="Y110" s="3">
        <v>4639199</v>
      </c>
      <c r="Z110" s="3">
        <v>3498200</v>
      </c>
      <c r="AA110" s="3">
        <v>1455600</v>
      </c>
      <c r="AB110" s="3">
        <v>42</v>
      </c>
    </row>
    <row r="111" spans="1:28" x14ac:dyDescent="0.35">
      <c r="A111">
        <v>2022</v>
      </c>
      <c r="B111" t="str">
        <f t="shared" si="10"/>
        <v>08</v>
      </c>
      <c r="C111" t="s">
        <v>71</v>
      </c>
      <c r="D111" t="s">
        <v>35</v>
      </c>
      <c r="E111" t="str">
        <f>"211"</f>
        <v>211</v>
      </c>
      <c r="F111" t="s">
        <v>77</v>
      </c>
      <c r="G111" t="str">
        <f>"004"</f>
        <v>004</v>
      </c>
      <c r="H111" t="str">
        <f>"1085"</f>
        <v>1085</v>
      </c>
      <c r="I111" s="3">
        <v>5460300</v>
      </c>
      <c r="J111" s="3">
        <v>83.29</v>
      </c>
      <c r="K111" s="3">
        <v>6555800</v>
      </c>
      <c r="L111" s="3">
        <v>0</v>
      </c>
      <c r="M111" s="3">
        <v>6555800</v>
      </c>
      <c r="N111" s="3">
        <v>0</v>
      </c>
      <c r="O111" s="3">
        <v>0</v>
      </c>
      <c r="P111" s="3">
        <v>0</v>
      </c>
      <c r="Q111" s="3">
        <v>0</v>
      </c>
      <c r="R111" s="3">
        <v>212300</v>
      </c>
      <c r="S111" s="3">
        <v>0</v>
      </c>
      <c r="T111" s="3">
        <v>0</v>
      </c>
      <c r="U111" s="3">
        <v>0</v>
      </c>
      <c r="V111" s="3">
        <v>2005</v>
      </c>
      <c r="W111" s="3">
        <v>2156300</v>
      </c>
      <c r="X111" s="3">
        <v>6768100</v>
      </c>
      <c r="Y111" s="3">
        <v>4611800</v>
      </c>
      <c r="Z111" s="3">
        <v>5446000</v>
      </c>
      <c r="AA111" s="3">
        <v>1322100</v>
      </c>
      <c r="AB111" s="3">
        <v>24</v>
      </c>
    </row>
    <row r="112" spans="1:28" x14ac:dyDescent="0.35">
      <c r="A112">
        <v>2022</v>
      </c>
      <c r="B112" t="str">
        <f t="shared" si="10"/>
        <v>08</v>
      </c>
      <c r="C112" t="s">
        <v>71</v>
      </c>
      <c r="D112" t="s">
        <v>35</v>
      </c>
      <c r="E112" t="str">
        <f>"211"</f>
        <v>211</v>
      </c>
      <c r="F112" t="s">
        <v>77</v>
      </c>
      <c r="G112" t="str">
        <f>"006"</f>
        <v>006</v>
      </c>
      <c r="H112" t="str">
        <f>"1085"</f>
        <v>1085</v>
      </c>
      <c r="I112" s="3">
        <v>8845600</v>
      </c>
      <c r="J112" s="3">
        <v>83.29</v>
      </c>
      <c r="K112" s="3">
        <v>10620200</v>
      </c>
      <c r="L112" s="3">
        <v>0</v>
      </c>
      <c r="M112" s="3">
        <v>10620200</v>
      </c>
      <c r="N112" s="3">
        <v>0</v>
      </c>
      <c r="O112" s="3">
        <v>0</v>
      </c>
      <c r="P112" s="3">
        <v>0</v>
      </c>
      <c r="Q112" s="3">
        <v>0</v>
      </c>
      <c r="R112" s="3">
        <v>-191300</v>
      </c>
      <c r="S112" s="3">
        <v>0</v>
      </c>
      <c r="T112" s="3">
        <v>0</v>
      </c>
      <c r="U112" s="3">
        <v>0</v>
      </c>
      <c r="V112" s="3">
        <v>2017</v>
      </c>
      <c r="W112" s="3">
        <v>996400</v>
      </c>
      <c r="X112" s="3">
        <v>10428900</v>
      </c>
      <c r="Y112" s="3">
        <v>9432500</v>
      </c>
      <c r="Z112" s="3">
        <v>8211700</v>
      </c>
      <c r="AA112" s="3">
        <v>2217200</v>
      </c>
      <c r="AB112" s="3">
        <v>27</v>
      </c>
    </row>
    <row r="113" spans="1:28" x14ac:dyDescent="0.35">
      <c r="A113">
        <v>2022</v>
      </c>
      <c r="B113" t="str">
        <f t="shared" si="10"/>
        <v>08</v>
      </c>
      <c r="C113" t="s">
        <v>71</v>
      </c>
      <c r="D113" t="s">
        <v>35</v>
      </c>
      <c r="E113" t="str">
        <f>"211"</f>
        <v>211</v>
      </c>
      <c r="F113" t="s">
        <v>77</v>
      </c>
      <c r="G113" t="str">
        <f>"007"</f>
        <v>007</v>
      </c>
      <c r="H113" t="str">
        <f>"1085"</f>
        <v>1085</v>
      </c>
      <c r="I113" s="3">
        <v>404600</v>
      </c>
      <c r="J113" s="3">
        <v>83.29</v>
      </c>
      <c r="K113" s="3">
        <v>485800</v>
      </c>
      <c r="L113" s="3">
        <v>0</v>
      </c>
      <c r="M113" s="3">
        <v>485800</v>
      </c>
      <c r="N113" s="3">
        <v>0</v>
      </c>
      <c r="O113" s="3">
        <v>0</v>
      </c>
      <c r="P113" s="3">
        <v>0</v>
      </c>
      <c r="Q113" s="3">
        <v>0</v>
      </c>
      <c r="R113" s="3">
        <v>16500</v>
      </c>
      <c r="S113" s="3">
        <v>0</v>
      </c>
      <c r="T113" s="3">
        <v>0</v>
      </c>
      <c r="U113" s="3">
        <v>0</v>
      </c>
      <c r="V113" s="3">
        <v>2017</v>
      </c>
      <c r="W113" s="3">
        <v>45800</v>
      </c>
      <c r="X113" s="3">
        <v>502300</v>
      </c>
      <c r="Y113" s="3">
        <v>456500</v>
      </c>
      <c r="Z113" s="3">
        <v>404400</v>
      </c>
      <c r="AA113" s="3">
        <v>97900</v>
      </c>
      <c r="AB113" s="3">
        <v>24</v>
      </c>
    </row>
    <row r="114" spans="1:28" x14ac:dyDescent="0.35">
      <c r="A114">
        <v>2022</v>
      </c>
      <c r="B114" t="str">
        <f t="shared" si="10"/>
        <v>08</v>
      </c>
      <c r="C114" t="s">
        <v>71</v>
      </c>
      <c r="D114" t="s">
        <v>35</v>
      </c>
      <c r="E114" t="str">
        <f>"211"</f>
        <v>211</v>
      </c>
      <c r="F114" t="s">
        <v>77</v>
      </c>
      <c r="G114" t="str">
        <f>"008"</f>
        <v>008</v>
      </c>
      <c r="H114" t="str">
        <f>"1085"</f>
        <v>1085</v>
      </c>
      <c r="I114" s="3">
        <v>0</v>
      </c>
      <c r="J114" s="3">
        <v>83.29</v>
      </c>
      <c r="K114" s="3">
        <v>0</v>
      </c>
      <c r="L114" s="3">
        <v>0</v>
      </c>
      <c r="M114" s="3">
        <v>0</v>
      </c>
      <c r="N114" s="3">
        <v>5649000</v>
      </c>
      <c r="O114" s="3">
        <v>5649000</v>
      </c>
      <c r="P114" s="3">
        <v>658500</v>
      </c>
      <c r="Q114" s="3">
        <v>658500</v>
      </c>
      <c r="R114" s="3">
        <v>0</v>
      </c>
      <c r="S114" s="3">
        <v>0</v>
      </c>
      <c r="T114" s="3">
        <v>0</v>
      </c>
      <c r="U114" s="3">
        <v>0</v>
      </c>
      <c r="V114" s="3">
        <v>2020</v>
      </c>
      <c r="W114" s="3">
        <v>1826000</v>
      </c>
      <c r="X114" s="3">
        <v>6307500</v>
      </c>
      <c r="Y114" s="3">
        <v>4481500</v>
      </c>
      <c r="Z114" s="3">
        <v>3251800</v>
      </c>
      <c r="AA114" s="3">
        <v>3055700</v>
      </c>
      <c r="AB114" s="3">
        <v>94</v>
      </c>
    </row>
    <row r="115" spans="1:28" x14ac:dyDescent="0.35">
      <c r="A115">
        <v>2022</v>
      </c>
      <c r="B115" t="str">
        <f t="shared" si="10"/>
        <v>08</v>
      </c>
      <c r="C115" t="s">
        <v>71</v>
      </c>
      <c r="D115" t="s">
        <v>35</v>
      </c>
      <c r="E115" t="str">
        <f>"241"</f>
        <v>241</v>
      </c>
      <c r="F115" t="s">
        <v>78</v>
      </c>
      <c r="G115" t="str">
        <f>"005"</f>
        <v>005</v>
      </c>
      <c r="H115" t="str">
        <f>"2828"</f>
        <v>2828</v>
      </c>
      <c r="I115" s="3">
        <v>1390800</v>
      </c>
      <c r="J115" s="3">
        <v>78.37</v>
      </c>
      <c r="K115" s="3">
        <v>1774700</v>
      </c>
      <c r="L115" s="3">
        <v>0</v>
      </c>
      <c r="M115" s="3">
        <v>1774700</v>
      </c>
      <c r="N115" s="3">
        <v>25555800</v>
      </c>
      <c r="O115" s="3">
        <v>25555800</v>
      </c>
      <c r="P115" s="3">
        <v>4354200</v>
      </c>
      <c r="Q115" s="3">
        <v>4354200</v>
      </c>
      <c r="R115" s="3">
        <v>-2600</v>
      </c>
      <c r="S115" s="3">
        <v>0</v>
      </c>
      <c r="T115" s="3">
        <v>0</v>
      </c>
      <c r="U115" s="3">
        <v>0</v>
      </c>
      <c r="V115" s="3">
        <v>2014</v>
      </c>
      <c r="W115" s="3">
        <v>10935000</v>
      </c>
      <c r="X115" s="3">
        <v>31682100</v>
      </c>
      <c r="Y115" s="3">
        <v>20747100</v>
      </c>
      <c r="Z115" s="3">
        <v>31547700</v>
      </c>
      <c r="AA115" s="3">
        <v>134400</v>
      </c>
      <c r="AB115" s="3">
        <v>0</v>
      </c>
    </row>
    <row r="116" spans="1:28" x14ac:dyDescent="0.35">
      <c r="A116">
        <v>2022</v>
      </c>
      <c r="B116" t="str">
        <f t="shared" si="10"/>
        <v>08</v>
      </c>
      <c r="C116" t="s">
        <v>71</v>
      </c>
      <c r="D116" t="s">
        <v>35</v>
      </c>
      <c r="E116" t="str">
        <f>"251"</f>
        <v>251</v>
      </c>
      <c r="F116" t="s">
        <v>79</v>
      </c>
      <c r="G116" t="str">
        <f>"012"</f>
        <v>012</v>
      </c>
      <c r="H116" t="str">
        <f>"0147"</f>
        <v>0147</v>
      </c>
      <c r="I116" s="3">
        <v>86812800</v>
      </c>
      <c r="J116" s="3">
        <v>100</v>
      </c>
      <c r="K116" s="3">
        <v>86812800</v>
      </c>
      <c r="L116" s="3">
        <v>0</v>
      </c>
      <c r="M116" s="3">
        <v>86812800</v>
      </c>
      <c r="N116" s="3">
        <v>0</v>
      </c>
      <c r="O116" s="3">
        <v>0</v>
      </c>
      <c r="P116" s="3">
        <v>0</v>
      </c>
      <c r="Q116" s="3">
        <v>0</v>
      </c>
      <c r="R116" s="3">
        <v>810200</v>
      </c>
      <c r="S116" s="3">
        <v>0</v>
      </c>
      <c r="T116" s="3">
        <v>0</v>
      </c>
      <c r="U116" s="3">
        <v>0</v>
      </c>
      <c r="V116" s="3">
        <v>2011</v>
      </c>
      <c r="W116" s="3">
        <v>21715600</v>
      </c>
      <c r="X116" s="3">
        <v>87623000</v>
      </c>
      <c r="Y116" s="3">
        <v>65907400</v>
      </c>
      <c r="Z116" s="3">
        <v>71649300</v>
      </c>
      <c r="AA116" s="3">
        <v>15973700</v>
      </c>
      <c r="AB116" s="3">
        <v>22</v>
      </c>
    </row>
    <row r="117" spans="1:28" x14ac:dyDescent="0.35">
      <c r="A117">
        <v>2022</v>
      </c>
      <c r="B117" t="str">
        <f t="shared" si="10"/>
        <v>08</v>
      </c>
      <c r="C117" t="s">
        <v>71</v>
      </c>
      <c r="D117" t="s">
        <v>35</v>
      </c>
      <c r="E117" t="str">
        <f>"261"</f>
        <v>261</v>
      </c>
      <c r="F117" t="s">
        <v>80</v>
      </c>
      <c r="G117" t="str">
        <f>"004"</f>
        <v>004</v>
      </c>
      <c r="H117" t="str">
        <f>"3941"</f>
        <v>3941</v>
      </c>
      <c r="I117" s="3">
        <v>12062800</v>
      </c>
      <c r="J117" s="3">
        <v>69.319999999999993</v>
      </c>
      <c r="K117" s="3">
        <v>17401600</v>
      </c>
      <c r="L117" s="3">
        <v>0</v>
      </c>
      <c r="M117" s="3">
        <v>17401600</v>
      </c>
      <c r="N117" s="3">
        <v>285600</v>
      </c>
      <c r="O117" s="3">
        <v>285600</v>
      </c>
      <c r="P117" s="3">
        <v>48000</v>
      </c>
      <c r="Q117" s="3">
        <v>48000</v>
      </c>
      <c r="R117" s="3">
        <v>-19500</v>
      </c>
      <c r="S117" s="3">
        <v>0</v>
      </c>
      <c r="T117" s="3">
        <v>0</v>
      </c>
      <c r="U117" s="3">
        <v>0</v>
      </c>
      <c r="V117" s="3">
        <v>2018</v>
      </c>
      <c r="W117" s="3">
        <v>9565200</v>
      </c>
      <c r="X117" s="3">
        <v>17715700</v>
      </c>
      <c r="Y117" s="3">
        <v>8150500</v>
      </c>
      <c r="Z117" s="3">
        <v>15045600</v>
      </c>
      <c r="AA117" s="3">
        <v>2670100</v>
      </c>
      <c r="AB117" s="3">
        <v>18</v>
      </c>
    </row>
    <row r="118" spans="1:28" x14ac:dyDescent="0.35">
      <c r="A118">
        <v>2022</v>
      </c>
      <c r="B118" t="str">
        <f t="shared" si="10"/>
        <v>08</v>
      </c>
      <c r="C118" t="s">
        <v>71</v>
      </c>
      <c r="D118" t="s">
        <v>35</v>
      </c>
      <c r="E118" t="str">
        <f>"261"</f>
        <v>261</v>
      </c>
      <c r="F118" t="s">
        <v>80</v>
      </c>
      <c r="G118" t="str">
        <f>"005"</f>
        <v>005</v>
      </c>
      <c r="H118" t="str">
        <f>"3941"</f>
        <v>3941</v>
      </c>
      <c r="I118" s="3">
        <v>0</v>
      </c>
      <c r="J118" s="3">
        <v>69.319999999999993</v>
      </c>
      <c r="K118" s="3">
        <v>0</v>
      </c>
      <c r="L118" s="3">
        <v>0</v>
      </c>
      <c r="M118" s="3">
        <v>0</v>
      </c>
      <c r="N118" s="3">
        <v>2202700</v>
      </c>
      <c r="O118" s="3">
        <v>2202700</v>
      </c>
      <c r="P118" s="3">
        <v>413300</v>
      </c>
      <c r="Q118" s="3">
        <v>413300</v>
      </c>
      <c r="R118" s="3">
        <v>0</v>
      </c>
      <c r="S118" s="3">
        <v>0</v>
      </c>
      <c r="T118" s="3">
        <v>0</v>
      </c>
      <c r="U118" s="3">
        <v>0</v>
      </c>
      <c r="V118" s="3">
        <v>2018</v>
      </c>
      <c r="W118" s="3">
        <v>1286900</v>
      </c>
      <c r="X118" s="3">
        <v>2616000</v>
      </c>
      <c r="Y118" s="3">
        <v>1329100</v>
      </c>
      <c r="Z118" s="3">
        <v>2550000</v>
      </c>
      <c r="AA118" s="3">
        <v>66000</v>
      </c>
      <c r="AB118" s="3">
        <v>3</v>
      </c>
    </row>
    <row r="119" spans="1:28" x14ac:dyDescent="0.35">
      <c r="A119">
        <v>2022</v>
      </c>
      <c r="B119" t="str">
        <f t="shared" si="10"/>
        <v>08</v>
      </c>
      <c r="C119" t="s">
        <v>71</v>
      </c>
      <c r="D119" t="s">
        <v>35</v>
      </c>
      <c r="E119" t="str">
        <f>"261"</f>
        <v>261</v>
      </c>
      <c r="F119" t="s">
        <v>80</v>
      </c>
      <c r="G119" t="str">
        <f>"006E"</f>
        <v>006E</v>
      </c>
      <c r="H119" t="str">
        <f>"3941"</f>
        <v>3941</v>
      </c>
      <c r="I119" s="3">
        <v>2168600</v>
      </c>
      <c r="J119" s="3">
        <v>69.319999999999993</v>
      </c>
      <c r="K119" s="3">
        <v>3128400</v>
      </c>
      <c r="L119" s="3">
        <v>0</v>
      </c>
      <c r="M119" s="3">
        <v>3128400</v>
      </c>
      <c r="N119" s="3">
        <v>0</v>
      </c>
      <c r="O119" s="3">
        <v>0</v>
      </c>
      <c r="P119" s="3">
        <v>0</v>
      </c>
      <c r="Q119" s="3">
        <v>0</v>
      </c>
      <c r="R119" s="3">
        <v>-3400</v>
      </c>
      <c r="S119" s="3">
        <v>0</v>
      </c>
      <c r="T119" s="3">
        <v>0</v>
      </c>
      <c r="U119" s="3">
        <v>0</v>
      </c>
      <c r="V119" s="3">
        <v>2019</v>
      </c>
      <c r="W119" s="3">
        <v>1</v>
      </c>
      <c r="X119" s="3">
        <v>3125000</v>
      </c>
      <c r="Y119" s="3">
        <v>3124999</v>
      </c>
      <c r="Z119" s="3">
        <v>2583400</v>
      </c>
      <c r="AA119" s="3">
        <v>541600</v>
      </c>
      <c r="AB119" s="3">
        <v>21</v>
      </c>
    </row>
    <row r="120" spans="1:28" x14ac:dyDescent="0.35">
      <c r="A120">
        <v>2022</v>
      </c>
      <c r="B120" t="str">
        <f t="shared" ref="B120:B136" si="11">"09"</f>
        <v>09</v>
      </c>
      <c r="C120" t="s">
        <v>81</v>
      </c>
      <c r="D120" t="s">
        <v>33</v>
      </c>
      <c r="E120" t="str">
        <f>"111"</f>
        <v>111</v>
      </c>
      <c r="F120" t="s">
        <v>82</v>
      </c>
      <c r="G120" t="str">
        <f>"004"</f>
        <v>004</v>
      </c>
      <c r="H120" t="str">
        <f>"0870"</f>
        <v>0870</v>
      </c>
      <c r="I120" s="3">
        <v>2151900</v>
      </c>
      <c r="J120" s="3">
        <v>81.47</v>
      </c>
      <c r="K120" s="3">
        <v>2641300</v>
      </c>
      <c r="L120" s="3">
        <v>0</v>
      </c>
      <c r="M120" s="3">
        <v>2641300</v>
      </c>
      <c r="N120" s="3">
        <v>2225800</v>
      </c>
      <c r="O120" s="3">
        <v>2225800</v>
      </c>
      <c r="P120" s="3">
        <v>83500</v>
      </c>
      <c r="Q120" s="3">
        <v>83500</v>
      </c>
      <c r="R120" s="3">
        <v>-6100</v>
      </c>
      <c r="S120" s="3">
        <v>0</v>
      </c>
      <c r="T120" s="3">
        <v>0</v>
      </c>
      <c r="U120" s="3">
        <v>0</v>
      </c>
      <c r="V120" s="3">
        <v>2013</v>
      </c>
      <c r="W120" s="3">
        <v>2245200</v>
      </c>
      <c r="X120" s="3">
        <v>4944500</v>
      </c>
      <c r="Y120" s="3">
        <v>2699300</v>
      </c>
      <c r="Z120" s="3">
        <v>4397600</v>
      </c>
      <c r="AA120" s="3">
        <v>546900</v>
      </c>
      <c r="AB120" s="3">
        <v>12</v>
      </c>
    </row>
    <row r="121" spans="1:28" x14ac:dyDescent="0.35">
      <c r="A121">
        <v>2022</v>
      </c>
      <c r="B121" t="str">
        <f t="shared" si="11"/>
        <v>09</v>
      </c>
      <c r="C121" t="s">
        <v>81</v>
      </c>
      <c r="D121" t="s">
        <v>33</v>
      </c>
      <c r="E121" t="str">
        <f>"111"</f>
        <v>111</v>
      </c>
      <c r="F121" t="s">
        <v>82</v>
      </c>
      <c r="G121" t="str">
        <f>"005"</f>
        <v>005</v>
      </c>
      <c r="H121" t="str">
        <f>"0870"</f>
        <v>0870</v>
      </c>
      <c r="I121" s="3">
        <v>663000</v>
      </c>
      <c r="J121" s="3">
        <v>81.47</v>
      </c>
      <c r="K121" s="3">
        <v>813800</v>
      </c>
      <c r="L121" s="3">
        <v>0</v>
      </c>
      <c r="M121" s="3">
        <v>813800</v>
      </c>
      <c r="N121" s="3">
        <v>0</v>
      </c>
      <c r="O121" s="3">
        <v>0</v>
      </c>
      <c r="P121" s="3">
        <v>0</v>
      </c>
      <c r="Q121" s="3">
        <v>0</v>
      </c>
      <c r="R121" s="3">
        <v>-2200</v>
      </c>
      <c r="S121" s="3">
        <v>0</v>
      </c>
      <c r="T121" s="3">
        <v>0</v>
      </c>
      <c r="U121" s="3">
        <v>0</v>
      </c>
      <c r="V121" s="3">
        <v>2019</v>
      </c>
      <c r="W121" s="3">
        <v>663500</v>
      </c>
      <c r="X121" s="3">
        <v>811600</v>
      </c>
      <c r="Y121" s="3">
        <v>148100</v>
      </c>
      <c r="Z121" s="3">
        <v>754500</v>
      </c>
      <c r="AA121" s="3">
        <v>57100</v>
      </c>
      <c r="AB121" s="3">
        <v>8</v>
      </c>
    </row>
    <row r="122" spans="1:28" x14ac:dyDescent="0.35">
      <c r="A122">
        <v>2022</v>
      </c>
      <c r="B122" t="str">
        <f t="shared" si="11"/>
        <v>09</v>
      </c>
      <c r="C122" t="s">
        <v>81</v>
      </c>
      <c r="D122" t="s">
        <v>33</v>
      </c>
      <c r="E122" t="str">
        <f>"128"</f>
        <v>128</v>
      </c>
      <c r="F122" t="s">
        <v>83</v>
      </c>
      <c r="G122" t="str">
        <f>"001"</f>
        <v>001</v>
      </c>
      <c r="H122" t="str">
        <f>"1092"</f>
        <v>1092</v>
      </c>
      <c r="I122" s="3">
        <v>95306300</v>
      </c>
      <c r="J122" s="3">
        <v>78.09</v>
      </c>
      <c r="K122" s="3">
        <v>122046700</v>
      </c>
      <c r="L122" s="3">
        <v>0</v>
      </c>
      <c r="M122" s="3">
        <v>122046700</v>
      </c>
      <c r="N122" s="3">
        <v>0</v>
      </c>
      <c r="O122" s="3">
        <v>0</v>
      </c>
      <c r="P122" s="3">
        <v>0</v>
      </c>
      <c r="Q122" s="3">
        <v>0</v>
      </c>
      <c r="R122" s="3">
        <v>413700</v>
      </c>
      <c r="S122" s="3">
        <v>0</v>
      </c>
      <c r="T122" s="3">
        <v>0</v>
      </c>
      <c r="U122" s="3">
        <v>0</v>
      </c>
      <c r="V122" s="3">
        <v>2003</v>
      </c>
      <c r="W122" s="3">
        <v>12138900</v>
      </c>
      <c r="X122" s="3">
        <v>122460400</v>
      </c>
      <c r="Y122" s="3">
        <v>110321500</v>
      </c>
      <c r="Z122" s="3">
        <v>108896300</v>
      </c>
      <c r="AA122" s="3">
        <v>13564100</v>
      </c>
      <c r="AB122" s="3">
        <v>12</v>
      </c>
    </row>
    <row r="123" spans="1:28" x14ac:dyDescent="0.35">
      <c r="A123">
        <v>2022</v>
      </c>
      <c r="B123" t="str">
        <f t="shared" si="11"/>
        <v>09</v>
      </c>
      <c r="C123" t="s">
        <v>81</v>
      </c>
      <c r="D123" t="s">
        <v>33</v>
      </c>
      <c r="E123" t="str">
        <f>"128"</f>
        <v>128</v>
      </c>
      <c r="F123" t="s">
        <v>83</v>
      </c>
      <c r="G123" t="str">
        <f>"002"</f>
        <v>002</v>
      </c>
      <c r="H123" t="str">
        <f>"1092"</f>
        <v>1092</v>
      </c>
      <c r="I123" s="3">
        <v>13965000</v>
      </c>
      <c r="J123" s="3">
        <v>78.09</v>
      </c>
      <c r="K123" s="3">
        <v>17883200</v>
      </c>
      <c r="L123" s="3">
        <v>0</v>
      </c>
      <c r="M123" s="3">
        <v>17883200</v>
      </c>
      <c r="N123" s="3">
        <v>8238700</v>
      </c>
      <c r="O123" s="3">
        <v>8238700</v>
      </c>
      <c r="P123" s="3">
        <v>156400</v>
      </c>
      <c r="Q123" s="3">
        <v>156400</v>
      </c>
      <c r="R123" s="3">
        <v>58000</v>
      </c>
      <c r="S123" s="3">
        <v>0</v>
      </c>
      <c r="T123" s="3">
        <v>0</v>
      </c>
      <c r="U123" s="3">
        <v>0</v>
      </c>
      <c r="V123" s="3">
        <v>2003</v>
      </c>
      <c r="W123" s="3">
        <v>131900</v>
      </c>
      <c r="X123" s="3">
        <v>26336300</v>
      </c>
      <c r="Y123" s="3">
        <v>26204400</v>
      </c>
      <c r="Z123" s="3">
        <v>23193800</v>
      </c>
      <c r="AA123" s="3">
        <v>3142500</v>
      </c>
      <c r="AB123" s="3">
        <v>14</v>
      </c>
    </row>
    <row r="124" spans="1:28" x14ac:dyDescent="0.35">
      <c r="A124">
        <v>2022</v>
      </c>
      <c r="B124" t="str">
        <f t="shared" si="11"/>
        <v>09</v>
      </c>
      <c r="C124" t="s">
        <v>81</v>
      </c>
      <c r="D124" t="s">
        <v>33</v>
      </c>
      <c r="E124" t="str">
        <f>"161"</f>
        <v>161</v>
      </c>
      <c r="F124" t="s">
        <v>84</v>
      </c>
      <c r="G124" t="str">
        <f>"001"</f>
        <v>001</v>
      </c>
      <c r="H124" t="str">
        <f>"3920"</f>
        <v>3920</v>
      </c>
      <c r="I124" s="3">
        <v>7297500</v>
      </c>
      <c r="J124" s="3">
        <v>72.150000000000006</v>
      </c>
      <c r="K124" s="3">
        <v>10114300</v>
      </c>
      <c r="L124" s="3">
        <v>0</v>
      </c>
      <c r="M124" s="3">
        <v>10114300</v>
      </c>
      <c r="N124" s="3">
        <v>0</v>
      </c>
      <c r="O124" s="3">
        <v>0</v>
      </c>
      <c r="P124" s="3">
        <v>0</v>
      </c>
      <c r="Q124" s="3">
        <v>0</v>
      </c>
      <c r="R124" s="3">
        <v>637700</v>
      </c>
      <c r="S124" s="3">
        <v>0</v>
      </c>
      <c r="T124" s="3">
        <v>0</v>
      </c>
      <c r="U124" s="3">
        <v>0</v>
      </c>
      <c r="V124" s="3">
        <v>2008</v>
      </c>
      <c r="W124" s="3">
        <v>283700</v>
      </c>
      <c r="X124" s="3">
        <v>10752000</v>
      </c>
      <c r="Y124" s="3">
        <v>10468300</v>
      </c>
      <c r="Z124" s="3">
        <v>9230200</v>
      </c>
      <c r="AA124" s="3">
        <v>1521800</v>
      </c>
      <c r="AB124" s="3">
        <v>16</v>
      </c>
    </row>
    <row r="125" spans="1:28" x14ac:dyDescent="0.35">
      <c r="A125">
        <v>2022</v>
      </c>
      <c r="B125" t="str">
        <f t="shared" si="11"/>
        <v>09</v>
      </c>
      <c r="C125" t="s">
        <v>81</v>
      </c>
      <c r="D125" t="s">
        <v>35</v>
      </c>
      <c r="E125" t="str">
        <f>"206"</f>
        <v>206</v>
      </c>
      <c r="F125" t="s">
        <v>85</v>
      </c>
      <c r="G125" t="str">
        <f>"004"</f>
        <v>004</v>
      </c>
      <c r="H125" t="str">
        <f>"0497"</f>
        <v>0497</v>
      </c>
      <c r="I125" s="3">
        <v>21289100</v>
      </c>
      <c r="J125" s="3">
        <v>94.77</v>
      </c>
      <c r="K125" s="3">
        <v>22464000</v>
      </c>
      <c r="L125" s="3">
        <v>0</v>
      </c>
      <c r="M125" s="3">
        <v>22464000</v>
      </c>
      <c r="N125" s="3">
        <v>13950600</v>
      </c>
      <c r="O125" s="3">
        <v>13950600</v>
      </c>
      <c r="P125" s="3">
        <v>1944800</v>
      </c>
      <c r="Q125" s="3">
        <v>1944800</v>
      </c>
      <c r="R125" s="3">
        <v>309200</v>
      </c>
      <c r="S125" s="3">
        <v>0</v>
      </c>
      <c r="T125" s="3">
        <v>0</v>
      </c>
      <c r="U125" s="3">
        <v>0</v>
      </c>
      <c r="V125" s="3">
        <v>2005</v>
      </c>
      <c r="W125" s="3">
        <v>3787400</v>
      </c>
      <c r="X125" s="3">
        <v>38668600</v>
      </c>
      <c r="Y125" s="3">
        <v>34881200</v>
      </c>
      <c r="Z125" s="3">
        <v>32845500</v>
      </c>
      <c r="AA125" s="3">
        <v>5823100</v>
      </c>
      <c r="AB125" s="3">
        <v>18</v>
      </c>
    </row>
    <row r="126" spans="1:28" x14ac:dyDescent="0.35">
      <c r="A126">
        <v>2022</v>
      </c>
      <c r="B126" t="str">
        <f t="shared" si="11"/>
        <v>09</v>
      </c>
      <c r="C126" t="s">
        <v>81</v>
      </c>
      <c r="D126" t="s">
        <v>35</v>
      </c>
      <c r="E126" t="str">
        <f t="shared" ref="E126:E134" si="12">"211"</f>
        <v>211</v>
      </c>
      <c r="F126" t="s">
        <v>86</v>
      </c>
      <c r="G126" t="str">
        <f>"005"</f>
        <v>005</v>
      </c>
      <c r="H126" t="str">
        <f t="shared" ref="H126:H134" si="13">"1092"</f>
        <v>1092</v>
      </c>
      <c r="I126" s="3">
        <v>31053600</v>
      </c>
      <c r="J126" s="3">
        <v>84.62</v>
      </c>
      <c r="K126" s="3">
        <v>36697700</v>
      </c>
      <c r="L126" s="3">
        <v>0</v>
      </c>
      <c r="M126" s="3">
        <v>36697700</v>
      </c>
      <c r="N126" s="3">
        <v>37903000</v>
      </c>
      <c r="O126" s="3">
        <v>37903000</v>
      </c>
      <c r="P126" s="3">
        <v>4401800</v>
      </c>
      <c r="Q126" s="3">
        <v>4401800</v>
      </c>
      <c r="R126" s="3">
        <v>204700</v>
      </c>
      <c r="S126" s="3">
        <v>0</v>
      </c>
      <c r="T126" s="3">
        <v>0</v>
      </c>
      <c r="U126" s="3">
        <v>0</v>
      </c>
      <c r="V126" s="3">
        <v>1998</v>
      </c>
      <c r="W126" s="3">
        <v>35893400</v>
      </c>
      <c r="X126" s="3">
        <v>79207200</v>
      </c>
      <c r="Y126" s="3">
        <v>43313800</v>
      </c>
      <c r="Z126" s="3">
        <v>69811900</v>
      </c>
      <c r="AA126" s="3">
        <v>9395300</v>
      </c>
      <c r="AB126" s="3">
        <v>13</v>
      </c>
    </row>
    <row r="127" spans="1:28" x14ac:dyDescent="0.35">
      <c r="A127">
        <v>2022</v>
      </c>
      <c r="B127" t="str">
        <f t="shared" si="11"/>
        <v>09</v>
      </c>
      <c r="C127" t="s">
        <v>81</v>
      </c>
      <c r="D127" t="s">
        <v>35</v>
      </c>
      <c r="E127" t="str">
        <f t="shared" si="12"/>
        <v>211</v>
      </c>
      <c r="F127" t="s">
        <v>86</v>
      </c>
      <c r="G127" t="str">
        <f>"007"</f>
        <v>007</v>
      </c>
      <c r="H127" t="str">
        <f t="shared" si="13"/>
        <v>1092</v>
      </c>
      <c r="I127" s="3">
        <v>6692900</v>
      </c>
      <c r="J127" s="3">
        <v>84.62</v>
      </c>
      <c r="K127" s="3">
        <v>7909400</v>
      </c>
      <c r="L127" s="3">
        <v>0</v>
      </c>
      <c r="M127" s="3">
        <v>7909400</v>
      </c>
      <c r="N127" s="3">
        <v>0</v>
      </c>
      <c r="O127" s="3">
        <v>0</v>
      </c>
      <c r="P127" s="3">
        <v>0</v>
      </c>
      <c r="Q127" s="3">
        <v>0</v>
      </c>
      <c r="R127" s="3">
        <v>45500</v>
      </c>
      <c r="S127" s="3">
        <v>0</v>
      </c>
      <c r="T127" s="3">
        <v>0</v>
      </c>
      <c r="U127" s="3">
        <v>0</v>
      </c>
      <c r="V127" s="3">
        <v>2001</v>
      </c>
      <c r="W127" s="3">
        <v>1501600</v>
      </c>
      <c r="X127" s="3">
        <v>7954900</v>
      </c>
      <c r="Y127" s="3">
        <v>6453300</v>
      </c>
      <c r="Z127" s="3">
        <v>6098500</v>
      </c>
      <c r="AA127" s="3">
        <v>1856400</v>
      </c>
      <c r="AB127" s="3">
        <v>30</v>
      </c>
    </row>
    <row r="128" spans="1:28" x14ac:dyDescent="0.35">
      <c r="A128">
        <v>2022</v>
      </c>
      <c r="B128" t="str">
        <f t="shared" si="11"/>
        <v>09</v>
      </c>
      <c r="C128" t="s">
        <v>81</v>
      </c>
      <c r="D128" t="s">
        <v>35</v>
      </c>
      <c r="E128" t="str">
        <f t="shared" si="12"/>
        <v>211</v>
      </c>
      <c r="F128" t="s">
        <v>86</v>
      </c>
      <c r="G128" t="str">
        <f>"008"</f>
        <v>008</v>
      </c>
      <c r="H128" t="str">
        <f t="shared" si="13"/>
        <v>1092</v>
      </c>
      <c r="I128" s="3">
        <v>3751300</v>
      </c>
      <c r="J128" s="3">
        <v>84.62</v>
      </c>
      <c r="K128" s="3">
        <v>4433100</v>
      </c>
      <c r="L128" s="3">
        <v>0</v>
      </c>
      <c r="M128" s="3">
        <v>4433100</v>
      </c>
      <c r="N128" s="3">
        <v>0</v>
      </c>
      <c r="O128" s="3">
        <v>0</v>
      </c>
      <c r="P128" s="3">
        <v>0</v>
      </c>
      <c r="Q128" s="3">
        <v>0</v>
      </c>
      <c r="R128" s="3">
        <v>24900</v>
      </c>
      <c r="S128" s="3">
        <v>0</v>
      </c>
      <c r="T128" s="3">
        <v>0</v>
      </c>
      <c r="U128" s="3">
        <v>0</v>
      </c>
      <c r="V128" s="3">
        <v>2002</v>
      </c>
      <c r="W128" s="3">
        <v>439000</v>
      </c>
      <c r="X128" s="3">
        <v>4458000</v>
      </c>
      <c r="Y128" s="3">
        <v>4019000</v>
      </c>
      <c r="Z128" s="3">
        <v>2505200</v>
      </c>
      <c r="AA128" s="3">
        <v>1952800</v>
      </c>
      <c r="AB128" s="3">
        <v>78</v>
      </c>
    </row>
    <row r="129" spans="1:28" x14ac:dyDescent="0.35">
      <c r="A129">
        <v>2022</v>
      </c>
      <c r="B129" t="str">
        <f t="shared" si="11"/>
        <v>09</v>
      </c>
      <c r="C129" t="s">
        <v>81</v>
      </c>
      <c r="D129" t="s">
        <v>35</v>
      </c>
      <c r="E129" t="str">
        <f t="shared" si="12"/>
        <v>211</v>
      </c>
      <c r="F129" t="s">
        <v>86</v>
      </c>
      <c r="G129" t="str">
        <f>"010"</f>
        <v>010</v>
      </c>
      <c r="H129" t="str">
        <f t="shared" si="13"/>
        <v>1092</v>
      </c>
      <c r="I129" s="3">
        <v>2491700</v>
      </c>
      <c r="J129" s="3">
        <v>84.62</v>
      </c>
      <c r="K129" s="3">
        <v>2944600</v>
      </c>
      <c r="L129" s="3">
        <v>0</v>
      </c>
      <c r="M129" s="3">
        <v>2944600</v>
      </c>
      <c r="N129" s="3">
        <v>0</v>
      </c>
      <c r="O129" s="3">
        <v>0</v>
      </c>
      <c r="P129" s="3">
        <v>0</v>
      </c>
      <c r="Q129" s="3">
        <v>0</v>
      </c>
      <c r="R129" s="3">
        <v>16700</v>
      </c>
      <c r="S129" s="3">
        <v>0</v>
      </c>
      <c r="T129" s="3">
        <v>0</v>
      </c>
      <c r="U129" s="3">
        <v>0</v>
      </c>
      <c r="V129" s="3">
        <v>2005</v>
      </c>
      <c r="W129" s="3">
        <v>0</v>
      </c>
      <c r="X129" s="3">
        <v>2961300</v>
      </c>
      <c r="Y129" s="3">
        <v>2961300</v>
      </c>
      <c r="Z129" s="3">
        <v>2037900</v>
      </c>
      <c r="AA129" s="3">
        <v>923400</v>
      </c>
      <c r="AB129" s="3">
        <v>45</v>
      </c>
    </row>
    <row r="130" spans="1:28" x14ac:dyDescent="0.35">
      <c r="A130">
        <v>2022</v>
      </c>
      <c r="B130" t="str">
        <f t="shared" si="11"/>
        <v>09</v>
      </c>
      <c r="C130" t="s">
        <v>81</v>
      </c>
      <c r="D130" t="s">
        <v>35</v>
      </c>
      <c r="E130" t="str">
        <f t="shared" si="12"/>
        <v>211</v>
      </c>
      <c r="F130" t="s">
        <v>86</v>
      </c>
      <c r="G130" t="str">
        <f>"011"</f>
        <v>011</v>
      </c>
      <c r="H130" t="str">
        <f t="shared" si="13"/>
        <v>1092</v>
      </c>
      <c r="I130" s="3">
        <v>27471800</v>
      </c>
      <c r="J130" s="3">
        <v>84.62</v>
      </c>
      <c r="K130" s="3">
        <v>32464900</v>
      </c>
      <c r="L130" s="3">
        <v>0</v>
      </c>
      <c r="M130" s="3">
        <v>32464900</v>
      </c>
      <c r="N130" s="3">
        <v>0</v>
      </c>
      <c r="O130" s="3">
        <v>0</v>
      </c>
      <c r="P130" s="3">
        <v>0</v>
      </c>
      <c r="Q130" s="3">
        <v>0</v>
      </c>
      <c r="R130" s="3">
        <v>184100</v>
      </c>
      <c r="S130" s="3">
        <v>0</v>
      </c>
      <c r="T130" s="3">
        <v>0</v>
      </c>
      <c r="U130" s="3">
        <v>0</v>
      </c>
      <c r="V130" s="3">
        <v>2008</v>
      </c>
      <c r="W130" s="3">
        <v>79500</v>
      </c>
      <c r="X130" s="3">
        <v>32649000</v>
      </c>
      <c r="Y130" s="3">
        <v>32569500</v>
      </c>
      <c r="Z130" s="3">
        <v>28902500</v>
      </c>
      <c r="AA130" s="3">
        <v>3746500</v>
      </c>
      <c r="AB130" s="3">
        <v>13</v>
      </c>
    </row>
    <row r="131" spans="1:28" x14ac:dyDescent="0.35">
      <c r="A131">
        <v>2022</v>
      </c>
      <c r="B131" t="str">
        <f t="shared" si="11"/>
        <v>09</v>
      </c>
      <c r="C131" t="s">
        <v>81</v>
      </c>
      <c r="D131" t="s">
        <v>35</v>
      </c>
      <c r="E131" t="str">
        <f t="shared" si="12"/>
        <v>211</v>
      </c>
      <c r="F131" t="s">
        <v>86</v>
      </c>
      <c r="G131" t="str">
        <f>"012"</f>
        <v>012</v>
      </c>
      <c r="H131" t="str">
        <f t="shared" si="13"/>
        <v>1092</v>
      </c>
      <c r="I131" s="3">
        <v>16142000</v>
      </c>
      <c r="J131" s="3">
        <v>84.62</v>
      </c>
      <c r="K131" s="3">
        <v>19075900</v>
      </c>
      <c r="L131" s="3">
        <v>0</v>
      </c>
      <c r="M131" s="3">
        <v>19075900</v>
      </c>
      <c r="N131" s="3">
        <v>0</v>
      </c>
      <c r="O131" s="3">
        <v>0</v>
      </c>
      <c r="P131" s="3">
        <v>0</v>
      </c>
      <c r="Q131" s="3">
        <v>0</v>
      </c>
      <c r="R131" s="3">
        <v>100800</v>
      </c>
      <c r="S131" s="3">
        <v>0</v>
      </c>
      <c r="T131" s="3">
        <v>0</v>
      </c>
      <c r="U131" s="3">
        <v>0</v>
      </c>
      <c r="V131" s="3">
        <v>2012</v>
      </c>
      <c r="W131" s="3">
        <v>5386700</v>
      </c>
      <c r="X131" s="3">
        <v>19176700</v>
      </c>
      <c r="Y131" s="3">
        <v>13790000</v>
      </c>
      <c r="Z131" s="3">
        <v>10784200</v>
      </c>
      <c r="AA131" s="3">
        <v>8392500</v>
      </c>
      <c r="AB131" s="3">
        <v>78</v>
      </c>
    </row>
    <row r="132" spans="1:28" x14ac:dyDescent="0.35">
      <c r="A132">
        <v>2022</v>
      </c>
      <c r="B132" t="str">
        <f t="shared" si="11"/>
        <v>09</v>
      </c>
      <c r="C132" t="s">
        <v>81</v>
      </c>
      <c r="D132" t="s">
        <v>35</v>
      </c>
      <c r="E132" t="str">
        <f t="shared" si="12"/>
        <v>211</v>
      </c>
      <c r="F132" t="s">
        <v>86</v>
      </c>
      <c r="G132" t="str">
        <f>"013"</f>
        <v>013</v>
      </c>
      <c r="H132" t="str">
        <f t="shared" si="13"/>
        <v>1092</v>
      </c>
      <c r="I132" s="3">
        <v>8587400</v>
      </c>
      <c r="J132" s="3">
        <v>84.62</v>
      </c>
      <c r="K132" s="3">
        <v>10148200</v>
      </c>
      <c r="L132" s="3">
        <v>0</v>
      </c>
      <c r="M132" s="3">
        <v>10148200</v>
      </c>
      <c r="N132" s="3">
        <v>0</v>
      </c>
      <c r="O132" s="3">
        <v>0</v>
      </c>
      <c r="P132" s="3">
        <v>0</v>
      </c>
      <c r="Q132" s="3">
        <v>0</v>
      </c>
      <c r="R132" s="3">
        <v>57600</v>
      </c>
      <c r="S132" s="3">
        <v>0</v>
      </c>
      <c r="T132" s="3">
        <v>0</v>
      </c>
      <c r="U132" s="3">
        <v>0</v>
      </c>
      <c r="V132" s="3">
        <v>2015</v>
      </c>
      <c r="W132" s="3">
        <v>3503000</v>
      </c>
      <c r="X132" s="3">
        <v>10205800</v>
      </c>
      <c r="Y132" s="3">
        <v>6702800</v>
      </c>
      <c r="Z132" s="3">
        <v>7156600</v>
      </c>
      <c r="AA132" s="3">
        <v>3049200</v>
      </c>
      <c r="AB132" s="3">
        <v>43</v>
      </c>
    </row>
    <row r="133" spans="1:28" x14ac:dyDescent="0.35">
      <c r="A133">
        <v>2022</v>
      </c>
      <c r="B133" t="str">
        <f t="shared" si="11"/>
        <v>09</v>
      </c>
      <c r="C133" t="s">
        <v>81</v>
      </c>
      <c r="D133" t="s">
        <v>35</v>
      </c>
      <c r="E133" t="str">
        <f t="shared" si="12"/>
        <v>211</v>
      </c>
      <c r="F133" t="s">
        <v>86</v>
      </c>
      <c r="G133" t="str">
        <f>"014"</f>
        <v>014</v>
      </c>
      <c r="H133" t="str">
        <f t="shared" si="13"/>
        <v>1092</v>
      </c>
      <c r="I133" s="3">
        <v>81720800</v>
      </c>
      <c r="J133" s="3">
        <v>84.62</v>
      </c>
      <c r="K133" s="3">
        <v>96573900</v>
      </c>
      <c r="L133" s="3">
        <v>0</v>
      </c>
      <c r="M133" s="3">
        <v>96573900</v>
      </c>
      <c r="N133" s="3">
        <v>13315500</v>
      </c>
      <c r="O133" s="3">
        <v>13315500</v>
      </c>
      <c r="P133" s="3">
        <v>2910900</v>
      </c>
      <c r="Q133" s="3">
        <v>2910900</v>
      </c>
      <c r="R133" s="3">
        <v>540400</v>
      </c>
      <c r="S133" s="3">
        <v>0</v>
      </c>
      <c r="T133" s="3">
        <v>0</v>
      </c>
      <c r="U133" s="3">
        <v>0</v>
      </c>
      <c r="V133" s="3">
        <v>2015</v>
      </c>
      <c r="W133" s="3">
        <v>0</v>
      </c>
      <c r="X133" s="3">
        <v>113340700</v>
      </c>
      <c r="Y133" s="3">
        <v>113340700</v>
      </c>
      <c r="Z133" s="3">
        <v>82150400</v>
      </c>
      <c r="AA133" s="3">
        <v>31190300</v>
      </c>
      <c r="AB133" s="3">
        <v>38</v>
      </c>
    </row>
    <row r="134" spans="1:28" x14ac:dyDescent="0.35">
      <c r="A134">
        <v>2022</v>
      </c>
      <c r="B134" t="str">
        <f t="shared" si="11"/>
        <v>09</v>
      </c>
      <c r="C134" t="s">
        <v>81</v>
      </c>
      <c r="D134" t="s">
        <v>35</v>
      </c>
      <c r="E134" t="str">
        <f t="shared" si="12"/>
        <v>211</v>
      </c>
      <c r="F134" t="s">
        <v>86</v>
      </c>
      <c r="G134" t="str">
        <f>"015"</f>
        <v>015</v>
      </c>
      <c r="H134" t="str">
        <f t="shared" si="13"/>
        <v>1092</v>
      </c>
      <c r="I134" s="3">
        <v>2166600</v>
      </c>
      <c r="J134" s="3">
        <v>84.62</v>
      </c>
      <c r="K134" s="3">
        <v>2560400</v>
      </c>
      <c r="L134" s="3">
        <v>0</v>
      </c>
      <c r="M134" s="3">
        <v>2560400</v>
      </c>
      <c r="N134" s="3">
        <v>0</v>
      </c>
      <c r="O134" s="3">
        <v>0</v>
      </c>
      <c r="P134" s="3">
        <v>0</v>
      </c>
      <c r="Q134" s="3">
        <v>0</v>
      </c>
      <c r="R134" s="3">
        <v>14400</v>
      </c>
      <c r="S134" s="3">
        <v>0</v>
      </c>
      <c r="T134" s="3">
        <v>0</v>
      </c>
      <c r="U134" s="3">
        <v>0</v>
      </c>
      <c r="V134" s="3">
        <v>2018</v>
      </c>
      <c r="W134" s="3">
        <v>1885100</v>
      </c>
      <c r="X134" s="3">
        <v>2574800</v>
      </c>
      <c r="Y134" s="3">
        <v>689700</v>
      </c>
      <c r="Z134" s="3">
        <v>2186300</v>
      </c>
      <c r="AA134" s="3">
        <v>388500</v>
      </c>
      <c r="AB134" s="3">
        <v>18</v>
      </c>
    </row>
    <row r="135" spans="1:28" x14ac:dyDescent="0.35">
      <c r="A135">
        <v>2022</v>
      </c>
      <c r="B135" t="str">
        <f t="shared" si="11"/>
        <v>09</v>
      </c>
      <c r="C135" t="s">
        <v>81</v>
      </c>
      <c r="D135" t="s">
        <v>35</v>
      </c>
      <c r="E135" t="str">
        <f>"221"</f>
        <v>221</v>
      </c>
      <c r="F135" t="s">
        <v>87</v>
      </c>
      <c r="G135" t="str">
        <f>"009"</f>
        <v>009</v>
      </c>
      <c r="H135" t="str">
        <f>"1554"</f>
        <v>1554</v>
      </c>
      <c r="I135" s="3">
        <v>35900</v>
      </c>
      <c r="J135" s="3">
        <v>93.69</v>
      </c>
      <c r="K135" s="3">
        <v>38300</v>
      </c>
      <c r="L135" s="3">
        <v>0</v>
      </c>
      <c r="M135" s="3">
        <v>38300</v>
      </c>
      <c r="N135" s="3">
        <v>0</v>
      </c>
      <c r="O135" s="3">
        <v>0</v>
      </c>
      <c r="P135" s="3">
        <v>0</v>
      </c>
      <c r="Q135" s="3">
        <v>0</v>
      </c>
      <c r="R135" s="3">
        <v>100</v>
      </c>
      <c r="S135" s="3">
        <v>0</v>
      </c>
      <c r="T135" s="3">
        <v>0</v>
      </c>
      <c r="U135" s="3">
        <v>0</v>
      </c>
      <c r="V135" s="3">
        <v>2008</v>
      </c>
      <c r="W135" s="3">
        <v>54500</v>
      </c>
      <c r="X135" s="3">
        <v>38400</v>
      </c>
      <c r="Y135" s="3">
        <v>-16100</v>
      </c>
      <c r="Z135" s="3">
        <v>36300</v>
      </c>
      <c r="AA135" s="3">
        <v>2100</v>
      </c>
      <c r="AB135" s="3">
        <v>6</v>
      </c>
    </row>
    <row r="136" spans="1:28" x14ac:dyDescent="0.35">
      <c r="A136">
        <v>2022</v>
      </c>
      <c r="B136" t="str">
        <f t="shared" si="11"/>
        <v>09</v>
      </c>
      <c r="C136" t="s">
        <v>81</v>
      </c>
      <c r="D136" t="s">
        <v>35</v>
      </c>
      <c r="E136" t="str">
        <f>"281"</f>
        <v>281</v>
      </c>
      <c r="F136" t="s">
        <v>88</v>
      </c>
      <c r="G136" t="str">
        <f>"003"</f>
        <v>003</v>
      </c>
      <c r="H136" t="str">
        <f>"5593"</f>
        <v>5593</v>
      </c>
      <c r="I136" s="3">
        <v>10118700</v>
      </c>
      <c r="J136" s="3">
        <v>70.16</v>
      </c>
      <c r="K136" s="3">
        <v>14422300</v>
      </c>
      <c r="L136" s="3">
        <v>0</v>
      </c>
      <c r="M136" s="3">
        <v>14422300</v>
      </c>
      <c r="N136" s="3">
        <v>13144000</v>
      </c>
      <c r="O136" s="3">
        <v>13144000</v>
      </c>
      <c r="P136" s="3">
        <v>3080000</v>
      </c>
      <c r="Q136" s="3">
        <v>3080000</v>
      </c>
      <c r="R136" s="3">
        <v>-19600</v>
      </c>
      <c r="S136" s="3">
        <v>0</v>
      </c>
      <c r="T136" s="3">
        <v>0</v>
      </c>
      <c r="U136" s="3">
        <v>0</v>
      </c>
      <c r="V136" s="3">
        <v>2001</v>
      </c>
      <c r="W136" s="3">
        <v>4205200</v>
      </c>
      <c r="X136" s="3">
        <v>30626700</v>
      </c>
      <c r="Y136" s="3">
        <v>26421500</v>
      </c>
      <c r="Z136" s="3">
        <v>29360200</v>
      </c>
      <c r="AA136" s="3">
        <v>1266500</v>
      </c>
      <c r="AB136" s="3">
        <v>4</v>
      </c>
    </row>
    <row r="137" spans="1:28" x14ac:dyDescent="0.35">
      <c r="A137">
        <v>2022</v>
      </c>
      <c r="B137" t="str">
        <f t="shared" ref="B137:B154" si="14">"10"</f>
        <v>10</v>
      </c>
      <c r="C137" t="s">
        <v>89</v>
      </c>
      <c r="D137" t="s">
        <v>33</v>
      </c>
      <c r="E137" t="str">
        <f>"116"</f>
        <v>116</v>
      </c>
      <c r="F137" t="s">
        <v>90</v>
      </c>
      <c r="G137" t="str">
        <f>"001"</f>
        <v>001</v>
      </c>
      <c r="H137" t="str">
        <f>"1162"</f>
        <v>1162</v>
      </c>
      <c r="I137" s="3">
        <v>4021100</v>
      </c>
      <c r="J137" s="3">
        <v>100</v>
      </c>
      <c r="K137" s="3">
        <v>4021100</v>
      </c>
      <c r="L137" s="3">
        <v>0</v>
      </c>
      <c r="M137" s="3">
        <v>4021100</v>
      </c>
      <c r="N137" s="3">
        <v>2833700</v>
      </c>
      <c r="O137" s="3">
        <v>2833700</v>
      </c>
      <c r="P137" s="3">
        <v>105900</v>
      </c>
      <c r="Q137" s="3">
        <v>105900</v>
      </c>
      <c r="R137" s="3">
        <v>9100</v>
      </c>
      <c r="S137" s="3">
        <v>0</v>
      </c>
      <c r="T137" s="3">
        <v>0</v>
      </c>
      <c r="U137" s="3">
        <v>0</v>
      </c>
      <c r="V137" s="3">
        <v>1992</v>
      </c>
      <c r="W137" s="3">
        <v>233000</v>
      </c>
      <c r="X137" s="3">
        <v>6969800</v>
      </c>
      <c r="Y137" s="3">
        <v>6736800</v>
      </c>
      <c r="Z137" s="3">
        <v>7174200</v>
      </c>
      <c r="AA137" s="3">
        <v>-204400</v>
      </c>
      <c r="AB137" s="3">
        <v>-3</v>
      </c>
    </row>
    <row r="138" spans="1:28" x14ac:dyDescent="0.35">
      <c r="A138">
        <v>2022</v>
      </c>
      <c r="B138" t="str">
        <f t="shared" si="14"/>
        <v>10</v>
      </c>
      <c r="C138" t="s">
        <v>89</v>
      </c>
      <c r="D138" t="s">
        <v>33</v>
      </c>
      <c r="E138" t="str">
        <f>"116"</f>
        <v>116</v>
      </c>
      <c r="F138" t="s">
        <v>90</v>
      </c>
      <c r="G138" t="str">
        <f>"002"</f>
        <v>002</v>
      </c>
      <c r="H138" t="str">
        <f>"1162"</f>
        <v>1162</v>
      </c>
      <c r="I138" s="3">
        <v>23683800</v>
      </c>
      <c r="J138" s="3">
        <v>100</v>
      </c>
      <c r="K138" s="3">
        <v>23683800</v>
      </c>
      <c r="L138" s="3">
        <v>0</v>
      </c>
      <c r="M138" s="3">
        <v>23683800</v>
      </c>
      <c r="N138" s="3">
        <v>3869200</v>
      </c>
      <c r="O138" s="3">
        <v>3869200</v>
      </c>
      <c r="P138" s="3">
        <v>346800</v>
      </c>
      <c r="Q138" s="3">
        <v>346800</v>
      </c>
      <c r="R138" s="3">
        <v>46500</v>
      </c>
      <c r="S138" s="3">
        <v>0</v>
      </c>
      <c r="T138" s="3">
        <v>0</v>
      </c>
      <c r="U138" s="3">
        <v>0</v>
      </c>
      <c r="V138" s="3">
        <v>1995</v>
      </c>
      <c r="W138" s="3">
        <v>15499400</v>
      </c>
      <c r="X138" s="3">
        <v>27946300</v>
      </c>
      <c r="Y138" s="3">
        <v>12446900</v>
      </c>
      <c r="Z138" s="3">
        <v>26149100</v>
      </c>
      <c r="AA138" s="3">
        <v>1797200</v>
      </c>
      <c r="AB138" s="3">
        <v>7</v>
      </c>
    </row>
    <row r="139" spans="1:28" x14ac:dyDescent="0.35">
      <c r="A139">
        <v>2022</v>
      </c>
      <c r="B139" t="str">
        <f t="shared" si="14"/>
        <v>10</v>
      </c>
      <c r="C139" t="s">
        <v>89</v>
      </c>
      <c r="D139" t="s">
        <v>33</v>
      </c>
      <c r="E139" t="str">
        <f>"131"</f>
        <v>131</v>
      </c>
      <c r="F139" t="s">
        <v>91</v>
      </c>
      <c r="G139" t="str">
        <f>"001"</f>
        <v>001</v>
      </c>
      <c r="H139" t="str">
        <f>"2226"</f>
        <v>2226</v>
      </c>
      <c r="I139" s="3">
        <v>2260700</v>
      </c>
      <c r="J139" s="3">
        <v>91.19</v>
      </c>
      <c r="K139" s="3">
        <v>2479100</v>
      </c>
      <c r="L139" s="3">
        <v>0</v>
      </c>
      <c r="M139" s="3">
        <v>2479100</v>
      </c>
      <c r="N139" s="3">
        <v>0</v>
      </c>
      <c r="O139" s="3">
        <v>0</v>
      </c>
      <c r="P139" s="3">
        <v>0</v>
      </c>
      <c r="Q139" s="3">
        <v>0</v>
      </c>
      <c r="R139" s="3">
        <v>-149100</v>
      </c>
      <c r="S139" s="3">
        <v>0</v>
      </c>
      <c r="T139" s="3">
        <v>0</v>
      </c>
      <c r="U139" s="3">
        <v>0</v>
      </c>
      <c r="V139" s="3">
        <v>2009</v>
      </c>
      <c r="W139" s="3">
        <v>1363000</v>
      </c>
      <c r="X139" s="3">
        <v>2330000</v>
      </c>
      <c r="Y139" s="3">
        <v>967000</v>
      </c>
      <c r="Z139" s="3">
        <v>2208000</v>
      </c>
      <c r="AA139" s="3">
        <v>122000</v>
      </c>
      <c r="AB139" s="3">
        <v>6</v>
      </c>
    </row>
    <row r="140" spans="1:28" x14ac:dyDescent="0.35">
      <c r="A140">
        <v>2022</v>
      </c>
      <c r="B140" t="str">
        <f t="shared" si="14"/>
        <v>10</v>
      </c>
      <c r="C140" t="s">
        <v>89</v>
      </c>
      <c r="D140" t="s">
        <v>33</v>
      </c>
      <c r="E140" t="str">
        <f>"186"</f>
        <v>186</v>
      </c>
      <c r="F140" t="s">
        <v>92</v>
      </c>
      <c r="G140" t="str">
        <f>"001"</f>
        <v>001</v>
      </c>
      <c r="H140" t="str">
        <f>"1162"</f>
        <v>1162</v>
      </c>
      <c r="I140" s="3">
        <v>1037500</v>
      </c>
      <c r="J140" s="3">
        <v>92.52</v>
      </c>
      <c r="K140" s="3">
        <v>1121400</v>
      </c>
      <c r="L140" s="3">
        <v>0</v>
      </c>
      <c r="M140" s="3">
        <v>1121400</v>
      </c>
      <c r="N140" s="3">
        <v>0</v>
      </c>
      <c r="O140" s="3">
        <v>0</v>
      </c>
      <c r="P140" s="3">
        <v>0</v>
      </c>
      <c r="Q140" s="3">
        <v>0</v>
      </c>
      <c r="R140" s="3">
        <v>5500</v>
      </c>
      <c r="S140" s="3">
        <v>0</v>
      </c>
      <c r="T140" s="3">
        <v>0</v>
      </c>
      <c r="U140" s="3">
        <v>0</v>
      </c>
      <c r="V140" s="3">
        <v>1998</v>
      </c>
      <c r="W140" s="3">
        <v>119500</v>
      </c>
      <c r="X140" s="3">
        <v>1126900</v>
      </c>
      <c r="Y140" s="3">
        <v>1007400</v>
      </c>
      <c r="Z140" s="3">
        <v>1047200</v>
      </c>
      <c r="AA140" s="3">
        <v>79700</v>
      </c>
      <c r="AB140" s="3">
        <v>8</v>
      </c>
    </row>
    <row r="141" spans="1:28" x14ac:dyDescent="0.35">
      <c r="A141">
        <v>2022</v>
      </c>
      <c r="B141" t="str">
        <f t="shared" si="14"/>
        <v>10</v>
      </c>
      <c r="C141" t="s">
        <v>89</v>
      </c>
      <c r="D141" t="s">
        <v>33</v>
      </c>
      <c r="E141" t="str">
        <f>"191"</f>
        <v>191</v>
      </c>
      <c r="F141" t="s">
        <v>93</v>
      </c>
      <c r="G141" t="str">
        <f>"001"</f>
        <v>001</v>
      </c>
      <c r="H141" t="str">
        <f>"4207"</f>
        <v>4207</v>
      </c>
      <c r="I141" s="3">
        <v>727300</v>
      </c>
      <c r="J141" s="3">
        <v>66.22</v>
      </c>
      <c r="K141" s="3">
        <v>1098300</v>
      </c>
      <c r="L141" s="3">
        <v>0</v>
      </c>
      <c r="M141" s="3">
        <v>1098300</v>
      </c>
      <c r="N141" s="3">
        <v>1730100</v>
      </c>
      <c r="O141" s="3">
        <v>1730100</v>
      </c>
      <c r="P141" s="3">
        <v>678000</v>
      </c>
      <c r="Q141" s="3">
        <v>678000</v>
      </c>
      <c r="R141" s="3">
        <v>500</v>
      </c>
      <c r="S141" s="3">
        <v>0</v>
      </c>
      <c r="T141" s="3">
        <v>0</v>
      </c>
      <c r="U141" s="3">
        <v>197500</v>
      </c>
      <c r="V141" s="3">
        <v>1996</v>
      </c>
      <c r="W141" s="3">
        <v>499800</v>
      </c>
      <c r="X141" s="3">
        <v>3704400</v>
      </c>
      <c r="Y141" s="3">
        <v>3204600</v>
      </c>
      <c r="Z141" s="3">
        <v>3099700</v>
      </c>
      <c r="AA141" s="3">
        <v>604700</v>
      </c>
      <c r="AB141" s="3">
        <v>20</v>
      </c>
    </row>
    <row r="142" spans="1:28" x14ac:dyDescent="0.35">
      <c r="A142">
        <v>2022</v>
      </c>
      <c r="B142" t="str">
        <f t="shared" si="14"/>
        <v>10</v>
      </c>
      <c r="C142" t="s">
        <v>89</v>
      </c>
      <c r="D142" t="s">
        <v>33</v>
      </c>
      <c r="E142" t="str">
        <f>"191"</f>
        <v>191</v>
      </c>
      <c r="F142" t="s">
        <v>93</v>
      </c>
      <c r="G142" t="str">
        <f>"002"</f>
        <v>002</v>
      </c>
      <c r="H142" t="str">
        <f>"4207"</f>
        <v>4207</v>
      </c>
      <c r="I142" s="3">
        <v>978300</v>
      </c>
      <c r="J142" s="3">
        <v>66.22</v>
      </c>
      <c r="K142" s="3">
        <v>1477300</v>
      </c>
      <c r="L142" s="3">
        <v>0</v>
      </c>
      <c r="M142" s="3">
        <v>1477300</v>
      </c>
      <c r="N142" s="3">
        <v>0</v>
      </c>
      <c r="O142" s="3">
        <v>0</v>
      </c>
      <c r="P142" s="3">
        <v>0</v>
      </c>
      <c r="Q142" s="3">
        <v>0</v>
      </c>
      <c r="R142" s="3">
        <v>700</v>
      </c>
      <c r="S142" s="3">
        <v>0</v>
      </c>
      <c r="T142" s="3">
        <v>0</v>
      </c>
      <c r="U142" s="3">
        <v>0</v>
      </c>
      <c r="V142" s="3">
        <v>2010</v>
      </c>
      <c r="W142" s="3">
        <v>428700</v>
      </c>
      <c r="X142" s="3">
        <v>1478000</v>
      </c>
      <c r="Y142" s="3">
        <v>1049300</v>
      </c>
      <c r="Z142" s="3">
        <v>1193000</v>
      </c>
      <c r="AA142" s="3">
        <v>285000</v>
      </c>
      <c r="AB142" s="3">
        <v>24</v>
      </c>
    </row>
    <row r="143" spans="1:28" x14ac:dyDescent="0.35">
      <c r="A143">
        <v>2022</v>
      </c>
      <c r="B143" t="str">
        <f t="shared" si="14"/>
        <v>10</v>
      </c>
      <c r="C143" t="s">
        <v>89</v>
      </c>
      <c r="D143" t="s">
        <v>33</v>
      </c>
      <c r="E143" t="str">
        <f>"191"</f>
        <v>191</v>
      </c>
      <c r="F143" t="s">
        <v>93</v>
      </c>
      <c r="G143" t="str">
        <f>"003"</f>
        <v>003</v>
      </c>
      <c r="H143" t="str">
        <f>"4207"</f>
        <v>4207</v>
      </c>
      <c r="I143" s="3">
        <v>749400</v>
      </c>
      <c r="J143" s="3">
        <v>66.22</v>
      </c>
      <c r="K143" s="3">
        <v>1131700</v>
      </c>
      <c r="L143" s="3">
        <v>0</v>
      </c>
      <c r="M143" s="3">
        <v>1131700</v>
      </c>
      <c r="N143" s="3">
        <v>0</v>
      </c>
      <c r="O143" s="3">
        <v>0</v>
      </c>
      <c r="P143" s="3">
        <v>0</v>
      </c>
      <c r="Q143" s="3">
        <v>0</v>
      </c>
      <c r="R143" s="3">
        <v>500</v>
      </c>
      <c r="S143" s="3">
        <v>0</v>
      </c>
      <c r="T143" s="3">
        <v>0</v>
      </c>
      <c r="U143" s="3">
        <v>0</v>
      </c>
      <c r="V143" s="3">
        <v>2012</v>
      </c>
      <c r="W143" s="3">
        <v>262800</v>
      </c>
      <c r="X143" s="3">
        <v>1132200</v>
      </c>
      <c r="Y143" s="3">
        <v>869400</v>
      </c>
      <c r="Z143" s="3">
        <v>825000</v>
      </c>
      <c r="AA143" s="3">
        <v>307200</v>
      </c>
      <c r="AB143" s="3">
        <v>37</v>
      </c>
    </row>
    <row r="144" spans="1:28" x14ac:dyDescent="0.35">
      <c r="A144">
        <v>2022</v>
      </c>
      <c r="B144" t="str">
        <f t="shared" si="14"/>
        <v>10</v>
      </c>
      <c r="C144" t="s">
        <v>89</v>
      </c>
      <c r="D144" t="s">
        <v>35</v>
      </c>
      <c r="E144" t="str">
        <f>"201"</f>
        <v>201</v>
      </c>
      <c r="F144" t="s">
        <v>94</v>
      </c>
      <c r="G144" t="str">
        <f>"005"</f>
        <v>005</v>
      </c>
      <c r="H144" t="str">
        <f>"0007"</f>
        <v>0007</v>
      </c>
      <c r="I144" s="3">
        <v>1022400</v>
      </c>
      <c r="J144" s="3">
        <v>76.17</v>
      </c>
      <c r="K144" s="3">
        <v>1342300</v>
      </c>
      <c r="L144" s="3">
        <v>0</v>
      </c>
      <c r="M144" s="3">
        <v>1342300</v>
      </c>
      <c r="N144" s="3">
        <v>0</v>
      </c>
      <c r="O144" s="3">
        <v>0</v>
      </c>
      <c r="P144" s="3">
        <v>0</v>
      </c>
      <c r="Q144" s="3">
        <v>0</v>
      </c>
      <c r="R144" s="3">
        <v>4900</v>
      </c>
      <c r="S144" s="3">
        <v>0</v>
      </c>
      <c r="T144" s="3">
        <v>0</v>
      </c>
      <c r="U144" s="3">
        <v>31800</v>
      </c>
      <c r="V144" s="3">
        <v>2008</v>
      </c>
      <c r="W144" s="3">
        <v>458800</v>
      </c>
      <c r="X144" s="3">
        <v>1379000</v>
      </c>
      <c r="Y144" s="3">
        <v>920200</v>
      </c>
      <c r="Z144" s="3">
        <v>592500</v>
      </c>
      <c r="AA144" s="3">
        <v>786500</v>
      </c>
      <c r="AB144" s="3">
        <v>133</v>
      </c>
    </row>
    <row r="145" spans="1:28" x14ac:dyDescent="0.35">
      <c r="A145">
        <v>2022</v>
      </c>
      <c r="B145" t="str">
        <f t="shared" si="14"/>
        <v>10</v>
      </c>
      <c r="C145" t="s">
        <v>89</v>
      </c>
      <c r="D145" t="s">
        <v>35</v>
      </c>
      <c r="E145" t="str">
        <f>"201"</f>
        <v>201</v>
      </c>
      <c r="F145" t="s">
        <v>94</v>
      </c>
      <c r="G145" t="str">
        <f>"006"</f>
        <v>006</v>
      </c>
      <c r="H145" t="str">
        <f>"0007"</f>
        <v>0007</v>
      </c>
      <c r="I145" s="3">
        <v>20284000</v>
      </c>
      <c r="J145" s="3">
        <v>76.17</v>
      </c>
      <c r="K145" s="3">
        <v>26629900</v>
      </c>
      <c r="L145" s="3">
        <v>0</v>
      </c>
      <c r="M145" s="3">
        <v>26629900</v>
      </c>
      <c r="N145" s="3">
        <v>558200</v>
      </c>
      <c r="O145" s="3">
        <v>558200</v>
      </c>
      <c r="P145" s="3">
        <v>98700</v>
      </c>
      <c r="Q145" s="3">
        <v>98700</v>
      </c>
      <c r="R145" s="3">
        <v>203400</v>
      </c>
      <c r="S145" s="3">
        <v>0</v>
      </c>
      <c r="T145" s="3">
        <v>0</v>
      </c>
      <c r="U145" s="3">
        <v>0</v>
      </c>
      <c r="V145" s="3">
        <v>2016</v>
      </c>
      <c r="W145" s="3">
        <v>2947100</v>
      </c>
      <c r="X145" s="3">
        <v>27490200</v>
      </c>
      <c r="Y145" s="3">
        <v>24543100</v>
      </c>
      <c r="Z145" s="3">
        <v>24584700</v>
      </c>
      <c r="AA145" s="3">
        <v>2905500</v>
      </c>
      <c r="AB145" s="3">
        <v>12</v>
      </c>
    </row>
    <row r="146" spans="1:28" x14ac:dyDescent="0.35">
      <c r="A146">
        <v>2022</v>
      </c>
      <c r="B146" t="str">
        <f t="shared" si="14"/>
        <v>10</v>
      </c>
      <c r="C146" t="s">
        <v>89</v>
      </c>
      <c r="D146" t="s">
        <v>35</v>
      </c>
      <c r="E146" t="str">
        <f>"201"</f>
        <v>201</v>
      </c>
      <c r="F146" t="s">
        <v>94</v>
      </c>
      <c r="G146" t="str">
        <f>"006"</f>
        <v>006</v>
      </c>
      <c r="H146" t="str">
        <f>"1162"</f>
        <v>1162</v>
      </c>
      <c r="I146" s="3">
        <v>0</v>
      </c>
      <c r="J146" s="3">
        <v>76.17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2016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</row>
    <row r="147" spans="1:28" x14ac:dyDescent="0.35">
      <c r="A147">
        <v>2022</v>
      </c>
      <c r="B147" t="str">
        <f t="shared" si="14"/>
        <v>10</v>
      </c>
      <c r="C147" t="s">
        <v>89</v>
      </c>
      <c r="D147" t="s">
        <v>35</v>
      </c>
      <c r="E147" t="str">
        <f>"201"</f>
        <v>201</v>
      </c>
      <c r="F147" t="s">
        <v>94</v>
      </c>
      <c r="G147" t="str">
        <f>"007"</f>
        <v>007</v>
      </c>
      <c r="H147" t="str">
        <f>"0007"</f>
        <v>0007</v>
      </c>
      <c r="I147" s="3">
        <v>0</v>
      </c>
      <c r="J147" s="3">
        <v>76.17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2081900</v>
      </c>
      <c r="V147" s="3">
        <v>2016</v>
      </c>
      <c r="W147" s="3">
        <v>1619500</v>
      </c>
      <c r="X147" s="3">
        <v>2081900</v>
      </c>
      <c r="Y147" s="3">
        <v>462400</v>
      </c>
      <c r="Z147" s="3">
        <v>2081900</v>
      </c>
      <c r="AA147" s="3">
        <v>0</v>
      </c>
      <c r="AB147" s="3">
        <v>0</v>
      </c>
    </row>
    <row r="148" spans="1:28" x14ac:dyDescent="0.35">
      <c r="A148">
        <v>2022</v>
      </c>
      <c r="B148" t="str">
        <f t="shared" si="14"/>
        <v>10</v>
      </c>
      <c r="C148" t="s">
        <v>89</v>
      </c>
      <c r="D148" t="s">
        <v>35</v>
      </c>
      <c r="E148" t="str">
        <f>"231"</f>
        <v>231</v>
      </c>
      <c r="F148" t="s">
        <v>95</v>
      </c>
      <c r="G148" t="str">
        <f>"002"</f>
        <v>002</v>
      </c>
      <c r="H148" t="str">
        <f>"2394"</f>
        <v>2394</v>
      </c>
      <c r="I148" s="3">
        <v>235100</v>
      </c>
      <c r="J148" s="3">
        <v>69.86</v>
      </c>
      <c r="K148" s="3">
        <v>336500</v>
      </c>
      <c r="L148" s="3">
        <v>0</v>
      </c>
      <c r="M148" s="3">
        <v>336500</v>
      </c>
      <c r="N148" s="3">
        <v>0</v>
      </c>
      <c r="O148" s="3">
        <v>0</v>
      </c>
      <c r="P148" s="3">
        <v>0</v>
      </c>
      <c r="Q148" s="3">
        <v>0</v>
      </c>
      <c r="R148" s="3">
        <v>1900</v>
      </c>
      <c r="S148" s="3">
        <v>0</v>
      </c>
      <c r="T148" s="3">
        <v>0</v>
      </c>
      <c r="U148" s="3">
        <v>0</v>
      </c>
      <c r="V148" s="3">
        <v>1998</v>
      </c>
      <c r="W148" s="3">
        <v>58300</v>
      </c>
      <c r="X148" s="3">
        <v>338400</v>
      </c>
      <c r="Y148" s="3">
        <v>280100</v>
      </c>
      <c r="Z148" s="3">
        <v>279700</v>
      </c>
      <c r="AA148" s="3">
        <v>58700</v>
      </c>
      <c r="AB148" s="3">
        <v>21</v>
      </c>
    </row>
    <row r="149" spans="1:28" x14ac:dyDescent="0.35">
      <c r="A149">
        <v>2022</v>
      </c>
      <c r="B149" t="str">
        <f t="shared" si="14"/>
        <v>10</v>
      </c>
      <c r="C149" t="s">
        <v>89</v>
      </c>
      <c r="D149" t="s">
        <v>35</v>
      </c>
      <c r="E149" t="str">
        <f>"231"</f>
        <v>231</v>
      </c>
      <c r="F149" t="s">
        <v>95</v>
      </c>
      <c r="G149" t="str">
        <f>"003"</f>
        <v>003</v>
      </c>
      <c r="H149" t="str">
        <f>"2394"</f>
        <v>2394</v>
      </c>
      <c r="I149" s="3">
        <v>2367200</v>
      </c>
      <c r="J149" s="3">
        <v>69.86</v>
      </c>
      <c r="K149" s="3">
        <v>3388500</v>
      </c>
      <c r="L149" s="3">
        <v>0</v>
      </c>
      <c r="M149" s="3">
        <v>3388500</v>
      </c>
      <c r="N149" s="3">
        <v>0</v>
      </c>
      <c r="O149" s="3">
        <v>0</v>
      </c>
      <c r="P149" s="3">
        <v>0</v>
      </c>
      <c r="Q149" s="3">
        <v>0</v>
      </c>
      <c r="R149" s="3">
        <v>16600</v>
      </c>
      <c r="S149" s="3">
        <v>0</v>
      </c>
      <c r="T149" s="3">
        <v>0</v>
      </c>
      <c r="U149" s="3">
        <v>0</v>
      </c>
      <c r="V149" s="3">
        <v>2019</v>
      </c>
      <c r="W149" s="3">
        <v>394700</v>
      </c>
      <c r="X149" s="3">
        <v>3405100</v>
      </c>
      <c r="Y149" s="3">
        <v>3010400</v>
      </c>
      <c r="Z149" s="3">
        <v>2439200</v>
      </c>
      <c r="AA149" s="3">
        <v>965900</v>
      </c>
      <c r="AB149" s="3">
        <v>40</v>
      </c>
    </row>
    <row r="150" spans="1:28" x14ac:dyDescent="0.35">
      <c r="A150">
        <v>2022</v>
      </c>
      <c r="B150" t="str">
        <f t="shared" si="14"/>
        <v>10</v>
      </c>
      <c r="C150" t="s">
        <v>89</v>
      </c>
      <c r="D150" t="s">
        <v>35</v>
      </c>
      <c r="E150" t="str">
        <f>"261"</f>
        <v>261</v>
      </c>
      <c r="F150" t="s">
        <v>96</v>
      </c>
      <c r="G150" t="str">
        <f>"002"</f>
        <v>002</v>
      </c>
      <c r="H150" t="str">
        <f>"3899"</f>
        <v>3899</v>
      </c>
      <c r="I150" s="3">
        <v>210800</v>
      </c>
      <c r="J150" s="3">
        <v>92.01</v>
      </c>
      <c r="K150" s="3">
        <v>229100</v>
      </c>
      <c r="L150" s="3">
        <v>0</v>
      </c>
      <c r="M150" s="3">
        <v>229100</v>
      </c>
      <c r="N150" s="3">
        <v>3570400</v>
      </c>
      <c r="O150" s="3">
        <v>3570400</v>
      </c>
      <c r="P150" s="3">
        <v>186700</v>
      </c>
      <c r="Q150" s="3">
        <v>186700</v>
      </c>
      <c r="R150" s="3">
        <v>-17800</v>
      </c>
      <c r="S150" s="3">
        <v>0</v>
      </c>
      <c r="T150" s="3">
        <v>0</v>
      </c>
      <c r="U150" s="3">
        <v>0</v>
      </c>
      <c r="V150" s="3">
        <v>1999</v>
      </c>
      <c r="W150" s="3">
        <v>107200</v>
      </c>
      <c r="X150" s="3">
        <v>3968400</v>
      </c>
      <c r="Y150" s="3">
        <v>3861200</v>
      </c>
      <c r="Z150" s="3">
        <v>3594900</v>
      </c>
      <c r="AA150" s="3">
        <v>373500</v>
      </c>
      <c r="AB150" s="3">
        <v>10</v>
      </c>
    </row>
    <row r="151" spans="1:28" x14ac:dyDescent="0.35">
      <c r="A151">
        <v>2022</v>
      </c>
      <c r="B151" t="str">
        <f t="shared" si="14"/>
        <v>10</v>
      </c>
      <c r="C151" t="s">
        <v>89</v>
      </c>
      <c r="D151" t="s">
        <v>35</v>
      </c>
      <c r="E151" t="str">
        <f>"261"</f>
        <v>261</v>
      </c>
      <c r="F151" t="s">
        <v>96</v>
      </c>
      <c r="G151" t="str">
        <f>"003"</f>
        <v>003</v>
      </c>
      <c r="H151" t="str">
        <f>"3899"</f>
        <v>3899</v>
      </c>
      <c r="I151" s="3">
        <v>3118500</v>
      </c>
      <c r="J151" s="3">
        <v>92.01</v>
      </c>
      <c r="K151" s="3">
        <v>3389300</v>
      </c>
      <c r="L151" s="3">
        <v>0</v>
      </c>
      <c r="M151" s="3">
        <v>3389300</v>
      </c>
      <c r="N151" s="3">
        <v>0</v>
      </c>
      <c r="O151" s="3">
        <v>0</v>
      </c>
      <c r="P151" s="3">
        <v>0</v>
      </c>
      <c r="Q151" s="3">
        <v>0</v>
      </c>
      <c r="R151" s="3">
        <v>-203100</v>
      </c>
      <c r="S151" s="3">
        <v>0</v>
      </c>
      <c r="T151" s="3">
        <v>0</v>
      </c>
      <c r="U151" s="3">
        <v>0</v>
      </c>
      <c r="V151" s="3">
        <v>2006</v>
      </c>
      <c r="W151" s="3">
        <v>304800</v>
      </c>
      <c r="X151" s="3">
        <v>3186200</v>
      </c>
      <c r="Y151" s="3">
        <v>2881400</v>
      </c>
      <c r="Z151" s="3">
        <v>3243600</v>
      </c>
      <c r="AA151" s="3">
        <v>-57400</v>
      </c>
      <c r="AB151" s="3">
        <v>-2</v>
      </c>
    </row>
    <row r="152" spans="1:28" x14ac:dyDescent="0.35">
      <c r="A152">
        <v>2022</v>
      </c>
      <c r="B152" t="str">
        <f t="shared" si="14"/>
        <v>10</v>
      </c>
      <c r="C152" t="s">
        <v>89</v>
      </c>
      <c r="D152" t="s">
        <v>35</v>
      </c>
      <c r="E152" t="str">
        <f>"261"</f>
        <v>261</v>
      </c>
      <c r="F152" t="s">
        <v>96</v>
      </c>
      <c r="G152" t="str">
        <f>"004"</f>
        <v>004</v>
      </c>
      <c r="H152" t="str">
        <f>"3899"</f>
        <v>3899</v>
      </c>
      <c r="I152" s="3">
        <v>7223200</v>
      </c>
      <c r="J152" s="3">
        <v>92.01</v>
      </c>
      <c r="K152" s="3">
        <v>7850500</v>
      </c>
      <c r="L152" s="3">
        <v>0</v>
      </c>
      <c r="M152" s="3">
        <v>7850500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2021</v>
      </c>
      <c r="W152" s="3">
        <v>6430400</v>
      </c>
      <c r="X152" s="3">
        <v>7850500</v>
      </c>
      <c r="Y152" s="3">
        <v>1420100</v>
      </c>
      <c r="Z152" s="3">
        <v>6430400</v>
      </c>
      <c r="AA152" s="3">
        <v>1420100</v>
      </c>
      <c r="AB152" s="3">
        <v>22</v>
      </c>
    </row>
    <row r="153" spans="1:28" x14ac:dyDescent="0.35">
      <c r="A153">
        <v>2022</v>
      </c>
      <c r="B153" t="str">
        <f t="shared" si="14"/>
        <v>10</v>
      </c>
      <c r="C153" t="s">
        <v>89</v>
      </c>
      <c r="D153" t="s">
        <v>35</v>
      </c>
      <c r="E153" t="str">
        <f>"265"</f>
        <v>265</v>
      </c>
      <c r="F153" t="s">
        <v>97</v>
      </c>
      <c r="G153" t="str">
        <f>"003"</f>
        <v>003</v>
      </c>
      <c r="H153" t="str">
        <f>"4207"</f>
        <v>4207</v>
      </c>
      <c r="I153" s="3">
        <v>1259700</v>
      </c>
      <c r="J153" s="3">
        <v>71.83</v>
      </c>
      <c r="K153" s="3">
        <v>1753700</v>
      </c>
      <c r="L153" s="3">
        <v>0</v>
      </c>
      <c r="M153" s="3">
        <v>1753700</v>
      </c>
      <c r="N153" s="3">
        <v>0</v>
      </c>
      <c r="O153" s="3">
        <v>0</v>
      </c>
      <c r="P153" s="3">
        <v>0</v>
      </c>
      <c r="Q153" s="3">
        <v>0</v>
      </c>
      <c r="R153" s="3">
        <v>-2500</v>
      </c>
      <c r="S153" s="3">
        <v>0</v>
      </c>
      <c r="T153" s="3">
        <v>0</v>
      </c>
      <c r="U153" s="3">
        <v>0</v>
      </c>
      <c r="V153" s="3">
        <v>1996</v>
      </c>
      <c r="W153" s="3">
        <v>6100</v>
      </c>
      <c r="X153" s="3">
        <v>1751200</v>
      </c>
      <c r="Y153" s="3">
        <v>1745100</v>
      </c>
      <c r="Z153" s="3">
        <v>1049200</v>
      </c>
      <c r="AA153" s="3">
        <v>702000</v>
      </c>
      <c r="AB153" s="3">
        <v>67</v>
      </c>
    </row>
    <row r="154" spans="1:28" x14ac:dyDescent="0.35">
      <c r="A154">
        <v>2022</v>
      </c>
      <c r="B154" t="str">
        <f t="shared" si="14"/>
        <v>10</v>
      </c>
      <c r="C154" t="s">
        <v>89</v>
      </c>
      <c r="D154" t="s">
        <v>35</v>
      </c>
      <c r="E154" t="str">
        <f>"265"</f>
        <v>265</v>
      </c>
      <c r="F154" t="s">
        <v>97</v>
      </c>
      <c r="G154" t="str">
        <f>"004"</f>
        <v>004</v>
      </c>
      <c r="H154" t="str">
        <f>"4207"</f>
        <v>4207</v>
      </c>
      <c r="I154" s="3">
        <v>9378700</v>
      </c>
      <c r="J154" s="3">
        <v>71.83</v>
      </c>
      <c r="K154" s="3">
        <v>13056800</v>
      </c>
      <c r="L154" s="3">
        <v>0</v>
      </c>
      <c r="M154" s="3">
        <v>13056800</v>
      </c>
      <c r="N154" s="3">
        <v>3424800</v>
      </c>
      <c r="O154" s="3">
        <v>3424800</v>
      </c>
      <c r="P154" s="3">
        <v>1925700</v>
      </c>
      <c r="Q154" s="3">
        <v>1925700</v>
      </c>
      <c r="R154" s="3">
        <v>-28800</v>
      </c>
      <c r="S154" s="3">
        <v>0</v>
      </c>
      <c r="T154" s="3">
        <v>0</v>
      </c>
      <c r="U154" s="3">
        <v>0</v>
      </c>
      <c r="V154" s="3">
        <v>2004</v>
      </c>
      <c r="W154" s="3">
        <v>2268400</v>
      </c>
      <c r="X154" s="3">
        <v>18378500</v>
      </c>
      <c r="Y154" s="3">
        <v>16110100</v>
      </c>
      <c r="Z154" s="3">
        <v>16765100</v>
      </c>
      <c r="AA154" s="3">
        <v>1613400</v>
      </c>
      <c r="AB154" s="3">
        <v>10</v>
      </c>
    </row>
    <row r="155" spans="1:28" x14ac:dyDescent="0.35">
      <c r="A155">
        <v>2022</v>
      </c>
      <c r="B155" t="str">
        <f t="shared" ref="B155:B173" si="15">"11"</f>
        <v>11</v>
      </c>
      <c r="C155" t="s">
        <v>98</v>
      </c>
      <c r="D155" t="s">
        <v>33</v>
      </c>
      <c r="E155" t="str">
        <f>"101"</f>
        <v>101</v>
      </c>
      <c r="F155" t="s">
        <v>99</v>
      </c>
      <c r="G155" t="str">
        <f>"001"</f>
        <v>001</v>
      </c>
      <c r="H155" t="str">
        <f>"4536"</f>
        <v>4536</v>
      </c>
      <c r="I155" s="3">
        <v>11636000</v>
      </c>
      <c r="J155" s="3">
        <v>100</v>
      </c>
      <c r="K155" s="3">
        <v>11636000</v>
      </c>
      <c r="L155" s="3">
        <v>0</v>
      </c>
      <c r="M155" s="3">
        <v>11636000</v>
      </c>
      <c r="N155" s="3">
        <v>1712100</v>
      </c>
      <c r="O155" s="3">
        <v>1712100</v>
      </c>
      <c r="P155" s="3">
        <v>173600</v>
      </c>
      <c r="Q155" s="3">
        <v>173600</v>
      </c>
      <c r="R155" s="3">
        <v>166000</v>
      </c>
      <c r="S155" s="3">
        <v>0</v>
      </c>
      <c r="T155" s="3">
        <v>0</v>
      </c>
      <c r="U155" s="3">
        <v>0</v>
      </c>
      <c r="V155" s="3">
        <v>1999</v>
      </c>
      <c r="W155" s="3">
        <v>2502900</v>
      </c>
      <c r="X155" s="3">
        <v>13687700</v>
      </c>
      <c r="Y155" s="3">
        <v>11184800</v>
      </c>
      <c r="Z155" s="3">
        <v>14027600</v>
      </c>
      <c r="AA155" s="3">
        <v>-339900</v>
      </c>
      <c r="AB155" s="3">
        <v>-2</v>
      </c>
    </row>
    <row r="156" spans="1:28" x14ac:dyDescent="0.35">
      <c r="A156">
        <v>2022</v>
      </c>
      <c r="B156" t="str">
        <f t="shared" si="15"/>
        <v>11</v>
      </c>
      <c r="C156" t="s">
        <v>98</v>
      </c>
      <c r="D156" t="s">
        <v>33</v>
      </c>
      <c r="E156" t="str">
        <f>"126"</f>
        <v>126</v>
      </c>
      <c r="F156" t="s">
        <v>100</v>
      </c>
      <c r="G156" t="str">
        <f>"005"</f>
        <v>005</v>
      </c>
      <c r="H156" t="str">
        <f>"1736"</f>
        <v>1736</v>
      </c>
      <c r="I156" s="3">
        <v>4700</v>
      </c>
      <c r="J156" s="3">
        <v>90.11</v>
      </c>
      <c r="K156" s="3">
        <v>5200</v>
      </c>
      <c r="L156" s="3">
        <v>0</v>
      </c>
      <c r="M156" s="3">
        <v>5200</v>
      </c>
      <c r="N156" s="3">
        <v>19610400</v>
      </c>
      <c r="O156" s="3">
        <v>19610400</v>
      </c>
      <c r="P156" s="3">
        <v>627700</v>
      </c>
      <c r="Q156" s="3">
        <v>627700</v>
      </c>
      <c r="R156" s="3">
        <v>-120000</v>
      </c>
      <c r="S156" s="3">
        <v>0</v>
      </c>
      <c r="T156" s="3">
        <v>0</v>
      </c>
      <c r="U156" s="3">
        <v>0</v>
      </c>
      <c r="V156" s="3">
        <v>2020</v>
      </c>
      <c r="W156" s="3">
        <v>18910700</v>
      </c>
      <c r="X156" s="3">
        <v>20123300</v>
      </c>
      <c r="Y156" s="3">
        <v>1212600</v>
      </c>
      <c r="Z156" s="3">
        <v>19289100</v>
      </c>
      <c r="AA156" s="3">
        <v>834200</v>
      </c>
      <c r="AB156" s="3">
        <v>4</v>
      </c>
    </row>
    <row r="157" spans="1:28" x14ac:dyDescent="0.35">
      <c r="A157">
        <v>2022</v>
      </c>
      <c r="B157" t="str">
        <f t="shared" si="15"/>
        <v>11</v>
      </c>
      <c r="C157" t="s">
        <v>98</v>
      </c>
      <c r="D157" t="s">
        <v>33</v>
      </c>
      <c r="E157" t="str">
        <f>"171"</f>
        <v>171</v>
      </c>
      <c r="F157" t="s">
        <v>101</v>
      </c>
      <c r="G157" t="str">
        <f>"002"</f>
        <v>002</v>
      </c>
      <c r="H157" t="str">
        <f>"4228"</f>
        <v>4228</v>
      </c>
      <c r="I157" s="3">
        <v>7798800</v>
      </c>
      <c r="J157" s="3">
        <v>80.3</v>
      </c>
      <c r="K157" s="3">
        <v>9712100</v>
      </c>
      <c r="L157" s="3">
        <v>0</v>
      </c>
      <c r="M157" s="3">
        <v>9712100</v>
      </c>
      <c r="N157" s="3">
        <v>3473800</v>
      </c>
      <c r="O157" s="3">
        <v>3473800</v>
      </c>
      <c r="P157" s="3">
        <v>188100</v>
      </c>
      <c r="Q157" s="3">
        <v>188100</v>
      </c>
      <c r="R157" s="3">
        <v>0</v>
      </c>
      <c r="S157" s="3">
        <v>0</v>
      </c>
      <c r="T157" s="3">
        <v>0</v>
      </c>
      <c r="U157" s="3">
        <v>0</v>
      </c>
      <c r="V157" s="3">
        <v>2021</v>
      </c>
      <c r="W157" s="3">
        <v>12030100</v>
      </c>
      <c r="X157" s="3">
        <v>13374000</v>
      </c>
      <c r="Y157" s="3">
        <v>1343900</v>
      </c>
      <c r="Z157" s="3">
        <v>12030100</v>
      </c>
      <c r="AA157" s="3">
        <v>1343900</v>
      </c>
      <c r="AB157" s="3">
        <v>11</v>
      </c>
    </row>
    <row r="158" spans="1:28" x14ac:dyDescent="0.35">
      <c r="A158">
        <v>2022</v>
      </c>
      <c r="B158" t="str">
        <f t="shared" si="15"/>
        <v>11</v>
      </c>
      <c r="C158" t="s">
        <v>98</v>
      </c>
      <c r="D158" t="s">
        <v>33</v>
      </c>
      <c r="E158" t="str">
        <f>"177"</f>
        <v>177</v>
      </c>
      <c r="F158" t="s">
        <v>102</v>
      </c>
      <c r="G158" t="str">
        <f>"001"</f>
        <v>001</v>
      </c>
      <c r="H158" t="str">
        <f>"4865"</f>
        <v>4865</v>
      </c>
      <c r="I158" s="3">
        <v>3009800</v>
      </c>
      <c r="J158" s="3">
        <v>100</v>
      </c>
      <c r="K158" s="3">
        <v>3009800</v>
      </c>
      <c r="L158" s="3">
        <v>0</v>
      </c>
      <c r="M158" s="3">
        <v>3009800</v>
      </c>
      <c r="N158" s="3">
        <v>157200</v>
      </c>
      <c r="O158" s="3">
        <v>157200</v>
      </c>
      <c r="P158" s="3">
        <v>1800</v>
      </c>
      <c r="Q158" s="3">
        <v>1800</v>
      </c>
      <c r="R158" s="3">
        <v>-11300</v>
      </c>
      <c r="S158" s="3">
        <v>0</v>
      </c>
      <c r="T158" s="3">
        <v>0</v>
      </c>
      <c r="U158" s="3">
        <v>0</v>
      </c>
      <c r="V158" s="3">
        <v>1988</v>
      </c>
      <c r="W158" s="3">
        <v>551400</v>
      </c>
      <c r="X158" s="3">
        <v>3157500</v>
      </c>
      <c r="Y158" s="3">
        <v>2606100</v>
      </c>
      <c r="Z158" s="3">
        <v>3243100</v>
      </c>
      <c r="AA158" s="3">
        <v>-85600</v>
      </c>
      <c r="AB158" s="3">
        <v>-3</v>
      </c>
    </row>
    <row r="159" spans="1:28" x14ac:dyDescent="0.35">
      <c r="A159">
        <v>2022</v>
      </c>
      <c r="B159" t="str">
        <f t="shared" si="15"/>
        <v>11</v>
      </c>
      <c r="C159" t="s">
        <v>98</v>
      </c>
      <c r="D159" t="s">
        <v>33</v>
      </c>
      <c r="E159" t="str">
        <f>"177"</f>
        <v>177</v>
      </c>
      <c r="F159" t="s">
        <v>102</v>
      </c>
      <c r="G159" t="str">
        <f>"003"</f>
        <v>003</v>
      </c>
      <c r="H159" t="str">
        <f>"4865"</f>
        <v>4865</v>
      </c>
      <c r="I159" s="3">
        <v>8466500</v>
      </c>
      <c r="J159" s="3">
        <v>100</v>
      </c>
      <c r="K159" s="3">
        <v>8466500</v>
      </c>
      <c r="L159" s="3">
        <v>0</v>
      </c>
      <c r="M159" s="3">
        <v>8466500</v>
      </c>
      <c r="N159" s="3">
        <v>1977200</v>
      </c>
      <c r="O159" s="3">
        <v>1977200</v>
      </c>
      <c r="P159" s="3">
        <v>111900</v>
      </c>
      <c r="Q159" s="3">
        <v>111900</v>
      </c>
      <c r="R159" s="3">
        <v>-31500</v>
      </c>
      <c r="S159" s="3">
        <v>0</v>
      </c>
      <c r="T159" s="3">
        <v>0</v>
      </c>
      <c r="U159" s="3">
        <v>0</v>
      </c>
      <c r="V159" s="3">
        <v>1996</v>
      </c>
      <c r="W159" s="3">
        <v>1268100</v>
      </c>
      <c r="X159" s="3">
        <v>10524100</v>
      </c>
      <c r="Y159" s="3">
        <v>9256000</v>
      </c>
      <c r="Z159" s="3">
        <v>10561000</v>
      </c>
      <c r="AA159" s="3">
        <v>-36900</v>
      </c>
      <c r="AB159" s="3">
        <v>0</v>
      </c>
    </row>
    <row r="160" spans="1:28" x14ac:dyDescent="0.35">
      <c r="A160">
        <v>2022</v>
      </c>
      <c r="B160" t="str">
        <f t="shared" si="15"/>
        <v>11</v>
      </c>
      <c r="C160" t="s">
        <v>98</v>
      </c>
      <c r="D160" t="s">
        <v>35</v>
      </c>
      <c r="E160" t="str">
        <f>"211"</f>
        <v>211</v>
      </c>
      <c r="F160" t="s">
        <v>103</v>
      </c>
      <c r="G160" t="str">
        <f>"004"</f>
        <v>004</v>
      </c>
      <c r="H160" t="str">
        <f>"1183"</f>
        <v>1183</v>
      </c>
      <c r="I160" s="3">
        <v>7942000</v>
      </c>
      <c r="J160" s="3">
        <v>84.41</v>
      </c>
      <c r="K160" s="3">
        <v>9408800</v>
      </c>
      <c r="L160" s="3">
        <v>0</v>
      </c>
      <c r="M160" s="3">
        <v>9408800</v>
      </c>
      <c r="N160" s="3">
        <v>960700</v>
      </c>
      <c r="O160" s="3">
        <v>960700</v>
      </c>
      <c r="P160" s="3">
        <v>11001600</v>
      </c>
      <c r="Q160" s="3">
        <v>11001600</v>
      </c>
      <c r="R160" s="3">
        <v>-7300</v>
      </c>
      <c r="S160" s="3">
        <v>0</v>
      </c>
      <c r="T160" s="3">
        <v>0</v>
      </c>
      <c r="U160" s="3">
        <v>0</v>
      </c>
      <c r="V160" s="3">
        <v>2015</v>
      </c>
      <c r="W160" s="3">
        <v>3124100</v>
      </c>
      <c r="X160" s="3">
        <v>21363800</v>
      </c>
      <c r="Y160" s="3">
        <v>18239700</v>
      </c>
      <c r="Z160" s="3">
        <v>19928800</v>
      </c>
      <c r="AA160" s="3">
        <v>1435000</v>
      </c>
      <c r="AB160" s="3">
        <v>7</v>
      </c>
    </row>
    <row r="161" spans="1:28" x14ac:dyDescent="0.35">
      <c r="A161">
        <v>2022</v>
      </c>
      <c r="B161" t="str">
        <f t="shared" si="15"/>
        <v>11</v>
      </c>
      <c r="C161" t="s">
        <v>98</v>
      </c>
      <c r="D161" t="s">
        <v>35</v>
      </c>
      <c r="E161" t="str">
        <f>"211"</f>
        <v>211</v>
      </c>
      <c r="F161" t="s">
        <v>103</v>
      </c>
      <c r="G161" t="str">
        <f>"005"</f>
        <v>005</v>
      </c>
      <c r="H161" t="str">
        <f>"1183"</f>
        <v>1183</v>
      </c>
      <c r="I161" s="3">
        <v>1527400</v>
      </c>
      <c r="J161" s="3">
        <v>84.41</v>
      </c>
      <c r="K161" s="3">
        <v>1809500</v>
      </c>
      <c r="L161" s="3">
        <v>0</v>
      </c>
      <c r="M161" s="3">
        <v>1809500</v>
      </c>
      <c r="N161" s="3">
        <v>3359400</v>
      </c>
      <c r="O161" s="3">
        <v>3359400</v>
      </c>
      <c r="P161" s="3">
        <v>1106900</v>
      </c>
      <c r="Q161" s="3">
        <v>1106900</v>
      </c>
      <c r="R161" s="3">
        <v>-500</v>
      </c>
      <c r="S161" s="3">
        <v>0</v>
      </c>
      <c r="T161" s="3">
        <v>0</v>
      </c>
      <c r="U161" s="3">
        <v>0</v>
      </c>
      <c r="V161" s="3">
        <v>2019</v>
      </c>
      <c r="W161" s="3">
        <v>5379100</v>
      </c>
      <c r="X161" s="3">
        <v>6275300</v>
      </c>
      <c r="Y161" s="3">
        <v>896200</v>
      </c>
      <c r="Z161" s="3">
        <v>4032200</v>
      </c>
      <c r="AA161" s="3">
        <v>2243100</v>
      </c>
      <c r="AB161" s="3">
        <v>56</v>
      </c>
    </row>
    <row r="162" spans="1:28" x14ac:dyDescent="0.35">
      <c r="A162">
        <v>2022</v>
      </c>
      <c r="B162" t="str">
        <f t="shared" si="15"/>
        <v>11</v>
      </c>
      <c r="C162" t="s">
        <v>98</v>
      </c>
      <c r="D162" t="s">
        <v>35</v>
      </c>
      <c r="E162" t="str">
        <f>"211"</f>
        <v>211</v>
      </c>
      <c r="F162" t="s">
        <v>103</v>
      </c>
      <c r="G162" t="str">
        <f>"006"</f>
        <v>006</v>
      </c>
      <c r="H162" t="str">
        <f>"1183"</f>
        <v>1183</v>
      </c>
      <c r="I162" s="3">
        <v>13075900</v>
      </c>
      <c r="J162" s="3">
        <v>84.41</v>
      </c>
      <c r="K162" s="3">
        <v>15490900</v>
      </c>
      <c r="L162" s="3">
        <v>0</v>
      </c>
      <c r="M162" s="3">
        <v>15490900</v>
      </c>
      <c r="N162" s="3">
        <v>229500</v>
      </c>
      <c r="O162" s="3">
        <v>229500</v>
      </c>
      <c r="P162" s="3">
        <v>134900</v>
      </c>
      <c r="Q162" s="3">
        <v>134900</v>
      </c>
      <c r="R162" s="3">
        <v>0</v>
      </c>
      <c r="S162" s="3">
        <v>0</v>
      </c>
      <c r="T162" s="3">
        <v>0</v>
      </c>
      <c r="U162" s="3">
        <v>0</v>
      </c>
      <c r="V162" s="3">
        <v>2021</v>
      </c>
      <c r="W162" s="3">
        <v>14592500</v>
      </c>
      <c r="X162" s="3">
        <v>15855300</v>
      </c>
      <c r="Y162" s="3">
        <v>1262800</v>
      </c>
      <c r="Z162" s="3">
        <v>14592500</v>
      </c>
      <c r="AA162" s="3">
        <v>1262800</v>
      </c>
      <c r="AB162" s="3">
        <v>9</v>
      </c>
    </row>
    <row r="163" spans="1:28" x14ac:dyDescent="0.35">
      <c r="A163">
        <v>2022</v>
      </c>
      <c r="B163" t="str">
        <f t="shared" si="15"/>
        <v>11</v>
      </c>
      <c r="C163" t="s">
        <v>98</v>
      </c>
      <c r="D163" t="s">
        <v>35</v>
      </c>
      <c r="E163" t="str">
        <f>"246"</f>
        <v>246</v>
      </c>
      <c r="F163" t="s">
        <v>104</v>
      </c>
      <c r="G163" t="str">
        <f>"003"</f>
        <v>003</v>
      </c>
      <c r="H163" t="str">
        <f>"3150"</f>
        <v>3150</v>
      </c>
      <c r="I163" s="3">
        <v>1079400</v>
      </c>
      <c r="J163" s="3">
        <v>78.2</v>
      </c>
      <c r="K163" s="3">
        <v>1380300</v>
      </c>
      <c r="L163" s="3">
        <v>1252400</v>
      </c>
      <c r="M163" s="3">
        <v>1252400</v>
      </c>
      <c r="N163" s="3">
        <v>0</v>
      </c>
      <c r="O163" s="3">
        <v>0</v>
      </c>
      <c r="P163" s="3">
        <v>0</v>
      </c>
      <c r="Q163" s="3">
        <v>0</v>
      </c>
      <c r="R163" s="3">
        <v>1100</v>
      </c>
      <c r="S163" s="3">
        <v>0</v>
      </c>
      <c r="T163" s="3">
        <v>0</v>
      </c>
      <c r="U163" s="3">
        <v>0</v>
      </c>
      <c r="V163" s="3">
        <v>2005</v>
      </c>
      <c r="W163" s="3">
        <v>161000</v>
      </c>
      <c r="X163" s="3">
        <v>1253500</v>
      </c>
      <c r="Y163" s="3">
        <v>1092500</v>
      </c>
      <c r="Z163" s="3">
        <v>1212400</v>
      </c>
      <c r="AA163" s="3">
        <v>41100</v>
      </c>
      <c r="AB163" s="3">
        <v>3</v>
      </c>
    </row>
    <row r="164" spans="1:28" x14ac:dyDescent="0.35">
      <c r="A164">
        <v>2022</v>
      </c>
      <c r="B164" t="str">
        <f t="shared" si="15"/>
        <v>11</v>
      </c>
      <c r="C164" t="s">
        <v>98</v>
      </c>
      <c r="D164" t="s">
        <v>35</v>
      </c>
      <c r="E164" t="str">
        <f>"246"</f>
        <v>246</v>
      </c>
      <c r="F164" t="s">
        <v>104</v>
      </c>
      <c r="G164" t="str">
        <f>"004"</f>
        <v>004</v>
      </c>
      <c r="H164" t="str">
        <f>"3150"</f>
        <v>3150</v>
      </c>
      <c r="I164" s="3">
        <v>13692000</v>
      </c>
      <c r="J164" s="3">
        <v>78.2</v>
      </c>
      <c r="K164" s="3">
        <v>17509000</v>
      </c>
      <c r="L164" s="3">
        <v>14098100</v>
      </c>
      <c r="M164" s="3">
        <v>14098100</v>
      </c>
      <c r="N164" s="3">
        <v>4077200</v>
      </c>
      <c r="O164" s="3">
        <v>4077200</v>
      </c>
      <c r="P164" s="3">
        <v>1178400</v>
      </c>
      <c r="Q164" s="3">
        <v>1178400</v>
      </c>
      <c r="R164" s="3">
        <v>13800</v>
      </c>
      <c r="S164" s="3">
        <v>0</v>
      </c>
      <c r="T164" s="3">
        <v>0</v>
      </c>
      <c r="U164" s="3">
        <v>0</v>
      </c>
      <c r="V164" s="3">
        <v>2015</v>
      </c>
      <c r="W164" s="3">
        <v>16032800</v>
      </c>
      <c r="X164" s="3">
        <v>19367500</v>
      </c>
      <c r="Y164" s="3">
        <v>3334700</v>
      </c>
      <c r="Z164" s="3">
        <v>20432300</v>
      </c>
      <c r="AA164" s="3">
        <v>-1064800</v>
      </c>
      <c r="AB164" s="3">
        <v>-5</v>
      </c>
    </row>
    <row r="165" spans="1:28" x14ac:dyDescent="0.35">
      <c r="A165">
        <v>2022</v>
      </c>
      <c r="B165" t="str">
        <f t="shared" si="15"/>
        <v>11</v>
      </c>
      <c r="C165" t="s">
        <v>98</v>
      </c>
      <c r="D165" t="s">
        <v>35</v>
      </c>
      <c r="E165" t="str">
        <f>"246"</f>
        <v>246</v>
      </c>
      <c r="F165" t="s">
        <v>104</v>
      </c>
      <c r="G165" t="str">
        <f>"005"</f>
        <v>005</v>
      </c>
      <c r="H165" t="str">
        <f>"3150"</f>
        <v>3150</v>
      </c>
      <c r="I165" s="3">
        <v>13247700</v>
      </c>
      <c r="J165" s="3">
        <v>78.2</v>
      </c>
      <c r="K165" s="3">
        <v>16940800</v>
      </c>
      <c r="L165" s="3">
        <v>15231800</v>
      </c>
      <c r="M165" s="3">
        <v>15231800</v>
      </c>
      <c r="N165" s="3">
        <v>0</v>
      </c>
      <c r="O165" s="3">
        <v>0</v>
      </c>
      <c r="P165" s="3">
        <v>0</v>
      </c>
      <c r="Q165" s="3">
        <v>0</v>
      </c>
      <c r="R165" s="3">
        <v>13400</v>
      </c>
      <c r="S165" s="3">
        <v>0</v>
      </c>
      <c r="T165" s="3">
        <v>0</v>
      </c>
      <c r="U165" s="3">
        <v>0</v>
      </c>
      <c r="V165" s="3">
        <v>2015</v>
      </c>
      <c r="W165" s="3">
        <v>12622800</v>
      </c>
      <c r="X165" s="3">
        <v>15245200</v>
      </c>
      <c r="Y165" s="3">
        <v>2622400</v>
      </c>
      <c r="Z165" s="3">
        <v>14880000</v>
      </c>
      <c r="AA165" s="3">
        <v>365200</v>
      </c>
      <c r="AB165" s="3">
        <v>2</v>
      </c>
    </row>
    <row r="166" spans="1:28" x14ac:dyDescent="0.35">
      <c r="A166">
        <v>2022</v>
      </c>
      <c r="B166" t="str">
        <f t="shared" si="15"/>
        <v>11</v>
      </c>
      <c r="C166" t="s">
        <v>98</v>
      </c>
      <c r="D166" t="s">
        <v>35</v>
      </c>
      <c r="E166" t="str">
        <f t="shared" ref="E166:E172" si="16">"271"</f>
        <v>271</v>
      </c>
      <c r="F166" t="s">
        <v>105</v>
      </c>
      <c r="G166" t="str">
        <f>"004"</f>
        <v>004</v>
      </c>
      <c r="H166" t="str">
        <f t="shared" ref="H166:H172" si="17">"4501"</f>
        <v>4501</v>
      </c>
      <c r="I166" s="3">
        <v>3968400</v>
      </c>
      <c r="J166" s="3">
        <v>100</v>
      </c>
      <c r="K166" s="3">
        <v>3968400</v>
      </c>
      <c r="L166" s="3">
        <v>0</v>
      </c>
      <c r="M166" s="3">
        <v>3968400</v>
      </c>
      <c r="N166" s="3">
        <v>0</v>
      </c>
      <c r="O166" s="3">
        <v>0</v>
      </c>
      <c r="P166" s="3">
        <v>0</v>
      </c>
      <c r="Q166" s="3">
        <v>0</v>
      </c>
      <c r="R166" s="3">
        <v>112000</v>
      </c>
      <c r="S166" s="3">
        <v>0</v>
      </c>
      <c r="T166" s="3">
        <v>0</v>
      </c>
      <c r="U166" s="3">
        <v>0</v>
      </c>
      <c r="V166" s="3">
        <v>2003</v>
      </c>
      <c r="W166" s="3">
        <v>211900</v>
      </c>
      <c r="X166" s="3">
        <v>4080400</v>
      </c>
      <c r="Y166" s="3">
        <v>3868500</v>
      </c>
      <c r="Z166" s="3">
        <v>2841700</v>
      </c>
      <c r="AA166" s="3">
        <v>1238700</v>
      </c>
      <c r="AB166" s="3">
        <v>44</v>
      </c>
    </row>
    <row r="167" spans="1:28" x14ac:dyDescent="0.35">
      <c r="A167">
        <v>2022</v>
      </c>
      <c r="B167" t="str">
        <f t="shared" si="15"/>
        <v>11</v>
      </c>
      <c r="C167" t="s">
        <v>98</v>
      </c>
      <c r="D167" t="s">
        <v>35</v>
      </c>
      <c r="E167" t="str">
        <f t="shared" si="16"/>
        <v>271</v>
      </c>
      <c r="F167" t="s">
        <v>105</v>
      </c>
      <c r="G167" t="str">
        <f>"005"</f>
        <v>005</v>
      </c>
      <c r="H167" t="str">
        <f t="shared" si="17"/>
        <v>4501</v>
      </c>
      <c r="I167" s="3">
        <v>6753600</v>
      </c>
      <c r="J167" s="3">
        <v>100</v>
      </c>
      <c r="K167" s="3">
        <v>6753600</v>
      </c>
      <c r="L167" s="3">
        <v>0</v>
      </c>
      <c r="M167" s="3">
        <v>6753600</v>
      </c>
      <c r="N167" s="3">
        <v>0</v>
      </c>
      <c r="O167" s="3">
        <v>0</v>
      </c>
      <c r="P167" s="3">
        <v>0</v>
      </c>
      <c r="Q167" s="3">
        <v>0</v>
      </c>
      <c r="R167" s="3">
        <v>229400</v>
      </c>
      <c r="S167" s="3">
        <v>0</v>
      </c>
      <c r="T167" s="3">
        <v>0</v>
      </c>
      <c r="U167" s="3">
        <v>0</v>
      </c>
      <c r="V167" s="3">
        <v>2004</v>
      </c>
      <c r="W167" s="3">
        <v>1261500</v>
      </c>
      <c r="X167" s="3">
        <v>6983000</v>
      </c>
      <c r="Y167" s="3">
        <v>5721500</v>
      </c>
      <c r="Z167" s="3">
        <v>5870200</v>
      </c>
      <c r="AA167" s="3">
        <v>1112800</v>
      </c>
      <c r="AB167" s="3">
        <v>19</v>
      </c>
    </row>
    <row r="168" spans="1:28" x14ac:dyDescent="0.35">
      <c r="A168">
        <v>2022</v>
      </c>
      <c r="B168" t="str">
        <f t="shared" si="15"/>
        <v>11</v>
      </c>
      <c r="C168" t="s">
        <v>98</v>
      </c>
      <c r="D168" t="s">
        <v>35</v>
      </c>
      <c r="E168" t="str">
        <f t="shared" si="16"/>
        <v>271</v>
      </c>
      <c r="F168" t="s">
        <v>105</v>
      </c>
      <c r="G168" t="str">
        <f>"006"</f>
        <v>006</v>
      </c>
      <c r="H168" t="str">
        <f t="shared" si="17"/>
        <v>4501</v>
      </c>
      <c r="I168" s="3">
        <v>14244000</v>
      </c>
      <c r="J168" s="3">
        <v>100</v>
      </c>
      <c r="K168" s="3">
        <v>14244000</v>
      </c>
      <c r="L168" s="3">
        <v>0</v>
      </c>
      <c r="M168" s="3">
        <v>14244000</v>
      </c>
      <c r="N168" s="3">
        <v>0</v>
      </c>
      <c r="O168" s="3">
        <v>0</v>
      </c>
      <c r="P168" s="3">
        <v>0</v>
      </c>
      <c r="Q168" s="3">
        <v>0</v>
      </c>
      <c r="R168" s="3">
        <v>436800</v>
      </c>
      <c r="S168" s="3">
        <v>0</v>
      </c>
      <c r="T168" s="3">
        <v>0</v>
      </c>
      <c r="U168" s="3">
        <v>0</v>
      </c>
      <c r="V168" s="3">
        <v>2008</v>
      </c>
      <c r="W168" s="3">
        <v>13785500</v>
      </c>
      <c r="X168" s="3">
        <v>14680800</v>
      </c>
      <c r="Y168" s="3">
        <v>895300</v>
      </c>
      <c r="Z168" s="3">
        <v>13265400</v>
      </c>
      <c r="AA168" s="3">
        <v>1415400</v>
      </c>
      <c r="AB168" s="3">
        <v>11</v>
      </c>
    </row>
    <row r="169" spans="1:28" x14ac:dyDescent="0.35">
      <c r="A169">
        <v>2022</v>
      </c>
      <c r="B169" t="str">
        <f t="shared" si="15"/>
        <v>11</v>
      </c>
      <c r="C169" t="s">
        <v>98</v>
      </c>
      <c r="D169" t="s">
        <v>35</v>
      </c>
      <c r="E169" t="str">
        <f t="shared" si="16"/>
        <v>271</v>
      </c>
      <c r="F169" t="s">
        <v>105</v>
      </c>
      <c r="G169" t="str">
        <f>"007"</f>
        <v>007</v>
      </c>
      <c r="H169" t="str">
        <f t="shared" si="17"/>
        <v>4501</v>
      </c>
      <c r="I169" s="3">
        <v>19874900</v>
      </c>
      <c r="J169" s="3">
        <v>100</v>
      </c>
      <c r="K169" s="3">
        <v>19874900</v>
      </c>
      <c r="L169" s="3">
        <v>0</v>
      </c>
      <c r="M169" s="3">
        <v>19874900</v>
      </c>
      <c r="N169" s="3">
        <v>6797100</v>
      </c>
      <c r="O169" s="3">
        <v>6797100</v>
      </c>
      <c r="P169" s="3">
        <v>1221400</v>
      </c>
      <c r="Q169" s="3">
        <v>1221400</v>
      </c>
      <c r="R169" s="3">
        <v>670400</v>
      </c>
      <c r="S169" s="3">
        <v>0</v>
      </c>
      <c r="T169" s="3">
        <v>0</v>
      </c>
      <c r="U169" s="3">
        <v>0</v>
      </c>
      <c r="V169" s="3">
        <v>2010</v>
      </c>
      <c r="W169" s="3">
        <v>20589600</v>
      </c>
      <c r="X169" s="3">
        <v>28563800</v>
      </c>
      <c r="Y169" s="3">
        <v>7974200</v>
      </c>
      <c r="Z169" s="3">
        <v>24108600</v>
      </c>
      <c r="AA169" s="3">
        <v>4455200</v>
      </c>
      <c r="AB169" s="3">
        <v>18</v>
      </c>
    </row>
    <row r="170" spans="1:28" x14ac:dyDescent="0.35">
      <c r="A170">
        <v>2022</v>
      </c>
      <c r="B170" t="str">
        <f t="shared" si="15"/>
        <v>11</v>
      </c>
      <c r="C170" t="s">
        <v>98</v>
      </c>
      <c r="D170" t="s">
        <v>35</v>
      </c>
      <c r="E170" t="str">
        <f t="shared" si="16"/>
        <v>271</v>
      </c>
      <c r="F170" t="s">
        <v>105</v>
      </c>
      <c r="G170" t="str">
        <f>"008"</f>
        <v>008</v>
      </c>
      <c r="H170" t="str">
        <f t="shared" si="17"/>
        <v>4501</v>
      </c>
      <c r="I170" s="3">
        <v>3155700</v>
      </c>
      <c r="J170" s="3">
        <v>100</v>
      </c>
      <c r="K170" s="3">
        <v>3155700</v>
      </c>
      <c r="L170" s="3">
        <v>0</v>
      </c>
      <c r="M170" s="3">
        <v>3155700</v>
      </c>
      <c r="N170" s="3">
        <v>0</v>
      </c>
      <c r="O170" s="3">
        <v>0</v>
      </c>
      <c r="P170" s="3">
        <v>0</v>
      </c>
      <c r="Q170" s="3">
        <v>0</v>
      </c>
      <c r="R170" s="3">
        <v>123500</v>
      </c>
      <c r="S170" s="3">
        <v>0</v>
      </c>
      <c r="T170" s="3">
        <v>0</v>
      </c>
      <c r="U170" s="3">
        <v>0</v>
      </c>
      <c r="V170" s="3">
        <v>2014</v>
      </c>
      <c r="W170" s="3">
        <v>654400</v>
      </c>
      <c r="X170" s="3">
        <v>3279200</v>
      </c>
      <c r="Y170" s="3">
        <v>2624800</v>
      </c>
      <c r="Z170" s="3">
        <v>3159300</v>
      </c>
      <c r="AA170" s="3">
        <v>119900</v>
      </c>
      <c r="AB170" s="3">
        <v>4</v>
      </c>
    </row>
    <row r="171" spans="1:28" x14ac:dyDescent="0.35">
      <c r="A171">
        <v>2022</v>
      </c>
      <c r="B171" t="str">
        <f t="shared" si="15"/>
        <v>11</v>
      </c>
      <c r="C171" t="s">
        <v>98</v>
      </c>
      <c r="D171" t="s">
        <v>35</v>
      </c>
      <c r="E171" t="str">
        <f t="shared" si="16"/>
        <v>271</v>
      </c>
      <c r="F171" t="s">
        <v>105</v>
      </c>
      <c r="G171" t="str">
        <f>"009"</f>
        <v>009</v>
      </c>
      <c r="H171" t="str">
        <f t="shared" si="17"/>
        <v>4501</v>
      </c>
      <c r="I171" s="3">
        <v>28100</v>
      </c>
      <c r="J171" s="3">
        <v>100</v>
      </c>
      <c r="K171" s="3">
        <v>28100</v>
      </c>
      <c r="L171" s="3">
        <v>0</v>
      </c>
      <c r="M171" s="3">
        <v>28100</v>
      </c>
      <c r="N171" s="3">
        <v>0</v>
      </c>
      <c r="O171" s="3">
        <v>0</v>
      </c>
      <c r="P171" s="3">
        <v>0</v>
      </c>
      <c r="Q171" s="3">
        <v>0</v>
      </c>
      <c r="R171" s="3">
        <v>1100</v>
      </c>
      <c r="S171" s="3">
        <v>0</v>
      </c>
      <c r="T171" s="3">
        <v>0</v>
      </c>
      <c r="U171" s="3">
        <v>0</v>
      </c>
      <c r="V171" s="3">
        <v>2017</v>
      </c>
      <c r="W171" s="3">
        <v>28700</v>
      </c>
      <c r="X171" s="3">
        <v>29200</v>
      </c>
      <c r="Y171" s="3">
        <v>500</v>
      </c>
      <c r="Z171" s="3">
        <v>28500</v>
      </c>
      <c r="AA171" s="3">
        <v>700</v>
      </c>
      <c r="AB171" s="3">
        <v>2</v>
      </c>
    </row>
    <row r="172" spans="1:28" x14ac:dyDescent="0.35">
      <c r="A172">
        <v>2022</v>
      </c>
      <c r="B172" t="str">
        <f t="shared" si="15"/>
        <v>11</v>
      </c>
      <c r="C172" t="s">
        <v>98</v>
      </c>
      <c r="D172" t="s">
        <v>35</v>
      </c>
      <c r="E172" t="str">
        <f t="shared" si="16"/>
        <v>271</v>
      </c>
      <c r="F172" t="s">
        <v>105</v>
      </c>
      <c r="G172" t="str">
        <f>"010"</f>
        <v>010</v>
      </c>
      <c r="H172" t="str">
        <f t="shared" si="17"/>
        <v>4501</v>
      </c>
      <c r="I172" s="3">
        <v>3516500</v>
      </c>
      <c r="J172" s="3">
        <v>100</v>
      </c>
      <c r="K172" s="3">
        <v>3516500</v>
      </c>
      <c r="L172" s="3">
        <v>0</v>
      </c>
      <c r="M172" s="3">
        <v>3516500</v>
      </c>
      <c r="N172" s="3">
        <v>0</v>
      </c>
      <c r="O172" s="3">
        <v>0</v>
      </c>
      <c r="P172" s="3">
        <v>0</v>
      </c>
      <c r="Q172" s="3">
        <v>0</v>
      </c>
      <c r="R172" s="3">
        <v>77400</v>
      </c>
      <c r="S172" s="3">
        <v>0</v>
      </c>
      <c r="T172" s="3">
        <v>0</v>
      </c>
      <c r="U172" s="3">
        <v>0</v>
      </c>
      <c r="V172" s="3">
        <v>2019</v>
      </c>
      <c r="W172" s="3">
        <v>910100</v>
      </c>
      <c r="X172" s="3">
        <v>3593900</v>
      </c>
      <c r="Y172" s="3">
        <v>2683800</v>
      </c>
      <c r="Z172" s="3">
        <v>1974300</v>
      </c>
      <c r="AA172" s="3">
        <v>1619600</v>
      </c>
      <c r="AB172" s="3">
        <v>82</v>
      </c>
    </row>
    <row r="173" spans="1:28" x14ac:dyDescent="0.35">
      <c r="A173">
        <v>2022</v>
      </c>
      <c r="B173" t="str">
        <f t="shared" si="15"/>
        <v>11</v>
      </c>
      <c r="C173" t="s">
        <v>98</v>
      </c>
      <c r="D173" t="s">
        <v>35</v>
      </c>
      <c r="E173" t="str">
        <f>"291"</f>
        <v>291</v>
      </c>
      <c r="F173" t="s">
        <v>36</v>
      </c>
      <c r="G173" t="str">
        <f>"003"</f>
        <v>003</v>
      </c>
      <c r="H173" t="str">
        <f>"6678"</f>
        <v>6678</v>
      </c>
      <c r="I173" s="3">
        <v>40982200</v>
      </c>
      <c r="J173" s="3">
        <v>100</v>
      </c>
      <c r="K173" s="3">
        <v>40982200</v>
      </c>
      <c r="L173" s="3">
        <v>0</v>
      </c>
      <c r="M173" s="3">
        <v>40982200</v>
      </c>
      <c r="N173" s="3">
        <v>0</v>
      </c>
      <c r="O173" s="3">
        <v>0</v>
      </c>
      <c r="P173" s="3">
        <v>0</v>
      </c>
      <c r="Q173" s="3">
        <v>0</v>
      </c>
      <c r="R173" s="3">
        <v>1891000</v>
      </c>
      <c r="S173" s="3">
        <v>0</v>
      </c>
      <c r="T173" s="3">
        <v>0</v>
      </c>
      <c r="U173" s="3">
        <v>0</v>
      </c>
      <c r="V173" s="3">
        <v>2005</v>
      </c>
      <c r="W173" s="3">
        <v>15355400</v>
      </c>
      <c r="X173" s="3">
        <v>42873200</v>
      </c>
      <c r="Y173" s="3">
        <v>27517800</v>
      </c>
      <c r="Z173" s="3">
        <v>33136900</v>
      </c>
      <c r="AA173" s="3">
        <v>9736300</v>
      </c>
      <c r="AB173" s="3">
        <v>29</v>
      </c>
    </row>
    <row r="174" spans="1:28" x14ac:dyDescent="0.35">
      <c r="A174">
        <v>2022</v>
      </c>
      <c r="B174" t="str">
        <f t="shared" ref="B174:B181" si="18">"12"</f>
        <v>12</v>
      </c>
      <c r="C174" t="s">
        <v>106</v>
      </c>
      <c r="D174" t="s">
        <v>33</v>
      </c>
      <c r="E174" t="str">
        <f>"116"</f>
        <v>116</v>
      </c>
      <c r="F174" t="s">
        <v>107</v>
      </c>
      <c r="G174" t="str">
        <f>"001"</f>
        <v>001</v>
      </c>
      <c r="H174" t="str">
        <f>"1421"</f>
        <v>1421</v>
      </c>
      <c r="I174" s="3">
        <v>462400</v>
      </c>
      <c r="J174" s="3">
        <v>76.42</v>
      </c>
      <c r="K174" s="3">
        <v>605100</v>
      </c>
      <c r="L174" s="3">
        <v>0</v>
      </c>
      <c r="M174" s="3">
        <v>605100</v>
      </c>
      <c r="N174" s="3">
        <v>0</v>
      </c>
      <c r="O174" s="3">
        <v>0</v>
      </c>
      <c r="P174" s="3">
        <v>0</v>
      </c>
      <c r="Q174" s="3">
        <v>0</v>
      </c>
      <c r="R174" s="3">
        <v>3800</v>
      </c>
      <c r="S174" s="3">
        <v>0</v>
      </c>
      <c r="T174" s="3">
        <v>0</v>
      </c>
      <c r="U174" s="3">
        <v>0</v>
      </c>
      <c r="V174" s="3">
        <v>2001</v>
      </c>
      <c r="W174" s="3">
        <v>161700</v>
      </c>
      <c r="X174" s="3">
        <v>608900</v>
      </c>
      <c r="Y174" s="3">
        <v>447200</v>
      </c>
      <c r="Z174" s="3">
        <v>511300</v>
      </c>
      <c r="AA174" s="3">
        <v>97600</v>
      </c>
      <c r="AB174" s="3">
        <v>19</v>
      </c>
    </row>
    <row r="175" spans="1:28" x14ac:dyDescent="0.35">
      <c r="A175">
        <v>2022</v>
      </c>
      <c r="B175" t="str">
        <f t="shared" si="18"/>
        <v>12</v>
      </c>
      <c r="C175" t="s">
        <v>106</v>
      </c>
      <c r="D175" t="s">
        <v>33</v>
      </c>
      <c r="E175" t="str">
        <f>"126"</f>
        <v>126</v>
      </c>
      <c r="F175" t="s">
        <v>108</v>
      </c>
      <c r="G175" t="str">
        <f>"001"</f>
        <v>001</v>
      </c>
      <c r="H175" t="str">
        <f>"1421"</f>
        <v>1421</v>
      </c>
      <c r="I175" s="3">
        <v>259800</v>
      </c>
      <c r="J175" s="3">
        <v>69.209999999999994</v>
      </c>
      <c r="K175" s="3">
        <v>375400</v>
      </c>
      <c r="L175" s="3">
        <v>0</v>
      </c>
      <c r="M175" s="3">
        <v>375400</v>
      </c>
      <c r="N175" s="3">
        <v>0</v>
      </c>
      <c r="O175" s="3">
        <v>0</v>
      </c>
      <c r="P175" s="3">
        <v>0</v>
      </c>
      <c r="Q175" s="3">
        <v>0</v>
      </c>
      <c r="R175" s="3">
        <v>-2300</v>
      </c>
      <c r="S175" s="3">
        <v>0</v>
      </c>
      <c r="T175" s="3">
        <v>0</v>
      </c>
      <c r="U175" s="3">
        <v>0</v>
      </c>
      <c r="V175" s="3">
        <v>2003</v>
      </c>
      <c r="W175" s="3">
        <v>52100</v>
      </c>
      <c r="X175" s="3">
        <v>373100</v>
      </c>
      <c r="Y175" s="3">
        <v>321000</v>
      </c>
      <c r="Z175" s="3">
        <v>369400</v>
      </c>
      <c r="AA175" s="3">
        <v>3700</v>
      </c>
      <c r="AB175" s="3">
        <v>1</v>
      </c>
    </row>
    <row r="176" spans="1:28" x14ac:dyDescent="0.35">
      <c r="A176">
        <v>2022</v>
      </c>
      <c r="B176" t="str">
        <f t="shared" si="18"/>
        <v>12</v>
      </c>
      <c r="C176" t="s">
        <v>106</v>
      </c>
      <c r="D176" t="s">
        <v>33</v>
      </c>
      <c r="E176" t="str">
        <f>"131"</f>
        <v>131</v>
      </c>
      <c r="F176" t="s">
        <v>109</v>
      </c>
      <c r="G176" t="str">
        <f>"001"</f>
        <v>001</v>
      </c>
      <c r="H176" t="str">
        <f>"2016"</f>
        <v>2016</v>
      </c>
      <c r="I176" s="3">
        <v>200000</v>
      </c>
      <c r="J176" s="3">
        <v>100</v>
      </c>
      <c r="K176" s="3">
        <v>200000</v>
      </c>
      <c r="L176" s="3">
        <v>0</v>
      </c>
      <c r="M176" s="3">
        <v>200000</v>
      </c>
      <c r="N176" s="3">
        <v>1939700</v>
      </c>
      <c r="O176" s="3">
        <v>1939700</v>
      </c>
      <c r="P176" s="3">
        <v>282600</v>
      </c>
      <c r="Q176" s="3">
        <v>282600</v>
      </c>
      <c r="R176" s="3">
        <v>-500</v>
      </c>
      <c r="S176" s="3">
        <v>0</v>
      </c>
      <c r="T176" s="3">
        <v>0</v>
      </c>
      <c r="U176" s="3">
        <v>144500</v>
      </c>
      <c r="V176" s="3">
        <v>2000</v>
      </c>
      <c r="W176" s="3">
        <v>7900</v>
      </c>
      <c r="X176" s="3">
        <v>2566300</v>
      </c>
      <c r="Y176" s="3">
        <v>2558400</v>
      </c>
      <c r="Z176" s="3">
        <v>2527800</v>
      </c>
      <c r="AA176" s="3">
        <v>38500</v>
      </c>
      <c r="AB176" s="3">
        <v>2</v>
      </c>
    </row>
    <row r="177" spans="1:28" x14ac:dyDescent="0.35">
      <c r="A177">
        <v>2022</v>
      </c>
      <c r="B177" t="str">
        <f t="shared" si="18"/>
        <v>12</v>
      </c>
      <c r="C177" t="s">
        <v>106</v>
      </c>
      <c r="D177" t="s">
        <v>33</v>
      </c>
      <c r="E177" t="str">
        <f>"131"</f>
        <v>131</v>
      </c>
      <c r="F177" t="s">
        <v>109</v>
      </c>
      <c r="G177" t="str">
        <f>"003"</f>
        <v>003</v>
      </c>
      <c r="H177" t="str">
        <f>"2016"</f>
        <v>2016</v>
      </c>
      <c r="I177" s="3">
        <v>22500</v>
      </c>
      <c r="J177" s="3">
        <v>100</v>
      </c>
      <c r="K177" s="3">
        <v>22500</v>
      </c>
      <c r="L177" s="3">
        <v>0</v>
      </c>
      <c r="M177" s="3">
        <v>22500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2018</v>
      </c>
      <c r="W177" s="3">
        <v>0</v>
      </c>
      <c r="X177" s="3">
        <v>22500</v>
      </c>
      <c r="Y177" s="3">
        <v>22500</v>
      </c>
      <c r="Z177" s="3">
        <v>22300</v>
      </c>
      <c r="AA177" s="3">
        <v>200</v>
      </c>
      <c r="AB177" s="3">
        <v>1</v>
      </c>
    </row>
    <row r="178" spans="1:28" x14ac:dyDescent="0.35">
      <c r="A178">
        <v>2022</v>
      </c>
      <c r="B178" t="str">
        <f t="shared" si="18"/>
        <v>12</v>
      </c>
      <c r="C178" t="s">
        <v>106</v>
      </c>
      <c r="D178" t="s">
        <v>33</v>
      </c>
      <c r="E178" t="str">
        <f>"131"</f>
        <v>131</v>
      </c>
      <c r="F178" t="s">
        <v>109</v>
      </c>
      <c r="G178" t="str">
        <f>"004"</f>
        <v>004</v>
      </c>
      <c r="H178" t="str">
        <f>"2016"</f>
        <v>2016</v>
      </c>
      <c r="I178" s="3">
        <v>1048800</v>
      </c>
      <c r="J178" s="3">
        <v>100</v>
      </c>
      <c r="K178" s="3">
        <v>1048800</v>
      </c>
      <c r="L178" s="3">
        <v>0</v>
      </c>
      <c r="M178" s="3">
        <v>1048800</v>
      </c>
      <c r="N178" s="3">
        <v>0</v>
      </c>
      <c r="O178" s="3">
        <v>0</v>
      </c>
      <c r="P178" s="3">
        <v>0</v>
      </c>
      <c r="Q178" s="3">
        <v>0</v>
      </c>
      <c r="R178" s="3">
        <v>-600</v>
      </c>
      <c r="S178" s="3">
        <v>0</v>
      </c>
      <c r="T178" s="3">
        <v>0</v>
      </c>
      <c r="U178" s="3">
        <v>0</v>
      </c>
      <c r="V178" s="3">
        <v>2018</v>
      </c>
      <c r="W178" s="3">
        <v>206800</v>
      </c>
      <c r="X178" s="3">
        <v>1048200</v>
      </c>
      <c r="Y178" s="3">
        <v>841400</v>
      </c>
      <c r="Z178" s="3">
        <v>222000</v>
      </c>
      <c r="AA178" s="3">
        <v>826200</v>
      </c>
      <c r="AB178" s="3">
        <v>372</v>
      </c>
    </row>
    <row r="179" spans="1:28" x14ac:dyDescent="0.35">
      <c r="A179">
        <v>2022</v>
      </c>
      <c r="B179" t="str">
        <f t="shared" si="18"/>
        <v>12</v>
      </c>
      <c r="C179" t="s">
        <v>106</v>
      </c>
      <c r="D179" t="s">
        <v>35</v>
      </c>
      <c r="E179" t="str">
        <f>"271"</f>
        <v>271</v>
      </c>
      <c r="F179" t="s">
        <v>110</v>
      </c>
      <c r="G179" t="str">
        <f>"001E"</f>
        <v>001E</v>
      </c>
      <c r="H179" t="str">
        <f>"4543"</f>
        <v>4543</v>
      </c>
      <c r="I179" s="3">
        <v>0</v>
      </c>
      <c r="J179" s="3">
        <v>82.91</v>
      </c>
      <c r="K179" s="3">
        <v>0</v>
      </c>
      <c r="L179" s="3">
        <v>0</v>
      </c>
      <c r="M179" s="3">
        <v>0</v>
      </c>
      <c r="N179" s="3">
        <v>520800</v>
      </c>
      <c r="O179" s="3">
        <v>520800</v>
      </c>
      <c r="P179" s="3">
        <v>38400</v>
      </c>
      <c r="Q179" s="3">
        <v>38400</v>
      </c>
      <c r="R179" s="3">
        <v>0</v>
      </c>
      <c r="S179" s="3">
        <v>0</v>
      </c>
      <c r="T179" s="3">
        <v>0</v>
      </c>
      <c r="U179" s="3">
        <v>0</v>
      </c>
      <c r="V179" s="3">
        <v>2007</v>
      </c>
      <c r="W179" s="3">
        <v>0</v>
      </c>
      <c r="X179" s="3">
        <v>559200</v>
      </c>
      <c r="Y179" s="3">
        <v>559200</v>
      </c>
      <c r="Z179" s="3">
        <v>517600</v>
      </c>
      <c r="AA179" s="3">
        <v>41600</v>
      </c>
      <c r="AB179" s="3">
        <v>8</v>
      </c>
    </row>
    <row r="180" spans="1:28" x14ac:dyDescent="0.35">
      <c r="A180">
        <v>2022</v>
      </c>
      <c r="B180" t="str">
        <f t="shared" si="18"/>
        <v>12</v>
      </c>
      <c r="C180" t="s">
        <v>106</v>
      </c>
      <c r="D180" t="s">
        <v>35</v>
      </c>
      <c r="E180" t="str">
        <f>"271"</f>
        <v>271</v>
      </c>
      <c r="F180" t="s">
        <v>110</v>
      </c>
      <c r="G180" t="str">
        <f>"008"</f>
        <v>008</v>
      </c>
      <c r="H180" t="str">
        <f>"4543"</f>
        <v>4543</v>
      </c>
      <c r="I180" s="3">
        <v>1694100</v>
      </c>
      <c r="J180" s="3">
        <v>82.91</v>
      </c>
      <c r="K180" s="3">
        <v>2043300</v>
      </c>
      <c r="L180" s="3">
        <v>0</v>
      </c>
      <c r="M180" s="3">
        <v>2043300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2021</v>
      </c>
      <c r="W180" s="3">
        <v>1873900</v>
      </c>
      <c r="X180" s="3">
        <v>2043300</v>
      </c>
      <c r="Y180" s="3">
        <v>169400</v>
      </c>
      <c r="Z180" s="3">
        <v>1873900</v>
      </c>
      <c r="AA180" s="3">
        <v>169400</v>
      </c>
      <c r="AB180" s="3">
        <v>9</v>
      </c>
    </row>
    <row r="181" spans="1:28" x14ac:dyDescent="0.35">
      <c r="A181">
        <v>2022</v>
      </c>
      <c r="B181" t="str">
        <f t="shared" si="18"/>
        <v>12</v>
      </c>
      <c r="C181" t="s">
        <v>106</v>
      </c>
      <c r="D181" t="s">
        <v>35</v>
      </c>
      <c r="E181" t="str">
        <f>"271"</f>
        <v>271</v>
      </c>
      <c r="F181" t="s">
        <v>110</v>
      </c>
      <c r="G181" t="str">
        <f>"009"</f>
        <v>009</v>
      </c>
      <c r="H181" t="str">
        <f>"4543"</f>
        <v>4543</v>
      </c>
      <c r="I181" s="3">
        <v>1579200</v>
      </c>
      <c r="J181" s="3">
        <v>82.91</v>
      </c>
      <c r="K181" s="3">
        <v>1904700</v>
      </c>
      <c r="L181" s="3">
        <v>0</v>
      </c>
      <c r="M181" s="3">
        <v>1904700</v>
      </c>
      <c r="N181" s="3">
        <v>3991500</v>
      </c>
      <c r="O181" s="3">
        <v>3991500</v>
      </c>
      <c r="P181" s="3">
        <v>521300</v>
      </c>
      <c r="Q181" s="3">
        <v>521300</v>
      </c>
      <c r="R181" s="3">
        <v>0</v>
      </c>
      <c r="S181" s="3">
        <v>0</v>
      </c>
      <c r="T181" s="3">
        <v>0</v>
      </c>
      <c r="U181" s="3">
        <v>0</v>
      </c>
      <c r="V181" s="3">
        <v>2021</v>
      </c>
      <c r="W181" s="3">
        <v>6175100</v>
      </c>
      <c r="X181" s="3">
        <v>6417500</v>
      </c>
      <c r="Y181" s="3">
        <v>242400</v>
      </c>
      <c r="Z181" s="3">
        <v>6175100</v>
      </c>
      <c r="AA181" s="3">
        <v>242400</v>
      </c>
      <c r="AB181" s="3">
        <v>4</v>
      </c>
    </row>
    <row r="182" spans="1:28" x14ac:dyDescent="0.35">
      <c r="A182">
        <v>2022</v>
      </c>
      <c r="B182" t="str">
        <f t="shared" ref="B182:B213" si="19">"13"</f>
        <v>13</v>
      </c>
      <c r="C182" t="s">
        <v>111</v>
      </c>
      <c r="D182" t="s">
        <v>31</v>
      </c>
      <c r="E182" t="str">
        <f>"032"</f>
        <v>032</v>
      </c>
      <c r="F182" t="s">
        <v>112</v>
      </c>
      <c r="G182" t="str">
        <f>"002O"</f>
        <v>002O</v>
      </c>
      <c r="H182" t="str">
        <f>"3269"</f>
        <v>3269</v>
      </c>
      <c r="I182" s="3">
        <v>63370700</v>
      </c>
      <c r="J182" s="3">
        <v>100</v>
      </c>
      <c r="K182" s="3">
        <v>63370700</v>
      </c>
      <c r="L182" s="3">
        <v>57704500</v>
      </c>
      <c r="M182" s="3">
        <v>57704500</v>
      </c>
      <c r="N182" s="3">
        <v>0</v>
      </c>
      <c r="O182" s="3">
        <v>0</v>
      </c>
      <c r="P182" s="3">
        <v>0</v>
      </c>
      <c r="Q182" s="3">
        <v>0</v>
      </c>
      <c r="R182" s="3">
        <v>-1156100</v>
      </c>
      <c r="S182" s="3">
        <v>0</v>
      </c>
      <c r="T182" s="3">
        <v>0</v>
      </c>
      <c r="U182" s="3">
        <v>0</v>
      </c>
      <c r="V182" s="3">
        <v>2006</v>
      </c>
      <c r="W182" s="3">
        <v>24846800</v>
      </c>
      <c r="X182" s="3">
        <v>56548400</v>
      </c>
      <c r="Y182" s="3">
        <v>31701600</v>
      </c>
      <c r="Z182" s="3">
        <v>71750300</v>
      </c>
      <c r="AA182" s="3">
        <v>-15201900</v>
      </c>
      <c r="AB182" s="3">
        <v>-21</v>
      </c>
    </row>
    <row r="183" spans="1:28" x14ac:dyDescent="0.35">
      <c r="A183">
        <v>2022</v>
      </c>
      <c r="B183" t="str">
        <f t="shared" si="19"/>
        <v>13</v>
      </c>
      <c r="C183" t="s">
        <v>111</v>
      </c>
      <c r="D183" t="s">
        <v>31</v>
      </c>
      <c r="E183" t="str">
        <f>"056"</f>
        <v>056</v>
      </c>
      <c r="F183" t="s">
        <v>113</v>
      </c>
      <c r="G183" t="str">
        <f>"001E"</f>
        <v>001E</v>
      </c>
      <c r="H183" t="str">
        <f>"3549"</f>
        <v>3549</v>
      </c>
      <c r="I183" s="3">
        <v>7435400</v>
      </c>
      <c r="J183" s="3">
        <v>71.41</v>
      </c>
      <c r="K183" s="3">
        <v>10412300</v>
      </c>
      <c r="L183" s="3">
        <v>0</v>
      </c>
      <c r="M183" s="3">
        <v>10412300</v>
      </c>
      <c r="N183" s="3">
        <v>0</v>
      </c>
      <c r="O183" s="3">
        <v>0</v>
      </c>
      <c r="P183" s="3">
        <v>0</v>
      </c>
      <c r="Q183" s="3">
        <v>0</v>
      </c>
      <c r="R183" s="3">
        <v>5700</v>
      </c>
      <c r="S183" s="3">
        <v>0</v>
      </c>
      <c r="T183" s="3">
        <v>0</v>
      </c>
      <c r="U183" s="3">
        <v>0</v>
      </c>
      <c r="V183" s="3">
        <v>2014</v>
      </c>
      <c r="W183" s="3">
        <v>408400</v>
      </c>
      <c r="X183" s="3">
        <v>10418000</v>
      </c>
      <c r="Y183" s="3">
        <v>10009600</v>
      </c>
      <c r="Z183" s="3">
        <v>9211800</v>
      </c>
      <c r="AA183" s="3">
        <v>1206200</v>
      </c>
      <c r="AB183" s="3">
        <v>13</v>
      </c>
    </row>
    <row r="184" spans="1:28" x14ac:dyDescent="0.35">
      <c r="A184">
        <v>2022</v>
      </c>
      <c r="B184" t="str">
        <f t="shared" si="19"/>
        <v>13</v>
      </c>
      <c r="C184" t="s">
        <v>111</v>
      </c>
      <c r="D184" t="s">
        <v>33</v>
      </c>
      <c r="E184" t="str">
        <f>"106"</f>
        <v>106</v>
      </c>
      <c r="F184" t="s">
        <v>114</v>
      </c>
      <c r="G184" t="str">
        <f>"003"</f>
        <v>003</v>
      </c>
      <c r="H184" t="str">
        <f>"0350"</f>
        <v>0350</v>
      </c>
      <c r="I184" s="3">
        <v>30982400</v>
      </c>
      <c r="J184" s="3">
        <v>80.53</v>
      </c>
      <c r="K184" s="3">
        <v>38473100</v>
      </c>
      <c r="L184" s="3">
        <v>0</v>
      </c>
      <c r="M184" s="3">
        <v>38473100</v>
      </c>
      <c r="N184" s="3">
        <v>849400</v>
      </c>
      <c r="O184" s="3">
        <v>849400</v>
      </c>
      <c r="P184" s="3">
        <v>242600</v>
      </c>
      <c r="Q184" s="3">
        <v>242600</v>
      </c>
      <c r="R184" s="3">
        <v>-50600</v>
      </c>
      <c r="S184" s="3">
        <v>0</v>
      </c>
      <c r="T184" s="3">
        <v>0</v>
      </c>
      <c r="U184" s="3">
        <v>0</v>
      </c>
      <c r="V184" s="3">
        <v>2009</v>
      </c>
      <c r="W184" s="3">
        <v>162400</v>
      </c>
      <c r="X184" s="3">
        <v>39514500</v>
      </c>
      <c r="Y184" s="3">
        <v>39352100</v>
      </c>
      <c r="Z184" s="3">
        <v>25517500</v>
      </c>
      <c r="AA184" s="3">
        <v>13997000</v>
      </c>
      <c r="AB184" s="3">
        <v>55</v>
      </c>
    </row>
    <row r="185" spans="1:28" x14ac:dyDescent="0.35">
      <c r="A185">
        <v>2022</v>
      </c>
      <c r="B185" t="str">
        <f t="shared" si="19"/>
        <v>13</v>
      </c>
      <c r="C185" t="s">
        <v>111</v>
      </c>
      <c r="D185" t="s">
        <v>33</v>
      </c>
      <c r="E185" t="str">
        <f>"106"</f>
        <v>106</v>
      </c>
      <c r="F185" t="s">
        <v>114</v>
      </c>
      <c r="G185" t="str">
        <f>"004"</f>
        <v>004</v>
      </c>
      <c r="H185" t="str">
        <f>"0350"</f>
        <v>0350</v>
      </c>
      <c r="I185" s="3">
        <v>1586200</v>
      </c>
      <c r="J185" s="3">
        <v>80.53</v>
      </c>
      <c r="K185" s="3">
        <v>1969700</v>
      </c>
      <c r="L185" s="3">
        <v>0</v>
      </c>
      <c r="M185" s="3">
        <v>1969700</v>
      </c>
      <c r="N185" s="3">
        <v>0</v>
      </c>
      <c r="O185" s="3">
        <v>0</v>
      </c>
      <c r="P185" s="3">
        <v>0</v>
      </c>
      <c r="Q185" s="3">
        <v>0</v>
      </c>
      <c r="R185" s="3">
        <v>-4000</v>
      </c>
      <c r="S185" s="3">
        <v>0</v>
      </c>
      <c r="T185" s="3">
        <v>0</v>
      </c>
      <c r="U185" s="3">
        <v>0</v>
      </c>
      <c r="V185" s="3">
        <v>2009</v>
      </c>
      <c r="W185" s="3">
        <v>2331600</v>
      </c>
      <c r="X185" s="3">
        <v>1965700</v>
      </c>
      <c r="Y185" s="3">
        <v>-365900</v>
      </c>
      <c r="Z185" s="3">
        <v>1740400</v>
      </c>
      <c r="AA185" s="3">
        <v>225300</v>
      </c>
      <c r="AB185" s="3">
        <v>13</v>
      </c>
    </row>
    <row r="186" spans="1:28" x14ac:dyDescent="0.35">
      <c r="A186">
        <v>2022</v>
      </c>
      <c r="B186" t="str">
        <f t="shared" si="19"/>
        <v>13</v>
      </c>
      <c r="C186" t="s">
        <v>111</v>
      </c>
      <c r="D186" t="s">
        <v>33</v>
      </c>
      <c r="E186" t="str">
        <f>"106"</f>
        <v>106</v>
      </c>
      <c r="F186" t="s">
        <v>114</v>
      </c>
      <c r="G186" t="str">
        <f>"005"</f>
        <v>005</v>
      </c>
      <c r="H186" t="str">
        <f>"0350"</f>
        <v>0350</v>
      </c>
      <c r="I186" s="3">
        <v>5840400</v>
      </c>
      <c r="J186" s="3">
        <v>80.53</v>
      </c>
      <c r="K186" s="3">
        <v>7252500</v>
      </c>
      <c r="L186" s="3">
        <v>0</v>
      </c>
      <c r="M186" s="3">
        <v>7252500</v>
      </c>
      <c r="N186" s="3">
        <v>174900</v>
      </c>
      <c r="O186" s="3">
        <v>174900</v>
      </c>
      <c r="P186" s="3">
        <v>600</v>
      </c>
      <c r="Q186" s="3">
        <v>600</v>
      </c>
      <c r="R186" s="3">
        <v>-15300</v>
      </c>
      <c r="S186" s="3">
        <v>0</v>
      </c>
      <c r="T186" s="3">
        <v>0</v>
      </c>
      <c r="U186" s="3">
        <v>0</v>
      </c>
      <c r="V186" s="3">
        <v>2009</v>
      </c>
      <c r="W186" s="3">
        <v>6990200</v>
      </c>
      <c r="X186" s="3">
        <v>7412700</v>
      </c>
      <c r="Y186" s="3">
        <v>422500</v>
      </c>
      <c r="Z186" s="3">
        <v>6402400</v>
      </c>
      <c r="AA186" s="3">
        <v>1010300</v>
      </c>
      <c r="AB186" s="3">
        <v>16</v>
      </c>
    </row>
    <row r="187" spans="1:28" x14ac:dyDescent="0.35">
      <c r="A187">
        <v>2022</v>
      </c>
      <c r="B187" t="str">
        <f t="shared" si="19"/>
        <v>13</v>
      </c>
      <c r="C187" t="s">
        <v>111</v>
      </c>
      <c r="D187" t="s">
        <v>33</v>
      </c>
      <c r="E187" t="str">
        <f>"107"</f>
        <v>107</v>
      </c>
      <c r="F187" t="s">
        <v>115</v>
      </c>
      <c r="G187" t="str">
        <f>"003"</f>
        <v>003</v>
      </c>
      <c r="H187" t="str">
        <f>"0469"</f>
        <v>0469</v>
      </c>
      <c r="I187" s="3">
        <v>4456700</v>
      </c>
      <c r="J187" s="3">
        <v>68.47</v>
      </c>
      <c r="K187" s="3">
        <v>6509000</v>
      </c>
      <c r="L187" s="3">
        <v>0</v>
      </c>
      <c r="M187" s="3">
        <v>6509000</v>
      </c>
      <c r="N187" s="3">
        <v>0</v>
      </c>
      <c r="O187" s="3">
        <v>0</v>
      </c>
      <c r="P187" s="3">
        <v>0</v>
      </c>
      <c r="Q187" s="3">
        <v>0</v>
      </c>
      <c r="R187" s="3">
        <v>-18500</v>
      </c>
      <c r="S187" s="3">
        <v>0</v>
      </c>
      <c r="T187" s="3">
        <v>0</v>
      </c>
      <c r="U187" s="3">
        <v>0</v>
      </c>
      <c r="V187" s="3">
        <v>2009</v>
      </c>
      <c r="W187" s="3">
        <v>3089300</v>
      </c>
      <c r="X187" s="3">
        <v>6490500</v>
      </c>
      <c r="Y187" s="3">
        <v>3401200</v>
      </c>
      <c r="Z187" s="3">
        <v>5789500</v>
      </c>
      <c r="AA187" s="3">
        <v>701000</v>
      </c>
      <c r="AB187" s="3">
        <v>12</v>
      </c>
    </row>
    <row r="188" spans="1:28" x14ac:dyDescent="0.35">
      <c r="A188">
        <v>2022</v>
      </c>
      <c r="B188" t="str">
        <f t="shared" si="19"/>
        <v>13</v>
      </c>
      <c r="C188" t="s">
        <v>111</v>
      </c>
      <c r="D188" t="s">
        <v>33</v>
      </c>
      <c r="E188" t="str">
        <f>"107"</f>
        <v>107</v>
      </c>
      <c r="F188" t="s">
        <v>115</v>
      </c>
      <c r="G188" t="str">
        <f>"005"</f>
        <v>005</v>
      </c>
      <c r="H188" t="str">
        <f>"0469"</f>
        <v>0469</v>
      </c>
      <c r="I188" s="3">
        <v>5472100</v>
      </c>
      <c r="J188" s="3">
        <v>68.47</v>
      </c>
      <c r="K188" s="3">
        <v>7992000</v>
      </c>
      <c r="L188" s="3">
        <v>0</v>
      </c>
      <c r="M188" s="3">
        <v>7992000</v>
      </c>
      <c r="N188" s="3">
        <v>0</v>
      </c>
      <c r="O188" s="3">
        <v>0</v>
      </c>
      <c r="P188" s="3">
        <v>0</v>
      </c>
      <c r="Q188" s="3">
        <v>0</v>
      </c>
      <c r="R188" s="3">
        <v>-22500</v>
      </c>
      <c r="S188" s="3">
        <v>0</v>
      </c>
      <c r="T188" s="3">
        <v>0</v>
      </c>
      <c r="U188" s="3">
        <v>0</v>
      </c>
      <c r="V188" s="3">
        <v>2018</v>
      </c>
      <c r="W188" s="3">
        <v>5748600</v>
      </c>
      <c r="X188" s="3">
        <v>7969500</v>
      </c>
      <c r="Y188" s="3">
        <v>2220900</v>
      </c>
      <c r="Z188" s="3">
        <v>7046500</v>
      </c>
      <c r="AA188" s="3">
        <v>923000</v>
      </c>
      <c r="AB188" s="3">
        <v>13</v>
      </c>
    </row>
    <row r="189" spans="1:28" x14ac:dyDescent="0.35">
      <c r="A189">
        <v>2022</v>
      </c>
      <c r="B189" t="str">
        <f t="shared" si="19"/>
        <v>13</v>
      </c>
      <c r="C189" t="s">
        <v>111</v>
      </c>
      <c r="D189" t="s">
        <v>33</v>
      </c>
      <c r="E189" t="str">
        <f>"109"</f>
        <v>109</v>
      </c>
      <c r="F189" t="s">
        <v>116</v>
      </c>
      <c r="G189" t="str">
        <f>"001"</f>
        <v>001</v>
      </c>
      <c r="H189" t="str">
        <f>"4144"</f>
        <v>4144</v>
      </c>
      <c r="I189" s="3">
        <v>1030200</v>
      </c>
      <c r="J189" s="3">
        <v>74.59</v>
      </c>
      <c r="K189" s="3">
        <v>1381200</v>
      </c>
      <c r="L189" s="3">
        <v>0</v>
      </c>
      <c r="M189" s="3">
        <v>1381200</v>
      </c>
      <c r="N189" s="3">
        <v>0</v>
      </c>
      <c r="O189" s="3">
        <v>0</v>
      </c>
      <c r="P189" s="3">
        <v>0</v>
      </c>
      <c r="Q189" s="3">
        <v>0</v>
      </c>
      <c r="R189" s="3">
        <v>-1800</v>
      </c>
      <c r="S189" s="3">
        <v>0</v>
      </c>
      <c r="T189" s="3">
        <v>0</v>
      </c>
      <c r="U189" s="3">
        <v>0</v>
      </c>
      <c r="V189" s="3">
        <v>2008</v>
      </c>
      <c r="W189" s="3">
        <v>833000</v>
      </c>
      <c r="X189" s="3">
        <v>1379400</v>
      </c>
      <c r="Y189" s="3">
        <v>546400</v>
      </c>
      <c r="Z189" s="3">
        <v>1265800</v>
      </c>
      <c r="AA189" s="3">
        <v>113600</v>
      </c>
      <c r="AB189" s="3">
        <v>9</v>
      </c>
    </row>
    <row r="190" spans="1:28" x14ac:dyDescent="0.35">
      <c r="A190">
        <v>2022</v>
      </c>
      <c r="B190" t="str">
        <f t="shared" si="19"/>
        <v>13</v>
      </c>
      <c r="C190" t="s">
        <v>111</v>
      </c>
      <c r="D190" t="s">
        <v>33</v>
      </c>
      <c r="E190" t="str">
        <f>"109"</f>
        <v>109</v>
      </c>
      <c r="F190" t="s">
        <v>116</v>
      </c>
      <c r="G190" t="str">
        <f>"002"</f>
        <v>002</v>
      </c>
      <c r="H190" t="str">
        <f>"4144"</f>
        <v>4144</v>
      </c>
      <c r="I190" s="3">
        <v>1829100</v>
      </c>
      <c r="J190" s="3">
        <v>74.59</v>
      </c>
      <c r="K190" s="3">
        <v>2452200</v>
      </c>
      <c r="L190" s="3">
        <v>0</v>
      </c>
      <c r="M190" s="3">
        <v>2452200</v>
      </c>
      <c r="N190" s="3">
        <v>359000</v>
      </c>
      <c r="O190" s="3">
        <v>359000</v>
      </c>
      <c r="P190" s="3">
        <v>100</v>
      </c>
      <c r="Q190" s="3">
        <v>100</v>
      </c>
      <c r="R190" s="3">
        <v>-3100</v>
      </c>
      <c r="S190" s="3">
        <v>0</v>
      </c>
      <c r="T190" s="3">
        <v>0</v>
      </c>
      <c r="U190" s="3">
        <v>0</v>
      </c>
      <c r="V190" s="3">
        <v>2013</v>
      </c>
      <c r="W190" s="3">
        <v>21100</v>
      </c>
      <c r="X190" s="3">
        <v>2808200</v>
      </c>
      <c r="Y190" s="3">
        <v>2787100</v>
      </c>
      <c r="Z190" s="3">
        <v>2460300</v>
      </c>
      <c r="AA190" s="3">
        <v>347900</v>
      </c>
      <c r="AB190" s="3">
        <v>14</v>
      </c>
    </row>
    <row r="191" spans="1:28" x14ac:dyDescent="0.35">
      <c r="A191">
        <v>2022</v>
      </c>
      <c r="B191" t="str">
        <f t="shared" si="19"/>
        <v>13</v>
      </c>
      <c r="C191" t="s">
        <v>111</v>
      </c>
      <c r="D191" t="s">
        <v>33</v>
      </c>
      <c r="E191" t="str">
        <f>"111"</f>
        <v>111</v>
      </c>
      <c r="F191" t="s">
        <v>117</v>
      </c>
      <c r="G191" t="str">
        <f>"004"</f>
        <v>004</v>
      </c>
      <c r="H191" t="str">
        <f>"0896"</f>
        <v>0896</v>
      </c>
      <c r="I191" s="3">
        <v>13756800</v>
      </c>
      <c r="J191" s="3">
        <v>100</v>
      </c>
      <c r="K191" s="3">
        <v>13756800</v>
      </c>
      <c r="L191" s="3">
        <v>0</v>
      </c>
      <c r="M191" s="3">
        <v>13756800</v>
      </c>
      <c r="N191" s="3">
        <v>0</v>
      </c>
      <c r="O191" s="3">
        <v>0</v>
      </c>
      <c r="P191" s="3">
        <v>0</v>
      </c>
      <c r="Q191" s="3">
        <v>0</v>
      </c>
      <c r="R191" s="3">
        <v>117500</v>
      </c>
      <c r="S191" s="3">
        <v>0</v>
      </c>
      <c r="T191" s="3">
        <v>0</v>
      </c>
      <c r="U191" s="3">
        <v>0</v>
      </c>
      <c r="V191" s="3">
        <v>2013</v>
      </c>
      <c r="W191" s="3">
        <v>10041000</v>
      </c>
      <c r="X191" s="3">
        <v>13874300</v>
      </c>
      <c r="Y191" s="3">
        <v>3833300</v>
      </c>
      <c r="Z191" s="3">
        <v>13921300</v>
      </c>
      <c r="AA191" s="3">
        <v>-47000</v>
      </c>
      <c r="AB191" s="3">
        <v>0</v>
      </c>
    </row>
    <row r="192" spans="1:28" x14ac:dyDescent="0.35">
      <c r="A192">
        <v>2022</v>
      </c>
      <c r="B192" t="str">
        <f t="shared" si="19"/>
        <v>13</v>
      </c>
      <c r="C192" t="s">
        <v>111</v>
      </c>
      <c r="D192" t="s">
        <v>33</v>
      </c>
      <c r="E192" t="str">
        <f>"111"</f>
        <v>111</v>
      </c>
      <c r="F192" t="s">
        <v>117</v>
      </c>
      <c r="G192" t="str">
        <f>"005"</f>
        <v>005</v>
      </c>
      <c r="H192" t="str">
        <f>"0896"</f>
        <v>0896</v>
      </c>
      <c r="I192" s="3">
        <v>5220100</v>
      </c>
      <c r="J192" s="3">
        <v>100</v>
      </c>
      <c r="K192" s="3">
        <v>5220100</v>
      </c>
      <c r="L192" s="3">
        <v>0</v>
      </c>
      <c r="M192" s="3">
        <v>5220100</v>
      </c>
      <c r="N192" s="3">
        <v>1969900</v>
      </c>
      <c r="O192" s="3">
        <v>1969900</v>
      </c>
      <c r="P192" s="3">
        <v>36600</v>
      </c>
      <c r="Q192" s="3">
        <v>36600</v>
      </c>
      <c r="R192" s="3">
        <v>943900</v>
      </c>
      <c r="S192" s="3">
        <v>0</v>
      </c>
      <c r="T192" s="3">
        <v>0</v>
      </c>
      <c r="U192" s="3">
        <v>0</v>
      </c>
      <c r="V192" s="3">
        <v>2020</v>
      </c>
      <c r="W192" s="3">
        <v>3007200</v>
      </c>
      <c r="X192" s="3">
        <v>8170500</v>
      </c>
      <c r="Y192" s="3">
        <v>5163300</v>
      </c>
      <c r="Z192" s="3">
        <v>3236400</v>
      </c>
      <c r="AA192" s="3">
        <v>4934100</v>
      </c>
      <c r="AB192" s="3">
        <v>152</v>
      </c>
    </row>
    <row r="193" spans="1:28" x14ac:dyDescent="0.35">
      <c r="A193">
        <v>2022</v>
      </c>
      <c r="B193" t="str">
        <f t="shared" si="19"/>
        <v>13</v>
      </c>
      <c r="C193" t="s">
        <v>111</v>
      </c>
      <c r="D193" t="s">
        <v>33</v>
      </c>
      <c r="E193" t="str">
        <f t="shared" ref="E193:E199" si="20">"112"</f>
        <v>112</v>
      </c>
      <c r="F193" t="s">
        <v>118</v>
      </c>
      <c r="G193" t="str">
        <f>"005"</f>
        <v>005</v>
      </c>
      <c r="H193" t="str">
        <f>"3675"</f>
        <v>3675</v>
      </c>
      <c r="I193" s="3">
        <v>147389100</v>
      </c>
      <c r="J193" s="3">
        <v>92.36</v>
      </c>
      <c r="K193" s="3">
        <v>159581100</v>
      </c>
      <c r="L193" s="3">
        <v>0</v>
      </c>
      <c r="M193" s="3">
        <v>159581100</v>
      </c>
      <c r="N193" s="3">
        <v>0</v>
      </c>
      <c r="O193" s="3">
        <v>0</v>
      </c>
      <c r="P193" s="3">
        <v>0</v>
      </c>
      <c r="Q193" s="3">
        <v>0</v>
      </c>
      <c r="R193" s="3">
        <v>-351800</v>
      </c>
      <c r="S193" s="3">
        <v>0</v>
      </c>
      <c r="T193" s="3">
        <v>0</v>
      </c>
      <c r="U193" s="3">
        <v>0</v>
      </c>
      <c r="V193" s="3">
        <v>2003</v>
      </c>
      <c r="W193" s="3">
        <v>1358400</v>
      </c>
      <c r="X193" s="3">
        <v>159229300</v>
      </c>
      <c r="Y193" s="3">
        <v>157870900</v>
      </c>
      <c r="Z193" s="3">
        <v>110193800</v>
      </c>
      <c r="AA193" s="3">
        <v>49035500</v>
      </c>
      <c r="AB193" s="3">
        <v>44</v>
      </c>
    </row>
    <row r="194" spans="1:28" x14ac:dyDescent="0.35">
      <c r="A194">
        <v>2022</v>
      </c>
      <c r="B194" t="str">
        <f t="shared" si="19"/>
        <v>13</v>
      </c>
      <c r="C194" t="s">
        <v>111</v>
      </c>
      <c r="D194" t="s">
        <v>33</v>
      </c>
      <c r="E194" t="str">
        <f t="shared" si="20"/>
        <v>112</v>
      </c>
      <c r="F194" t="s">
        <v>118</v>
      </c>
      <c r="G194" t="str">
        <f>"005"</f>
        <v>005</v>
      </c>
      <c r="H194" t="str">
        <f>"5656"</f>
        <v>5656</v>
      </c>
      <c r="I194" s="3">
        <v>3515000</v>
      </c>
      <c r="J194" s="3">
        <v>92.36</v>
      </c>
      <c r="K194" s="3">
        <v>3805800</v>
      </c>
      <c r="L194" s="3">
        <v>0</v>
      </c>
      <c r="M194" s="3">
        <v>3805800</v>
      </c>
      <c r="N194" s="3">
        <v>0</v>
      </c>
      <c r="O194" s="3">
        <v>0</v>
      </c>
      <c r="P194" s="3">
        <v>0</v>
      </c>
      <c r="Q194" s="3">
        <v>0</v>
      </c>
      <c r="R194" s="3">
        <v>-11500</v>
      </c>
      <c r="S194" s="3">
        <v>0</v>
      </c>
      <c r="T194" s="3">
        <v>0</v>
      </c>
      <c r="U194" s="3">
        <v>0</v>
      </c>
      <c r="V194" s="3">
        <v>2003</v>
      </c>
      <c r="W194" s="3">
        <v>1537700</v>
      </c>
      <c r="X194" s="3">
        <v>3794300</v>
      </c>
      <c r="Y194" s="3">
        <v>2256600</v>
      </c>
      <c r="Z194" s="3">
        <v>3603200</v>
      </c>
      <c r="AA194" s="3">
        <v>191100</v>
      </c>
      <c r="AB194" s="3">
        <v>5</v>
      </c>
    </row>
    <row r="195" spans="1:28" x14ac:dyDescent="0.35">
      <c r="A195">
        <v>2022</v>
      </c>
      <c r="B195" t="str">
        <f t="shared" si="19"/>
        <v>13</v>
      </c>
      <c r="C195" t="s">
        <v>111</v>
      </c>
      <c r="D195" t="s">
        <v>33</v>
      </c>
      <c r="E195" t="str">
        <f t="shared" si="20"/>
        <v>112</v>
      </c>
      <c r="F195" t="s">
        <v>118</v>
      </c>
      <c r="G195" t="str">
        <f>"006"</f>
        <v>006</v>
      </c>
      <c r="H195" t="str">
        <f>"3675"</f>
        <v>3675</v>
      </c>
      <c r="I195" s="3">
        <v>1234900</v>
      </c>
      <c r="J195" s="3">
        <v>92.36</v>
      </c>
      <c r="K195" s="3">
        <v>1337100</v>
      </c>
      <c r="L195" s="3">
        <v>0</v>
      </c>
      <c r="M195" s="3">
        <v>1337100</v>
      </c>
      <c r="N195" s="3">
        <v>0</v>
      </c>
      <c r="O195" s="3">
        <v>0</v>
      </c>
      <c r="P195" s="3">
        <v>0</v>
      </c>
      <c r="Q195" s="3">
        <v>0</v>
      </c>
      <c r="R195" s="3">
        <v>-4000</v>
      </c>
      <c r="S195" s="3">
        <v>0</v>
      </c>
      <c r="T195" s="3">
        <v>0</v>
      </c>
      <c r="U195" s="3">
        <v>7448400</v>
      </c>
      <c r="V195" s="3">
        <v>2005</v>
      </c>
      <c r="W195" s="3">
        <v>6068800</v>
      </c>
      <c r="X195" s="3">
        <v>8781500</v>
      </c>
      <c r="Y195" s="3">
        <v>2712700</v>
      </c>
      <c r="Z195" s="3">
        <v>8717300</v>
      </c>
      <c r="AA195" s="3">
        <v>64200</v>
      </c>
      <c r="AB195" s="3">
        <v>1</v>
      </c>
    </row>
    <row r="196" spans="1:28" x14ac:dyDescent="0.35">
      <c r="A196">
        <v>2022</v>
      </c>
      <c r="B196" t="str">
        <f t="shared" si="19"/>
        <v>13</v>
      </c>
      <c r="C196" t="s">
        <v>111</v>
      </c>
      <c r="D196" t="s">
        <v>33</v>
      </c>
      <c r="E196" t="str">
        <f t="shared" si="20"/>
        <v>112</v>
      </c>
      <c r="F196" t="s">
        <v>118</v>
      </c>
      <c r="G196" t="str">
        <f>"007"</f>
        <v>007</v>
      </c>
      <c r="H196" t="str">
        <f>"3675"</f>
        <v>3675</v>
      </c>
      <c r="I196" s="3">
        <v>41283100</v>
      </c>
      <c r="J196" s="3">
        <v>92.36</v>
      </c>
      <c r="K196" s="3">
        <v>44698000</v>
      </c>
      <c r="L196" s="3">
        <v>0</v>
      </c>
      <c r="M196" s="3">
        <v>44698000</v>
      </c>
      <c r="N196" s="3">
        <v>2682400</v>
      </c>
      <c r="O196" s="3">
        <v>2682400</v>
      </c>
      <c r="P196" s="3">
        <v>616400</v>
      </c>
      <c r="Q196" s="3">
        <v>616400</v>
      </c>
      <c r="R196" s="3">
        <v>-134100</v>
      </c>
      <c r="S196" s="3">
        <v>0</v>
      </c>
      <c r="T196" s="3">
        <v>0</v>
      </c>
      <c r="U196" s="3">
        <v>0</v>
      </c>
      <c r="V196" s="3">
        <v>2005</v>
      </c>
      <c r="W196" s="3">
        <v>14419000</v>
      </c>
      <c r="X196" s="3">
        <v>47862700</v>
      </c>
      <c r="Y196" s="3">
        <v>33443700</v>
      </c>
      <c r="Z196" s="3">
        <v>44334900</v>
      </c>
      <c r="AA196" s="3">
        <v>3527800</v>
      </c>
      <c r="AB196" s="3">
        <v>8</v>
      </c>
    </row>
    <row r="197" spans="1:28" x14ac:dyDescent="0.35">
      <c r="A197">
        <v>2022</v>
      </c>
      <c r="B197" t="str">
        <f t="shared" si="19"/>
        <v>13</v>
      </c>
      <c r="C197" t="s">
        <v>111</v>
      </c>
      <c r="D197" t="s">
        <v>33</v>
      </c>
      <c r="E197" t="str">
        <f t="shared" si="20"/>
        <v>112</v>
      </c>
      <c r="F197" t="s">
        <v>118</v>
      </c>
      <c r="G197" t="str">
        <f>"008"</f>
        <v>008</v>
      </c>
      <c r="H197" t="str">
        <f>"3675"</f>
        <v>3675</v>
      </c>
      <c r="I197" s="3">
        <v>2264100</v>
      </c>
      <c r="J197" s="3">
        <v>92.36</v>
      </c>
      <c r="K197" s="3">
        <v>2451400</v>
      </c>
      <c r="L197" s="3">
        <v>0</v>
      </c>
      <c r="M197" s="3">
        <v>2451400</v>
      </c>
      <c r="N197" s="3">
        <v>0</v>
      </c>
      <c r="O197" s="3">
        <v>0</v>
      </c>
      <c r="P197" s="3">
        <v>0</v>
      </c>
      <c r="Q197" s="3">
        <v>0</v>
      </c>
      <c r="R197" s="3">
        <v>-8100</v>
      </c>
      <c r="S197" s="3">
        <v>0</v>
      </c>
      <c r="T197" s="3">
        <v>0</v>
      </c>
      <c r="U197" s="3">
        <v>0</v>
      </c>
      <c r="V197" s="3">
        <v>2018</v>
      </c>
      <c r="W197" s="3">
        <v>2611600</v>
      </c>
      <c r="X197" s="3">
        <v>2443300</v>
      </c>
      <c r="Y197" s="3">
        <v>-168300</v>
      </c>
      <c r="Z197" s="3">
        <v>2546500</v>
      </c>
      <c r="AA197" s="3">
        <v>-103200</v>
      </c>
      <c r="AB197" s="3">
        <v>-4</v>
      </c>
    </row>
    <row r="198" spans="1:28" x14ac:dyDescent="0.35">
      <c r="A198">
        <v>2022</v>
      </c>
      <c r="B198" t="str">
        <f t="shared" si="19"/>
        <v>13</v>
      </c>
      <c r="C198" t="s">
        <v>111</v>
      </c>
      <c r="D198" t="s">
        <v>33</v>
      </c>
      <c r="E198" t="str">
        <f t="shared" si="20"/>
        <v>112</v>
      </c>
      <c r="F198" t="s">
        <v>118</v>
      </c>
      <c r="G198" t="str">
        <f>"009"</f>
        <v>009</v>
      </c>
      <c r="H198" t="str">
        <f>"3675"</f>
        <v>3675</v>
      </c>
      <c r="I198" s="3">
        <v>10518600</v>
      </c>
      <c r="J198" s="3">
        <v>92.36</v>
      </c>
      <c r="K198" s="3">
        <v>11388700</v>
      </c>
      <c r="L198" s="3">
        <v>0</v>
      </c>
      <c r="M198" s="3">
        <v>11388700</v>
      </c>
      <c r="N198" s="3">
        <v>0</v>
      </c>
      <c r="O198" s="3">
        <v>0</v>
      </c>
      <c r="P198" s="3">
        <v>0</v>
      </c>
      <c r="Q198" s="3">
        <v>0</v>
      </c>
      <c r="R198" s="3">
        <v>-30300</v>
      </c>
      <c r="S198" s="3">
        <v>0</v>
      </c>
      <c r="T198" s="3">
        <v>0</v>
      </c>
      <c r="U198" s="3">
        <v>0</v>
      </c>
      <c r="V198" s="3">
        <v>2018</v>
      </c>
      <c r="W198" s="3">
        <v>9893500</v>
      </c>
      <c r="X198" s="3">
        <v>11358400</v>
      </c>
      <c r="Y198" s="3">
        <v>1464900</v>
      </c>
      <c r="Z198" s="3">
        <v>8416700</v>
      </c>
      <c r="AA198" s="3">
        <v>2941700</v>
      </c>
      <c r="AB198" s="3">
        <v>35</v>
      </c>
    </row>
    <row r="199" spans="1:28" x14ac:dyDescent="0.35">
      <c r="A199">
        <v>2022</v>
      </c>
      <c r="B199" t="str">
        <f t="shared" si="19"/>
        <v>13</v>
      </c>
      <c r="C199" t="s">
        <v>111</v>
      </c>
      <c r="D199" t="s">
        <v>33</v>
      </c>
      <c r="E199" t="str">
        <f t="shared" si="20"/>
        <v>112</v>
      </c>
      <c r="F199" t="s">
        <v>118</v>
      </c>
      <c r="G199" t="str">
        <f>"010"</f>
        <v>010</v>
      </c>
      <c r="H199" t="str">
        <f>"5656"</f>
        <v>5656</v>
      </c>
      <c r="I199" s="3">
        <v>3864300</v>
      </c>
      <c r="J199" s="3">
        <v>92.36</v>
      </c>
      <c r="K199" s="3">
        <v>4184000</v>
      </c>
      <c r="L199" s="3">
        <v>0</v>
      </c>
      <c r="M199" s="3">
        <v>4184000</v>
      </c>
      <c r="N199" s="3">
        <v>0</v>
      </c>
      <c r="O199" s="3">
        <v>0</v>
      </c>
      <c r="P199" s="3">
        <v>0</v>
      </c>
      <c r="Q199" s="3">
        <v>0</v>
      </c>
      <c r="R199" s="3">
        <v>-12600</v>
      </c>
      <c r="S199" s="3">
        <v>0</v>
      </c>
      <c r="T199" s="3">
        <v>0</v>
      </c>
      <c r="U199" s="3">
        <v>0</v>
      </c>
      <c r="V199" s="3">
        <v>2018</v>
      </c>
      <c r="W199" s="3">
        <v>1241600</v>
      </c>
      <c r="X199" s="3">
        <v>4171400</v>
      </c>
      <c r="Y199" s="3">
        <v>2929800</v>
      </c>
      <c r="Z199" s="3">
        <v>5435800</v>
      </c>
      <c r="AA199" s="3">
        <v>-1264400</v>
      </c>
      <c r="AB199" s="3">
        <v>-23</v>
      </c>
    </row>
    <row r="200" spans="1:28" x14ac:dyDescent="0.35">
      <c r="A200">
        <v>2022</v>
      </c>
      <c r="B200" t="str">
        <f t="shared" si="19"/>
        <v>13</v>
      </c>
      <c r="C200" t="s">
        <v>111</v>
      </c>
      <c r="D200" t="s">
        <v>33</v>
      </c>
      <c r="E200" t="str">
        <f>"113"</f>
        <v>113</v>
      </c>
      <c r="F200" t="s">
        <v>119</v>
      </c>
      <c r="G200" t="str">
        <f>"003"</f>
        <v>003</v>
      </c>
      <c r="H200" t="str">
        <f>"3549"</f>
        <v>3549</v>
      </c>
      <c r="I200" s="3">
        <v>56506800</v>
      </c>
      <c r="J200" s="3">
        <v>84.37</v>
      </c>
      <c r="K200" s="3">
        <v>66975000</v>
      </c>
      <c r="L200" s="3">
        <v>0</v>
      </c>
      <c r="M200" s="3">
        <v>66975000</v>
      </c>
      <c r="N200" s="3">
        <v>0</v>
      </c>
      <c r="O200" s="3">
        <v>0</v>
      </c>
      <c r="P200" s="3">
        <v>8700</v>
      </c>
      <c r="Q200" s="3">
        <v>8700</v>
      </c>
      <c r="R200" s="3">
        <v>25000</v>
      </c>
      <c r="S200" s="3">
        <v>0</v>
      </c>
      <c r="T200" s="3">
        <v>0</v>
      </c>
      <c r="U200" s="3">
        <v>0</v>
      </c>
      <c r="V200" s="3">
        <v>2008</v>
      </c>
      <c r="W200" s="3">
        <v>28128600</v>
      </c>
      <c r="X200" s="3">
        <v>67008700</v>
      </c>
      <c r="Y200" s="3">
        <v>38880100</v>
      </c>
      <c r="Z200" s="3">
        <v>59264500</v>
      </c>
      <c r="AA200" s="3">
        <v>7744200</v>
      </c>
      <c r="AB200" s="3">
        <v>13</v>
      </c>
    </row>
    <row r="201" spans="1:28" x14ac:dyDescent="0.35">
      <c r="A201">
        <v>2022</v>
      </c>
      <c r="B201" t="str">
        <f t="shared" si="19"/>
        <v>13</v>
      </c>
      <c r="C201" t="s">
        <v>111</v>
      </c>
      <c r="D201" t="s">
        <v>33</v>
      </c>
      <c r="E201" t="str">
        <f>"116"</f>
        <v>116</v>
      </c>
      <c r="F201" t="s">
        <v>111</v>
      </c>
      <c r="G201" t="str">
        <f>"002"</f>
        <v>002</v>
      </c>
      <c r="H201" t="str">
        <f>"3150"</f>
        <v>3150</v>
      </c>
      <c r="I201" s="3">
        <v>3942800</v>
      </c>
      <c r="J201" s="3">
        <v>100</v>
      </c>
      <c r="K201" s="3">
        <v>3942800</v>
      </c>
      <c r="L201" s="3">
        <v>0</v>
      </c>
      <c r="M201" s="3">
        <v>3942800</v>
      </c>
      <c r="N201" s="3">
        <v>1727200</v>
      </c>
      <c r="O201" s="3">
        <v>1727200</v>
      </c>
      <c r="P201" s="3">
        <v>0</v>
      </c>
      <c r="Q201" s="3">
        <v>0</v>
      </c>
      <c r="R201" s="3">
        <v>-600</v>
      </c>
      <c r="S201" s="3">
        <v>0</v>
      </c>
      <c r="T201" s="3">
        <v>0</v>
      </c>
      <c r="U201" s="3">
        <v>0</v>
      </c>
      <c r="V201" s="3">
        <v>2007</v>
      </c>
      <c r="W201" s="3">
        <v>4426100</v>
      </c>
      <c r="X201" s="3">
        <v>5669400</v>
      </c>
      <c r="Y201" s="3">
        <v>1243300</v>
      </c>
      <c r="Z201" s="3">
        <v>6021600</v>
      </c>
      <c r="AA201" s="3">
        <v>-352200</v>
      </c>
      <c r="AB201" s="3">
        <v>-6</v>
      </c>
    </row>
    <row r="202" spans="1:28" x14ac:dyDescent="0.35">
      <c r="A202">
        <v>2022</v>
      </c>
      <c r="B202" t="str">
        <f t="shared" si="19"/>
        <v>13</v>
      </c>
      <c r="C202" t="s">
        <v>111</v>
      </c>
      <c r="D202" t="s">
        <v>33</v>
      </c>
      <c r="E202" t="str">
        <f>"117"</f>
        <v>117</v>
      </c>
      <c r="F202" t="s">
        <v>120</v>
      </c>
      <c r="G202" t="str">
        <f>"003"</f>
        <v>003</v>
      </c>
      <c r="H202" t="str">
        <f>"1309"</f>
        <v>1309</v>
      </c>
      <c r="I202" s="3">
        <v>34053100</v>
      </c>
      <c r="J202" s="3">
        <v>82.85</v>
      </c>
      <c r="K202" s="3">
        <v>41102100</v>
      </c>
      <c r="L202" s="3">
        <v>0</v>
      </c>
      <c r="M202" s="3">
        <v>41102100</v>
      </c>
      <c r="N202" s="3">
        <v>605600</v>
      </c>
      <c r="O202" s="3">
        <v>605600</v>
      </c>
      <c r="P202" s="3">
        <v>47200</v>
      </c>
      <c r="Q202" s="3">
        <v>47200</v>
      </c>
      <c r="R202" s="3">
        <v>-19600</v>
      </c>
      <c r="S202" s="3">
        <v>0</v>
      </c>
      <c r="T202" s="3">
        <v>0</v>
      </c>
      <c r="U202" s="3">
        <v>1065700</v>
      </c>
      <c r="V202" s="3">
        <v>2005</v>
      </c>
      <c r="W202" s="3">
        <v>9970400</v>
      </c>
      <c r="X202" s="3">
        <v>42801000</v>
      </c>
      <c r="Y202" s="3">
        <v>32830600</v>
      </c>
      <c r="Z202" s="3">
        <v>37389900</v>
      </c>
      <c r="AA202" s="3">
        <v>5411100</v>
      </c>
      <c r="AB202" s="3">
        <v>14</v>
      </c>
    </row>
    <row r="203" spans="1:28" x14ac:dyDescent="0.35">
      <c r="A203">
        <v>2022</v>
      </c>
      <c r="B203" t="str">
        <f t="shared" si="19"/>
        <v>13</v>
      </c>
      <c r="C203" t="s">
        <v>111</v>
      </c>
      <c r="D203" t="s">
        <v>33</v>
      </c>
      <c r="E203" t="str">
        <f>"117"</f>
        <v>117</v>
      </c>
      <c r="F203" t="s">
        <v>120</v>
      </c>
      <c r="G203" t="str">
        <f>"005"</f>
        <v>005</v>
      </c>
      <c r="H203" t="str">
        <f>"1309"</f>
        <v>1309</v>
      </c>
      <c r="I203" s="3">
        <v>285900</v>
      </c>
      <c r="J203" s="3">
        <v>82.85</v>
      </c>
      <c r="K203" s="3">
        <v>345100</v>
      </c>
      <c r="L203" s="3">
        <v>0</v>
      </c>
      <c r="M203" s="3">
        <v>345100</v>
      </c>
      <c r="N203" s="3">
        <v>0</v>
      </c>
      <c r="O203" s="3">
        <v>0</v>
      </c>
      <c r="P203" s="3">
        <v>0</v>
      </c>
      <c r="Q203" s="3">
        <v>0</v>
      </c>
      <c r="R203" s="3">
        <v>-200</v>
      </c>
      <c r="S203" s="3">
        <v>0</v>
      </c>
      <c r="T203" s="3">
        <v>0</v>
      </c>
      <c r="U203" s="3">
        <v>0</v>
      </c>
      <c r="V203" s="3">
        <v>2008</v>
      </c>
      <c r="W203" s="3">
        <v>11700</v>
      </c>
      <c r="X203" s="3">
        <v>344900</v>
      </c>
      <c r="Y203" s="3">
        <v>333200</v>
      </c>
      <c r="Z203" s="3">
        <v>313300</v>
      </c>
      <c r="AA203" s="3">
        <v>31600</v>
      </c>
      <c r="AB203" s="3">
        <v>10</v>
      </c>
    </row>
    <row r="204" spans="1:28" x14ac:dyDescent="0.35">
      <c r="A204">
        <v>2022</v>
      </c>
      <c r="B204" t="str">
        <f t="shared" si="19"/>
        <v>13</v>
      </c>
      <c r="C204" t="s">
        <v>111</v>
      </c>
      <c r="D204" t="s">
        <v>33</v>
      </c>
      <c r="E204" t="str">
        <f>"117"</f>
        <v>117</v>
      </c>
      <c r="F204" t="s">
        <v>120</v>
      </c>
      <c r="G204" t="str">
        <f>"006"</f>
        <v>006</v>
      </c>
      <c r="H204" t="str">
        <f>"1309"</f>
        <v>1309</v>
      </c>
      <c r="I204" s="3">
        <v>1585400</v>
      </c>
      <c r="J204" s="3">
        <v>82.85</v>
      </c>
      <c r="K204" s="3">
        <v>1913600</v>
      </c>
      <c r="L204" s="3">
        <v>0</v>
      </c>
      <c r="M204" s="3">
        <v>1913600</v>
      </c>
      <c r="N204" s="3">
        <v>0</v>
      </c>
      <c r="O204" s="3">
        <v>0</v>
      </c>
      <c r="P204" s="3">
        <v>0</v>
      </c>
      <c r="Q204" s="3">
        <v>0</v>
      </c>
      <c r="R204" s="3">
        <v>-1000</v>
      </c>
      <c r="S204" s="3">
        <v>0</v>
      </c>
      <c r="T204" s="3">
        <v>0</v>
      </c>
      <c r="U204" s="3">
        <v>0</v>
      </c>
      <c r="V204" s="3">
        <v>2019</v>
      </c>
      <c r="W204" s="3">
        <v>1065700</v>
      </c>
      <c r="X204" s="3">
        <v>1912600</v>
      </c>
      <c r="Y204" s="3">
        <v>846900</v>
      </c>
      <c r="Z204" s="3">
        <v>1751100</v>
      </c>
      <c r="AA204" s="3">
        <v>161500</v>
      </c>
      <c r="AB204" s="3">
        <v>9</v>
      </c>
    </row>
    <row r="205" spans="1:28" x14ac:dyDescent="0.35">
      <c r="A205">
        <v>2022</v>
      </c>
      <c r="B205" t="str">
        <f t="shared" si="19"/>
        <v>13</v>
      </c>
      <c r="C205" t="s">
        <v>111</v>
      </c>
      <c r="D205" t="s">
        <v>33</v>
      </c>
      <c r="E205" t="str">
        <f>"117"</f>
        <v>117</v>
      </c>
      <c r="F205" t="s">
        <v>120</v>
      </c>
      <c r="G205" t="str">
        <f>"007"</f>
        <v>007</v>
      </c>
      <c r="H205" t="str">
        <f>"1309"</f>
        <v>1309</v>
      </c>
      <c r="I205" s="3">
        <v>0</v>
      </c>
      <c r="J205" s="3">
        <v>82.85</v>
      </c>
      <c r="K205" s="3">
        <v>0</v>
      </c>
      <c r="L205" s="3">
        <v>2798400</v>
      </c>
      <c r="M205" s="3">
        <v>2798400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2021</v>
      </c>
      <c r="W205" s="3">
        <v>2318500</v>
      </c>
      <c r="X205" s="3">
        <v>2798400</v>
      </c>
      <c r="Y205" s="3">
        <v>479900</v>
      </c>
      <c r="Z205" s="3">
        <v>2318500</v>
      </c>
      <c r="AA205" s="3">
        <v>479900</v>
      </c>
      <c r="AB205" s="3">
        <v>21</v>
      </c>
    </row>
    <row r="206" spans="1:28" x14ac:dyDescent="0.35">
      <c r="A206">
        <v>2022</v>
      </c>
      <c r="B206" t="str">
        <f t="shared" si="19"/>
        <v>13</v>
      </c>
      <c r="C206" t="s">
        <v>111</v>
      </c>
      <c r="D206" t="s">
        <v>33</v>
      </c>
      <c r="E206" t="str">
        <f t="shared" ref="E206:E213" si="21">"118"</f>
        <v>118</v>
      </c>
      <c r="F206" t="s">
        <v>121</v>
      </c>
      <c r="G206" t="str">
        <f>"002"</f>
        <v>002</v>
      </c>
      <c r="H206" t="str">
        <f t="shared" ref="H206:H213" si="22">"1316"</f>
        <v>1316</v>
      </c>
      <c r="I206" s="3">
        <v>70795000</v>
      </c>
      <c r="J206" s="3">
        <v>100</v>
      </c>
      <c r="K206" s="3">
        <v>70795000</v>
      </c>
      <c r="L206" s="3">
        <v>0</v>
      </c>
      <c r="M206" s="3">
        <v>70795000</v>
      </c>
      <c r="N206" s="3">
        <v>0</v>
      </c>
      <c r="O206" s="3">
        <v>0</v>
      </c>
      <c r="P206" s="3">
        <v>0</v>
      </c>
      <c r="Q206" s="3">
        <v>0</v>
      </c>
      <c r="R206" s="3">
        <v>3052200</v>
      </c>
      <c r="S206" s="3">
        <v>0</v>
      </c>
      <c r="T206" s="3">
        <v>0</v>
      </c>
      <c r="U206" s="3">
        <v>0</v>
      </c>
      <c r="V206" s="3">
        <v>2009</v>
      </c>
      <c r="W206" s="3">
        <v>27900</v>
      </c>
      <c r="X206" s="3">
        <v>73847200</v>
      </c>
      <c r="Y206" s="3">
        <v>73819300</v>
      </c>
      <c r="Z206" s="3">
        <v>58928500</v>
      </c>
      <c r="AA206" s="3">
        <v>14918700</v>
      </c>
      <c r="AB206" s="3">
        <v>25</v>
      </c>
    </row>
    <row r="207" spans="1:28" x14ac:dyDescent="0.35">
      <c r="A207">
        <v>2022</v>
      </c>
      <c r="B207" t="str">
        <f t="shared" si="19"/>
        <v>13</v>
      </c>
      <c r="C207" t="s">
        <v>111</v>
      </c>
      <c r="D207" t="s">
        <v>33</v>
      </c>
      <c r="E207" t="str">
        <f t="shared" si="21"/>
        <v>118</v>
      </c>
      <c r="F207" t="s">
        <v>121</v>
      </c>
      <c r="G207" t="str">
        <f>"003"</f>
        <v>003</v>
      </c>
      <c r="H207" t="str">
        <f t="shared" si="22"/>
        <v>1316</v>
      </c>
      <c r="I207" s="3">
        <v>19923900</v>
      </c>
      <c r="J207" s="3">
        <v>100</v>
      </c>
      <c r="K207" s="3">
        <v>19923900</v>
      </c>
      <c r="L207" s="3">
        <v>0</v>
      </c>
      <c r="M207" s="3">
        <v>19923900</v>
      </c>
      <c r="N207" s="3">
        <v>0</v>
      </c>
      <c r="O207" s="3">
        <v>0</v>
      </c>
      <c r="P207" s="3">
        <v>0</v>
      </c>
      <c r="Q207" s="3">
        <v>0</v>
      </c>
      <c r="R207" s="3">
        <v>1006700</v>
      </c>
      <c r="S207" s="3">
        <v>0</v>
      </c>
      <c r="T207" s="3">
        <v>0</v>
      </c>
      <c r="U207" s="3">
        <v>0</v>
      </c>
      <c r="V207" s="3">
        <v>2009</v>
      </c>
      <c r="W207" s="3">
        <v>981900</v>
      </c>
      <c r="X207" s="3">
        <v>20930600</v>
      </c>
      <c r="Y207" s="3">
        <v>19948700</v>
      </c>
      <c r="Z207" s="3">
        <v>19426500</v>
      </c>
      <c r="AA207" s="3">
        <v>1504100</v>
      </c>
      <c r="AB207" s="3">
        <v>8</v>
      </c>
    </row>
    <row r="208" spans="1:28" x14ac:dyDescent="0.35">
      <c r="A208">
        <v>2022</v>
      </c>
      <c r="B208" t="str">
        <f t="shared" si="19"/>
        <v>13</v>
      </c>
      <c r="C208" t="s">
        <v>111</v>
      </c>
      <c r="D208" t="s">
        <v>33</v>
      </c>
      <c r="E208" t="str">
        <f t="shared" si="21"/>
        <v>118</v>
      </c>
      <c r="F208" t="s">
        <v>121</v>
      </c>
      <c r="G208" t="str">
        <f>"004"</f>
        <v>004</v>
      </c>
      <c r="H208" t="str">
        <f t="shared" si="22"/>
        <v>1316</v>
      </c>
      <c r="I208" s="3">
        <v>15760300</v>
      </c>
      <c r="J208" s="3">
        <v>100</v>
      </c>
      <c r="K208" s="3">
        <v>15760300</v>
      </c>
      <c r="L208" s="3">
        <v>0</v>
      </c>
      <c r="M208" s="3">
        <v>15760300</v>
      </c>
      <c r="N208" s="3">
        <v>41375300</v>
      </c>
      <c r="O208" s="3">
        <v>41375300</v>
      </c>
      <c r="P208" s="3">
        <v>6196400</v>
      </c>
      <c r="Q208" s="3">
        <v>6196400</v>
      </c>
      <c r="R208" s="3">
        <v>807900</v>
      </c>
      <c r="S208" s="3">
        <v>0</v>
      </c>
      <c r="T208" s="3">
        <v>0</v>
      </c>
      <c r="U208" s="3">
        <v>0</v>
      </c>
      <c r="V208" s="3">
        <v>2009</v>
      </c>
      <c r="W208" s="3">
        <v>345700</v>
      </c>
      <c r="X208" s="3">
        <v>64139900</v>
      </c>
      <c r="Y208" s="3">
        <v>63794200</v>
      </c>
      <c r="Z208" s="3">
        <v>60908400</v>
      </c>
      <c r="AA208" s="3">
        <v>3231500</v>
      </c>
      <c r="AB208" s="3">
        <v>5</v>
      </c>
    </row>
    <row r="209" spans="1:28" x14ac:dyDescent="0.35">
      <c r="A209">
        <v>2022</v>
      </c>
      <c r="B209" t="str">
        <f t="shared" si="19"/>
        <v>13</v>
      </c>
      <c r="C209" t="s">
        <v>111</v>
      </c>
      <c r="D209" t="s">
        <v>33</v>
      </c>
      <c r="E209" t="str">
        <f t="shared" si="21"/>
        <v>118</v>
      </c>
      <c r="F209" t="s">
        <v>121</v>
      </c>
      <c r="G209" t="str">
        <f>"005"</f>
        <v>005</v>
      </c>
      <c r="H209" t="str">
        <f t="shared" si="22"/>
        <v>1316</v>
      </c>
      <c r="I209" s="3">
        <v>35082100</v>
      </c>
      <c r="J209" s="3">
        <v>100</v>
      </c>
      <c r="K209" s="3">
        <v>35082100</v>
      </c>
      <c r="L209" s="3">
        <v>0</v>
      </c>
      <c r="M209" s="3">
        <v>35082100</v>
      </c>
      <c r="N209" s="3">
        <v>0</v>
      </c>
      <c r="O209" s="3">
        <v>0</v>
      </c>
      <c r="P209" s="3">
        <v>0</v>
      </c>
      <c r="Q209" s="3">
        <v>0</v>
      </c>
      <c r="R209" s="3">
        <v>1254600</v>
      </c>
      <c r="S209" s="3">
        <v>0</v>
      </c>
      <c r="T209" s="3">
        <v>0</v>
      </c>
      <c r="U209" s="3">
        <v>0</v>
      </c>
      <c r="V209" s="3">
        <v>2010</v>
      </c>
      <c r="W209" s="3">
        <v>350500</v>
      </c>
      <c r="X209" s="3">
        <v>36336700</v>
      </c>
      <c r="Y209" s="3">
        <v>35986200</v>
      </c>
      <c r="Z209" s="3">
        <v>24216700</v>
      </c>
      <c r="AA209" s="3">
        <v>12120000</v>
      </c>
      <c r="AB209" s="3">
        <v>50</v>
      </c>
    </row>
    <row r="210" spans="1:28" x14ac:dyDescent="0.35">
      <c r="A210">
        <v>2022</v>
      </c>
      <c r="B210" t="str">
        <f t="shared" si="19"/>
        <v>13</v>
      </c>
      <c r="C210" t="s">
        <v>111</v>
      </c>
      <c r="D210" t="s">
        <v>33</v>
      </c>
      <c r="E210" t="str">
        <f t="shared" si="21"/>
        <v>118</v>
      </c>
      <c r="F210" t="s">
        <v>121</v>
      </c>
      <c r="G210" t="str">
        <f>"006"</f>
        <v>006</v>
      </c>
      <c r="H210" t="str">
        <f t="shared" si="22"/>
        <v>1316</v>
      </c>
      <c r="I210" s="3">
        <v>17550600</v>
      </c>
      <c r="J210" s="3">
        <v>100</v>
      </c>
      <c r="K210" s="3">
        <v>17550600</v>
      </c>
      <c r="L210" s="3">
        <v>0</v>
      </c>
      <c r="M210" s="3">
        <v>17550600</v>
      </c>
      <c r="N210" s="3">
        <v>22830900</v>
      </c>
      <c r="O210" s="3">
        <v>22830900</v>
      </c>
      <c r="P210" s="3">
        <v>5202100</v>
      </c>
      <c r="Q210" s="3">
        <v>5202100</v>
      </c>
      <c r="R210" s="3">
        <v>805600</v>
      </c>
      <c r="S210" s="3">
        <v>0</v>
      </c>
      <c r="T210" s="3">
        <v>0</v>
      </c>
      <c r="U210" s="3">
        <v>0</v>
      </c>
      <c r="V210" s="3">
        <v>2011</v>
      </c>
      <c r="W210" s="3">
        <v>2764600</v>
      </c>
      <c r="X210" s="3">
        <v>46389200</v>
      </c>
      <c r="Y210" s="3">
        <v>43624600</v>
      </c>
      <c r="Z210" s="3">
        <v>41800500</v>
      </c>
      <c r="AA210" s="3">
        <v>4588700</v>
      </c>
      <c r="AB210" s="3">
        <v>11</v>
      </c>
    </row>
    <row r="211" spans="1:28" x14ac:dyDescent="0.35">
      <c r="A211">
        <v>2022</v>
      </c>
      <c r="B211" t="str">
        <f t="shared" si="19"/>
        <v>13</v>
      </c>
      <c r="C211" t="s">
        <v>111</v>
      </c>
      <c r="D211" t="s">
        <v>33</v>
      </c>
      <c r="E211" t="str">
        <f t="shared" si="21"/>
        <v>118</v>
      </c>
      <c r="F211" t="s">
        <v>121</v>
      </c>
      <c r="G211" t="str">
        <f>"007"</f>
        <v>007</v>
      </c>
      <c r="H211" t="str">
        <f t="shared" si="22"/>
        <v>1316</v>
      </c>
      <c r="I211" s="3">
        <v>70804100</v>
      </c>
      <c r="J211" s="3">
        <v>100</v>
      </c>
      <c r="K211" s="3">
        <v>70804100</v>
      </c>
      <c r="L211" s="3">
        <v>0</v>
      </c>
      <c r="M211" s="3">
        <v>70804100</v>
      </c>
      <c r="N211" s="3">
        <v>0</v>
      </c>
      <c r="O211" s="3">
        <v>0</v>
      </c>
      <c r="P211" s="3">
        <v>0</v>
      </c>
      <c r="Q211" s="3">
        <v>0</v>
      </c>
      <c r="R211" s="3">
        <v>1709200</v>
      </c>
      <c r="S211" s="3">
        <v>0</v>
      </c>
      <c r="T211" s="3">
        <v>0</v>
      </c>
      <c r="U211" s="3">
        <v>0</v>
      </c>
      <c r="V211" s="3">
        <v>2011</v>
      </c>
      <c r="W211" s="3">
        <v>4492000</v>
      </c>
      <c r="X211" s="3">
        <v>72513300</v>
      </c>
      <c r="Y211" s="3">
        <v>68021300</v>
      </c>
      <c r="Z211" s="3">
        <v>32948900</v>
      </c>
      <c r="AA211" s="3">
        <v>39564400</v>
      </c>
      <c r="AB211" s="3">
        <v>120</v>
      </c>
    </row>
    <row r="212" spans="1:28" x14ac:dyDescent="0.35">
      <c r="A212">
        <v>2022</v>
      </c>
      <c r="B212" t="str">
        <f t="shared" si="19"/>
        <v>13</v>
      </c>
      <c r="C212" t="s">
        <v>111</v>
      </c>
      <c r="D212" t="s">
        <v>33</v>
      </c>
      <c r="E212" t="str">
        <f t="shared" si="21"/>
        <v>118</v>
      </c>
      <c r="F212" t="s">
        <v>121</v>
      </c>
      <c r="G212" t="str">
        <f>"008"</f>
        <v>008</v>
      </c>
      <c r="H212" t="str">
        <f t="shared" si="22"/>
        <v>1316</v>
      </c>
      <c r="I212" s="3">
        <v>52439500</v>
      </c>
      <c r="J212" s="3">
        <v>100</v>
      </c>
      <c r="K212" s="3">
        <v>52439500</v>
      </c>
      <c r="L212" s="3">
        <v>0</v>
      </c>
      <c r="M212" s="3">
        <v>52439500</v>
      </c>
      <c r="N212" s="3">
        <v>0</v>
      </c>
      <c r="O212" s="3">
        <v>0</v>
      </c>
      <c r="P212" s="3">
        <v>0</v>
      </c>
      <c r="Q212" s="3">
        <v>0</v>
      </c>
      <c r="R212" s="3">
        <v>2611100</v>
      </c>
      <c r="S212" s="3">
        <v>0</v>
      </c>
      <c r="T212" s="3">
        <v>0</v>
      </c>
      <c r="U212" s="3">
        <v>0</v>
      </c>
      <c r="V212" s="3">
        <v>2017</v>
      </c>
      <c r="W212" s="3">
        <v>6728400</v>
      </c>
      <c r="X212" s="3">
        <v>55050600</v>
      </c>
      <c r="Y212" s="3">
        <v>48322200</v>
      </c>
      <c r="Z212" s="3">
        <v>50339100</v>
      </c>
      <c r="AA212" s="3">
        <v>4711500</v>
      </c>
      <c r="AB212" s="3">
        <v>9</v>
      </c>
    </row>
    <row r="213" spans="1:28" x14ac:dyDescent="0.35">
      <c r="A213">
        <v>2022</v>
      </c>
      <c r="B213" t="str">
        <f t="shared" si="19"/>
        <v>13</v>
      </c>
      <c r="C213" t="s">
        <v>111</v>
      </c>
      <c r="D213" t="s">
        <v>33</v>
      </c>
      <c r="E213" t="str">
        <f t="shared" si="21"/>
        <v>118</v>
      </c>
      <c r="F213" t="s">
        <v>121</v>
      </c>
      <c r="G213" t="str">
        <f>"009"</f>
        <v>009</v>
      </c>
      <c r="H213" t="str">
        <f t="shared" si="22"/>
        <v>1316</v>
      </c>
      <c r="I213" s="3">
        <v>29545100</v>
      </c>
      <c r="J213" s="3">
        <v>100</v>
      </c>
      <c r="K213" s="3">
        <v>29545100</v>
      </c>
      <c r="L213" s="3">
        <v>0</v>
      </c>
      <c r="M213" s="3">
        <v>29545100</v>
      </c>
      <c r="N213" s="3">
        <v>9748700</v>
      </c>
      <c r="O213" s="3">
        <v>9748700</v>
      </c>
      <c r="P213" s="3">
        <v>1514900</v>
      </c>
      <c r="Q213" s="3">
        <v>1514900</v>
      </c>
      <c r="R213" s="3">
        <v>1129900</v>
      </c>
      <c r="S213" s="3">
        <v>0</v>
      </c>
      <c r="T213" s="3">
        <v>0</v>
      </c>
      <c r="U213" s="3">
        <v>0</v>
      </c>
      <c r="V213" s="3">
        <v>2017</v>
      </c>
      <c r="W213" s="3">
        <v>7580900</v>
      </c>
      <c r="X213" s="3">
        <v>41938600</v>
      </c>
      <c r="Y213" s="3">
        <v>34357700</v>
      </c>
      <c r="Z213" s="3">
        <v>31427500</v>
      </c>
      <c r="AA213" s="3">
        <v>10511100</v>
      </c>
      <c r="AB213" s="3">
        <v>33</v>
      </c>
    </row>
    <row r="214" spans="1:28" x14ac:dyDescent="0.35">
      <c r="A214">
        <v>2022</v>
      </c>
      <c r="B214" t="str">
        <f t="shared" ref="B214:B245" si="23">"13"</f>
        <v>13</v>
      </c>
      <c r="C214" t="s">
        <v>111</v>
      </c>
      <c r="D214" t="s">
        <v>33</v>
      </c>
      <c r="E214" t="str">
        <f>"151"</f>
        <v>151</v>
      </c>
      <c r="F214" t="s">
        <v>122</v>
      </c>
      <c r="G214" t="str">
        <f>"001"</f>
        <v>001</v>
      </c>
      <c r="H214" t="str">
        <f>"3269"</f>
        <v>3269</v>
      </c>
      <c r="I214" s="3">
        <v>14248500</v>
      </c>
      <c r="J214" s="3">
        <v>91.48</v>
      </c>
      <c r="K214" s="3">
        <v>15575500</v>
      </c>
      <c r="L214" s="3">
        <v>0</v>
      </c>
      <c r="M214" s="3">
        <v>15575500</v>
      </c>
      <c r="N214" s="3">
        <v>0</v>
      </c>
      <c r="O214" s="3">
        <v>0</v>
      </c>
      <c r="P214" s="3">
        <v>0</v>
      </c>
      <c r="Q214" s="3">
        <v>0</v>
      </c>
      <c r="R214" s="3">
        <v>455100</v>
      </c>
      <c r="S214" s="3">
        <v>0</v>
      </c>
      <c r="T214" s="3">
        <v>0</v>
      </c>
      <c r="U214" s="3">
        <v>0</v>
      </c>
      <c r="V214" s="3">
        <v>2014</v>
      </c>
      <c r="W214" s="3">
        <v>5689400</v>
      </c>
      <c r="X214" s="3">
        <v>16030600</v>
      </c>
      <c r="Y214" s="3">
        <v>10341200</v>
      </c>
      <c r="Z214" s="3">
        <v>13618600</v>
      </c>
      <c r="AA214" s="3">
        <v>2412000</v>
      </c>
      <c r="AB214" s="3">
        <v>18</v>
      </c>
    </row>
    <row r="215" spans="1:28" x14ac:dyDescent="0.35">
      <c r="A215">
        <v>2022</v>
      </c>
      <c r="B215" t="str">
        <f t="shared" si="23"/>
        <v>13</v>
      </c>
      <c r="C215" t="s">
        <v>111</v>
      </c>
      <c r="D215" t="s">
        <v>33</v>
      </c>
      <c r="E215" t="str">
        <f>"152"</f>
        <v>152</v>
      </c>
      <c r="F215" t="s">
        <v>123</v>
      </c>
      <c r="G215" t="str">
        <f>"002"</f>
        <v>002</v>
      </c>
      <c r="H215" t="str">
        <f>"3332"</f>
        <v>3332</v>
      </c>
      <c r="I215" s="3">
        <v>18173500</v>
      </c>
      <c r="J215" s="3">
        <v>82.4</v>
      </c>
      <c r="K215" s="3">
        <v>22055200</v>
      </c>
      <c r="L215" s="3">
        <v>0</v>
      </c>
      <c r="M215" s="3">
        <v>22055200</v>
      </c>
      <c r="N215" s="3">
        <v>3084500</v>
      </c>
      <c r="O215" s="3">
        <v>3084500</v>
      </c>
      <c r="P215" s="3">
        <v>192000</v>
      </c>
      <c r="Q215" s="3">
        <v>192000</v>
      </c>
      <c r="R215" s="3">
        <v>18100</v>
      </c>
      <c r="S215" s="3">
        <v>0</v>
      </c>
      <c r="T215" s="3">
        <v>0</v>
      </c>
      <c r="U215" s="3">
        <v>0</v>
      </c>
      <c r="V215" s="3">
        <v>2018</v>
      </c>
      <c r="W215" s="3">
        <v>14377100</v>
      </c>
      <c r="X215" s="3">
        <v>25349800</v>
      </c>
      <c r="Y215" s="3">
        <v>10972700</v>
      </c>
      <c r="Z215" s="3">
        <v>18393800</v>
      </c>
      <c r="AA215" s="3">
        <v>6956000</v>
      </c>
      <c r="AB215" s="3">
        <v>38</v>
      </c>
    </row>
    <row r="216" spans="1:28" x14ac:dyDescent="0.35">
      <c r="A216">
        <v>2022</v>
      </c>
      <c r="B216" t="str">
        <f t="shared" si="23"/>
        <v>13</v>
      </c>
      <c r="C216" t="s">
        <v>111</v>
      </c>
      <c r="D216" t="s">
        <v>33</v>
      </c>
      <c r="E216" t="str">
        <f>"153"</f>
        <v>153</v>
      </c>
      <c r="F216" t="s">
        <v>124</v>
      </c>
      <c r="G216" t="str">
        <f>"004"</f>
        <v>004</v>
      </c>
      <c r="H216" t="str">
        <f>"0469"</f>
        <v>0469</v>
      </c>
      <c r="I216" s="3">
        <v>5685500</v>
      </c>
      <c r="J216" s="3">
        <v>100</v>
      </c>
      <c r="K216" s="3">
        <v>5685500</v>
      </c>
      <c r="L216" s="3">
        <v>0</v>
      </c>
      <c r="M216" s="3">
        <v>5685500</v>
      </c>
      <c r="N216" s="3">
        <v>22074400</v>
      </c>
      <c r="O216" s="3">
        <v>22074400</v>
      </c>
      <c r="P216" s="3">
        <v>1328700</v>
      </c>
      <c r="Q216" s="3">
        <v>1328700</v>
      </c>
      <c r="R216" s="3">
        <v>-700</v>
      </c>
      <c r="S216" s="3">
        <v>0</v>
      </c>
      <c r="T216" s="3">
        <v>0</v>
      </c>
      <c r="U216" s="3">
        <v>0</v>
      </c>
      <c r="V216" s="3">
        <v>2005</v>
      </c>
      <c r="W216" s="3">
        <v>5583500</v>
      </c>
      <c r="X216" s="3">
        <v>29087900</v>
      </c>
      <c r="Y216" s="3">
        <v>23504400</v>
      </c>
      <c r="Z216" s="3">
        <v>29093800</v>
      </c>
      <c r="AA216" s="3">
        <v>-5900</v>
      </c>
      <c r="AB216" s="3">
        <v>0</v>
      </c>
    </row>
    <row r="217" spans="1:28" x14ac:dyDescent="0.35">
      <c r="A217">
        <v>2022</v>
      </c>
      <c r="B217" t="str">
        <f t="shared" si="23"/>
        <v>13</v>
      </c>
      <c r="C217" t="s">
        <v>111</v>
      </c>
      <c r="D217" t="s">
        <v>33</v>
      </c>
      <c r="E217" t="str">
        <f>"153"</f>
        <v>153</v>
      </c>
      <c r="F217" t="s">
        <v>124</v>
      </c>
      <c r="G217" t="str">
        <f>"005"</f>
        <v>005</v>
      </c>
      <c r="H217" t="str">
        <f>"0469"</f>
        <v>0469</v>
      </c>
      <c r="I217" s="3">
        <v>5653400</v>
      </c>
      <c r="J217" s="3">
        <v>100</v>
      </c>
      <c r="K217" s="3">
        <v>5653400</v>
      </c>
      <c r="L217" s="3">
        <v>0</v>
      </c>
      <c r="M217" s="3">
        <v>5653400</v>
      </c>
      <c r="N217" s="3">
        <v>0</v>
      </c>
      <c r="O217" s="3">
        <v>0</v>
      </c>
      <c r="P217" s="3">
        <v>0</v>
      </c>
      <c r="Q217" s="3">
        <v>0</v>
      </c>
      <c r="R217" s="3">
        <v>-700</v>
      </c>
      <c r="S217" s="3">
        <v>0</v>
      </c>
      <c r="T217" s="3">
        <v>0</v>
      </c>
      <c r="U217" s="3">
        <v>0</v>
      </c>
      <c r="V217" s="3">
        <v>2005</v>
      </c>
      <c r="W217" s="3">
        <v>4594600</v>
      </c>
      <c r="X217" s="3">
        <v>5652700</v>
      </c>
      <c r="Y217" s="3">
        <v>1058100</v>
      </c>
      <c r="Z217" s="3">
        <v>6068100</v>
      </c>
      <c r="AA217" s="3">
        <v>-415400</v>
      </c>
      <c r="AB217" s="3">
        <v>-7</v>
      </c>
    </row>
    <row r="218" spans="1:28" x14ac:dyDescent="0.35">
      <c r="A218">
        <v>2022</v>
      </c>
      <c r="B218" t="str">
        <f t="shared" si="23"/>
        <v>13</v>
      </c>
      <c r="C218" t="s">
        <v>111</v>
      </c>
      <c r="D218" t="s">
        <v>33</v>
      </c>
      <c r="E218" t="str">
        <f>"154"</f>
        <v>154</v>
      </c>
      <c r="F218" t="s">
        <v>125</v>
      </c>
      <c r="G218" t="str">
        <f>"003"</f>
        <v>003</v>
      </c>
      <c r="H218" t="str">
        <f>"3381"</f>
        <v>3381</v>
      </c>
      <c r="I218" s="3">
        <v>91135000</v>
      </c>
      <c r="J218" s="3">
        <v>100</v>
      </c>
      <c r="K218" s="3">
        <v>91135000</v>
      </c>
      <c r="L218" s="3">
        <v>0</v>
      </c>
      <c r="M218" s="3">
        <v>91135000</v>
      </c>
      <c r="N218" s="3">
        <v>899200</v>
      </c>
      <c r="O218" s="3">
        <v>899200</v>
      </c>
      <c r="P218" s="3">
        <v>9200</v>
      </c>
      <c r="Q218" s="3">
        <v>9200</v>
      </c>
      <c r="R218" s="3">
        <v>1606700</v>
      </c>
      <c r="S218" s="3">
        <v>0</v>
      </c>
      <c r="T218" s="3">
        <v>0</v>
      </c>
      <c r="U218" s="3">
        <v>0</v>
      </c>
      <c r="V218" s="3">
        <v>2004</v>
      </c>
      <c r="W218" s="3">
        <v>26997400</v>
      </c>
      <c r="X218" s="3">
        <v>93650100</v>
      </c>
      <c r="Y218" s="3">
        <v>66652700</v>
      </c>
      <c r="Z218" s="3">
        <v>74655900</v>
      </c>
      <c r="AA218" s="3">
        <v>18994200</v>
      </c>
      <c r="AB218" s="3">
        <v>25</v>
      </c>
    </row>
    <row r="219" spans="1:28" x14ac:dyDescent="0.35">
      <c r="A219">
        <v>2022</v>
      </c>
      <c r="B219" t="str">
        <f t="shared" si="23"/>
        <v>13</v>
      </c>
      <c r="C219" t="s">
        <v>111</v>
      </c>
      <c r="D219" t="s">
        <v>33</v>
      </c>
      <c r="E219" t="str">
        <f>"154"</f>
        <v>154</v>
      </c>
      <c r="F219" t="s">
        <v>125</v>
      </c>
      <c r="G219" t="str">
        <f>"004"</f>
        <v>004</v>
      </c>
      <c r="H219" t="str">
        <f>"3381"</f>
        <v>3381</v>
      </c>
      <c r="I219" s="3">
        <v>13374100</v>
      </c>
      <c r="J219" s="3">
        <v>100</v>
      </c>
      <c r="K219" s="3">
        <v>13374100</v>
      </c>
      <c r="L219" s="3">
        <v>0</v>
      </c>
      <c r="M219" s="3">
        <v>13374100</v>
      </c>
      <c r="N219" s="3">
        <v>0</v>
      </c>
      <c r="O219" s="3">
        <v>0</v>
      </c>
      <c r="P219" s="3">
        <v>0</v>
      </c>
      <c r="Q219" s="3">
        <v>0</v>
      </c>
      <c r="R219" s="3">
        <v>274700</v>
      </c>
      <c r="S219" s="3">
        <v>0</v>
      </c>
      <c r="T219" s="3">
        <v>0</v>
      </c>
      <c r="U219" s="3">
        <v>0</v>
      </c>
      <c r="V219" s="3">
        <v>2008</v>
      </c>
      <c r="W219" s="3">
        <v>7583100</v>
      </c>
      <c r="X219" s="3">
        <v>13648800</v>
      </c>
      <c r="Y219" s="3">
        <v>6065700</v>
      </c>
      <c r="Z219" s="3">
        <v>12616700</v>
      </c>
      <c r="AA219" s="3">
        <v>1032100</v>
      </c>
      <c r="AB219" s="3">
        <v>8</v>
      </c>
    </row>
    <row r="220" spans="1:28" x14ac:dyDescent="0.35">
      <c r="A220">
        <v>2022</v>
      </c>
      <c r="B220" t="str">
        <f t="shared" si="23"/>
        <v>13</v>
      </c>
      <c r="C220" t="s">
        <v>111</v>
      </c>
      <c r="D220" t="s">
        <v>33</v>
      </c>
      <c r="E220" t="str">
        <f>"154"</f>
        <v>154</v>
      </c>
      <c r="F220" t="s">
        <v>125</v>
      </c>
      <c r="G220" t="str">
        <f>"005"</f>
        <v>005</v>
      </c>
      <c r="H220" t="str">
        <f>"3381"</f>
        <v>3381</v>
      </c>
      <c r="I220" s="3">
        <v>27419200</v>
      </c>
      <c r="J220" s="3">
        <v>100</v>
      </c>
      <c r="K220" s="3">
        <v>27419200</v>
      </c>
      <c r="L220" s="3">
        <v>0</v>
      </c>
      <c r="M220" s="3">
        <v>27419200</v>
      </c>
      <c r="N220" s="3">
        <v>1296800</v>
      </c>
      <c r="O220" s="3">
        <v>1296800</v>
      </c>
      <c r="P220" s="3">
        <v>731800</v>
      </c>
      <c r="Q220" s="3">
        <v>731800</v>
      </c>
      <c r="R220" s="3">
        <v>552700</v>
      </c>
      <c r="S220" s="3">
        <v>0</v>
      </c>
      <c r="T220" s="3">
        <v>0</v>
      </c>
      <c r="U220" s="3">
        <v>0</v>
      </c>
      <c r="V220" s="3">
        <v>2018</v>
      </c>
      <c r="W220" s="3">
        <v>17030100</v>
      </c>
      <c r="X220" s="3">
        <v>30000500</v>
      </c>
      <c r="Y220" s="3">
        <v>12970400</v>
      </c>
      <c r="Z220" s="3">
        <v>26991100</v>
      </c>
      <c r="AA220" s="3">
        <v>3009400</v>
      </c>
      <c r="AB220" s="3">
        <v>11</v>
      </c>
    </row>
    <row r="221" spans="1:28" x14ac:dyDescent="0.35">
      <c r="A221">
        <v>2022</v>
      </c>
      <c r="B221" t="str">
        <f t="shared" si="23"/>
        <v>13</v>
      </c>
      <c r="C221" t="s">
        <v>111</v>
      </c>
      <c r="D221" t="s">
        <v>33</v>
      </c>
      <c r="E221" t="str">
        <f>"157"</f>
        <v>157</v>
      </c>
      <c r="F221" t="s">
        <v>126</v>
      </c>
      <c r="G221" t="str">
        <f>"003"</f>
        <v>003</v>
      </c>
      <c r="H221" t="str">
        <f>"3794"</f>
        <v>3794</v>
      </c>
      <c r="I221" s="3">
        <v>38023800</v>
      </c>
      <c r="J221" s="3">
        <v>76.14</v>
      </c>
      <c r="K221" s="3">
        <v>49939300</v>
      </c>
      <c r="L221" s="3">
        <v>0</v>
      </c>
      <c r="M221" s="3">
        <v>49939300</v>
      </c>
      <c r="N221" s="3">
        <v>0</v>
      </c>
      <c r="O221" s="3">
        <v>0</v>
      </c>
      <c r="P221" s="3">
        <v>0</v>
      </c>
      <c r="Q221" s="3">
        <v>0</v>
      </c>
      <c r="R221" s="3">
        <v>164900</v>
      </c>
      <c r="S221" s="3">
        <v>0</v>
      </c>
      <c r="T221" s="3">
        <v>0</v>
      </c>
      <c r="U221" s="3">
        <v>0</v>
      </c>
      <c r="V221" s="3">
        <v>2004</v>
      </c>
      <c r="W221" s="3">
        <v>2588300</v>
      </c>
      <c r="X221" s="3">
        <v>50104200</v>
      </c>
      <c r="Y221" s="3">
        <v>47515900</v>
      </c>
      <c r="Z221" s="3">
        <v>44792300</v>
      </c>
      <c r="AA221" s="3">
        <v>5311900</v>
      </c>
      <c r="AB221" s="3">
        <v>12</v>
      </c>
    </row>
    <row r="222" spans="1:28" x14ac:dyDescent="0.35">
      <c r="A222">
        <v>2022</v>
      </c>
      <c r="B222" t="str">
        <f t="shared" si="23"/>
        <v>13</v>
      </c>
      <c r="C222" t="s">
        <v>111</v>
      </c>
      <c r="D222" t="s">
        <v>33</v>
      </c>
      <c r="E222" t="str">
        <f>"157"</f>
        <v>157</v>
      </c>
      <c r="F222" t="s">
        <v>126</v>
      </c>
      <c r="G222" t="str">
        <f>"005"</f>
        <v>005</v>
      </c>
      <c r="H222" t="str">
        <f>"3794"</f>
        <v>3794</v>
      </c>
      <c r="I222" s="3">
        <v>52835900</v>
      </c>
      <c r="J222" s="3">
        <v>76.14</v>
      </c>
      <c r="K222" s="3">
        <v>69393100</v>
      </c>
      <c r="L222" s="3">
        <v>0</v>
      </c>
      <c r="M222" s="3">
        <v>69393100</v>
      </c>
      <c r="N222" s="3">
        <v>0</v>
      </c>
      <c r="O222" s="3">
        <v>0</v>
      </c>
      <c r="P222" s="3">
        <v>26300</v>
      </c>
      <c r="Q222" s="3">
        <v>26300</v>
      </c>
      <c r="R222" s="3">
        <v>188600</v>
      </c>
      <c r="S222" s="3">
        <v>0</v>
      </c>
      <c r="T222" s="3">
        <v>0</v>
      </c>
      <c r="U222" s="3">
        <v>0</v>
      </c>
      <c r="V222" s="3">
        <v>2016</v>
      </c>
      <c r="W222" s="3">
        <v>25350000</v>
      </c>
      <c r="X222" s="3">
        <v>69608000</v>
      </c>
      <c r="Y222" s="3">
        <v>44258000</v>
      </c>
      <c r="Z222" s="3">
        <v>62373800</v>
      </c>
      <c r="AA222" s="3">
        <v>7234200</v>
      </c>
      <c r="AB222" s="3">
        <v>12</v>
      </c>
    </row>
    <row r="223" spans="1:28" x14ac:dyDescent="0.35">
      <c r="A223">
        <v>2022</v>
      </c>
      <c r="B223" t="str">
        <f t="shared" si="23"/>
        <v>13</v>
      </c>
      <c r="C223" t="s">
        <v>111</v>
      </c>
      <c r="D223" t="s">
        <v>33</v>
      </c>
      <c r="E223" t="str">
        <f>"165"</f>
        <v>165</v>
      </c>
      <c r="F223" t="s">
        <v>127</v>
      </c>
      <c r="G223" t="str">
        <f>"003"</f>
        <v>003</v>
      </c>
      <c r="H223" t="str">
        <f>"4144"</f>
        <v>4144</v>
      </c>
      <c r="I223" s="3">
        <v>4757400</v>
      </c>
      <c r="J223" s="3">
        <v>100</v>
      </c>
      <c r="K223" s="3">
        <v>4757400</v>
      </c>
      <c r="L223" s="3">
        <v>0</v>
      </c>
      <c r="M223" s="3">
        <v>4757400</v>
      </c>
      <c r="N223" s="3">
        <v>0</v>
      </c>
      <c r="O223" s="3">
        <v>0</v>
      </c>
      <c r="P223" s="3">
        <v>0</v>
      </c>
      <c r="Q223" s="3">
        <v>0</v>
      </c>
      <c r="R223" s="3">
        <v>64400</v>
      </c>
      <c r="S223" s="3">
        <v>0</v>
      </c>
      <c r="T223" s="3">
        <v>0</v>
      </c>
      <c r="U223" s="3">
        <v>21406800</v>
      </c>
      <c r="V223" s="3">
        <v>2005</v>
      </c>
      <c r="W223" s="3">
        <v>15880800</v>
      </c>
      <c r="X223" s="3">
        <v>26228600</v>
      </c>
      <c r="Y223" s="3">
        <v>10347800</v>
      </c>
      <c r="Z223" s="3">
        <v>26126300</v>
      </c>
      <c r="AA223" s="3">
        <v>102300</v>
      </c>
      <c r="AB223" s="3">
        <v>0</v>
      </c>
    </row>
    <row r="224" spans="1:28" x14ac:dyDescent="0.35">
      <c r="A224">
        <v>2022</v>
      </c>
      <c r="B224" t="str">
        <f t="shared" si="23"/>
        <v>13</v>
      </c>
      <c r="C224" t="s">
        <v>111</v>
      </c>
      <c r="D224" t="s">
        <v>33</v>
      </c>
      <c r="E224" t="str">
        <f>"165"</f>
        <v>165</v>
      </c>
      <c r="F224" t="s">
        <v>127</v>
      </c>
      <c r="G224" t="str">
        <f>"004"</f>
        <v>004</v>
      </c>
      <c r="H224" t="str">
        <f>"4144"</f>
        <v>4144</v>
      </c>
      <c r="I224" s="3">
        <v>28236800</v>
      </c>
      <c r="J224" s="3">
        <v>100</v>
      </c>
      <c r="K224" s="3">
        <v>28236800</v>
      </c>
      <c r="L224" s="3">
        <v>0</v>
      </c>
      <c r="M224" s="3">
        <v>28236800</v>
      </c>
      <c r="N224" s="3">
        <v>0</v>
      </c>
      <c r="O224" s="3">
        <v>0</v>
      </c>
      <c r="P224" s="3">
        <v>0</v>
      </c>
      <c r="Q224" s="3">
        <v>0</v>
      </c>
      <c r="R224" s="3">
        <v>272600</v>
      </c>
      <c r="S224" s="3">
        <v>0</v>
      </c>
      <c r="T224" s="3">
        <v>0</v>
      </c>
      <c r="U224" s="3">
        <v>0</v>
      </c>
      <c r="V224" s="3">
        <v>2008</v>
      </c>
      <c r="W224" s="3">
        <v>12818100</v>
      </c>
      <c r="X224" s="3">
        <v>28509400</v>
      </c>
      <c r="Y224" s="3">
        <v>15691300</v>
      </c>
      <c r="Z224" s="3">
        <v>19646500</v>
      </c>
      <c r="AA224" s="3">
        <v>8862900</v>
      </c>
      <c r="AB224" s="3">
        <v>45</v>
      </c>
    </row>
    <row r="225" spans="1:28" x14ac:dyDescent="0.35">
      <c r="A225">
        <v>2022</v>
      </c>
      <c r="B225" t="str">
        <f t="shared" si="23"/>
        <v>13</v>
      </c>
      <c r="C225" t="s">
        <v>111</v>
      </c>
      <c r="D225" t="s">
        <v>33</v>
      </c>
      <c r="E225" t="str">
        <f>"165"</f>
        <v>165</v>
      </c>
      <c r="F225" t="s">
        <v>127</v>
      </c>
      <c r="G225" t="str">
        <f>"005"</f>
        <v>005</v>
      </c>
      <c r="H225" t="str">
        <f>"4144"</f>
        <v>4144</v>
      </c>
      <c r="I225" s="3">
        <v>64325300</v>
      </c>
      <c r="J225" s="3">
        <v>100</v>
      </c>
      <c r="K225" s="3">
        <v>64325300</v>
      </c>
      <c r="L225" s="3">
        <v>0</v>
      </c>
      <c r="M225" s="3">
        <v>64325300</v>
      </c>
      <c r="N225" s="3">
        <v>13636600</v>
      </c>
      <c r="O225" s="3">
        <v>13636600</v>
      </c>
      <c r="P225" s="3">
        <v>1146800</v>
      </c>
      <c r="Q225" s="3">
        <v>1146800</v>
      </c>
      <c r="R225" s="3">
        <v>866200</v>
      </c>
      <c r="S225" s="3">
        <v>0</v>
      </c>
      <c r="T225" s="3">
        <v>0</v>
      </c>
      <c r="U225" s="3">
        <v>0</v>
      </c>
      <c r="V225" s="3">
        <v>2017</v>
      </c>
      <c r="W225" s="3">
        <v>53696700</v>
      </c>
      <c r="X225" s="3">
        <v>79974900</v>
      </c>
      <c r="Y225" s="3">
        <v>26278200</v>
      </c>
      <c r="Z225" s="3">
        <v>69931400</v>
      </c>
      <c r="AA225" s="3">
        <v>10043500</v>
      </c>
      <c r="AB225" s="3">
        <v>14</v>
      </c>
    </row>
    <row r="226" spans="1:28" x14ac:dyDescent="0.35">
      <c r="A226">
        <v>2022</v>
      </c>
      <c r="B226" t="str">
        <f t="shared" si="23"/>
        <v>13</v>
      </c>
      <c r="C226" t="s">
        <v>111</v>
      </c>
      <c r="D226" t="s">
        <v>33</v>
      </c>
      <c r="E226" t="str">
        <f>"181"</f>
        <v>181</v>
      </c>
      <c r="F226" t="s">
        <v>128</v>
      </c>
      <c r="G226" t="str">
        <f>"003"</f>
        <v>003</v>
      </c>
      <c r="H226" t="str">
        <f>"3269"</f>
        <v>3269</v>
      </c>
      <c r="I226" s="3">
        <v>67128800</v>
      </c>
      <c r="J226" s="3">
        <v>100</v>
      </c>
      <c r="K226" s="3">
        <v>67128800</v>
      </c>
      <c r="L226" s="3">
        <v>0</v>
      </c>
      <c r="M226" s="3">
        <v>67128800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2008</v>
      </c>
      <c r="W226" s="3">
        <v>21225400</v>
      </c>
      <c r="X226" s="3">
        <v>67128800</v>
      </c>
      <c r="Y226" s="3">
        <v>45903400</v>
      </c>
      <c r="Z226" s="3">
        <v>71986400</v>
      </c>
      <c r="AA226" s="3">
        <v>-4857600</v>
      </c>
      <c r="AB226" s="3">
        <v>-7</v>
      </c>
    </row>
    <row r="227" spans="1:28" x14ac:dyDescent="0.35">
      <c r="A227">
        <v>2022</v>
      </c>
      <c r="B227" t="str">
        <f t="shared" si="23"/>
        <v>13</v>
      </c>
      <c r="C227" t="s">
        <v>111</v>
      </c>
      <c r="D227" t="s">
        <v>33</v>
      </c>
      <c r="E227" t="str">
        <f>"181"</f>
        <v>181</v>
      </c>
      <c r="F227" t="s">
        <v>128</v>
      </c>
      <c r="G227" t="str">
        <f>"004"</f>
        <v>004</v>
      </c>
      <c r="H227" t="str">
        <f>"3269"</f>
        <v>3269</v>
      </c>
      <c r="I227" s="3">
        <v>20590500</v>
      </c>
      <c r="J227" s="3">
        <v>100</v>
      </c>
      <c r="K227" s="3">
        <v>20590500</v>
      </c>
      <c r="L227" s="3">
        <v>0</v>
      </c>
      <c r="M227" s="3">
        <v>20590500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4249200</v>
      </c>
      <c r="V227" s="3">
        <v>2010</v>
      </c>
      <c r="W227" s="3">
        <v>8265800</v>
      </c>
      <c r="X227" s="3">
        <v>24839700</v>
      </c>
      <c r="Y227" s="3">
        <v>16573900</v>
      </c>
      <c r="Z227" s="3">
        <v>23082500</v>
      </c>
      <c r="AA227" s="3">
        <v>1757200</v>
      </c>
      <c r="AB227" s="3">
        <v>8</v>
      </c>
    </row>
    <row r="228" spans="1:28" x14ac:dyDescent="0.35">
      <c r="A228">
        <v>2022</v>
      </c>
      <c r="B228" t="str">
        <f t="shared" si="23"/>
        <v>13</v>
      </c>
      <c r="C228" t="s">
        <v>111</v>
      </c>
      <c r="D228" t="s">
        <v>33</v>
      </c>
      <c r="E228" t="str">
        <f>"181"</f>
        <v>181</v>
      </c>
      <c r="F228" t="s">
        <v>128</v>
      </c>
      <c r="G228" t="str">
        <f>"005"</f>
        <v>005</v>
      </c>
      <c r="H228" t="str">
        <f>"3269"</f>
        <v>3269</v>
      </c>
      <c r="I228" s="3">
        <v>14100000</v>
      </c>
      <c r="J228" s="3">
        <v>100</v>
      </c>
      <c r="K228" s="3">
        <v>14100000</v>
      </c>
      <c r="L228" s="3">
        <v>0</v>
      </c>
      <c r="M228" s="3">
        <v>14100000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2016</v>
      </c>
      <c r="W228" s="3">
        <v>4252600</v>
      </c>
      <c r="X228" s="3">
        <v>14100000</v>
      </c>
      <c r="Y228" s="3">
        <v>9847400</v>
      </c>
      <c r="Z228" s="3">
        <v>12714700</v>
      </c>
      <c r="AA228" s="3">
        <v>1385300</v>
      </c>
      <c r="AB228" s="3">
        <v>11</v>
      </c>
    </row>
    <row r="229" spans="1:28" x14ac:dyDescent="0.35">
      <c r="A229">
        <v>2022</v>
      </c>
      <c r="B229" t="str">
        <f t="shared" si="23"/>
        <v>13</v>
      </c>
      <c r="C229" t="s">
        <v>111</v>
      </c>
      <c r="D229" t="s">
        <v>33</v>
      </c>
      <c r="E229" t="str">
        <f t="shared" ref="E229:E235" si="24">"191"</f>
        <v>191</v>
      </c>
      <c r="F229" t="s">
        <v>129</v>
      </c>
      <c r="G229" t="str">
        <f>"003"</f>
        <v>003</v>
      </c>
      <c r="H229" t="str">
        <f t="shared" ref="H229:H235" si="25">"6181"</f>
        <v>6181</v>
      </c>
      <c r="I229" s="3">
        <v>39669600</v>
      </c>
      <c r="J229" s="3">
        <v>82.48</v>
      </c>
      <c r="K229" s="3">
        <v>48096000</v>
      </c>
      <c r="L229" s="3">
        <v>0</v>
      </c>
      <c r="M229" s="3">
        <v>48096000</v>
      </c>
      <c r="N229" s="3">
        <v>8822400</v>
      </c>
      <c r="O229" s="3">
        <v>8822400</v>
      </c>
      <c r="P229" s="3">
        <v>274900</v>
      </c>
      <c r="Q229" s="3">
        <v>274900</v>
      </c>
      <c r="R229" s="3">
        <v>7800</v>
      </c>
      <c r="S229" s="3">
        <v>0</v>
      </c>
      <c r="T229" s="3">
        <v>0</v>
      </c>
      <c r="U229" s="3">
        <v>9898100</v>
      </c>
      <c r="V229" s="3">
        <v>2000</v>
      </c>
      <c r="W229" s="3">
        <v>634700</v>
      </c>
      <c r="X229" s="3">
        <v>67099200</v>
      </c>
      <c r="Y229" s="3">
        <v>66464500</v>
      </c>
      <c r="Z229" s="3">
        <v>59685400</v>
      </c>
      <c r="AA229" s="3">
        <v>7413800</v>
      </c>
      <c r="AB229" s="3">
        <v>12</v>
      </c>
    </row>
    <row r="230" spans="1:28" x14ac:dyDescent="0.35">
      <c r="A230">
        <v>2022</v>
      </c>
      <c r="B230" t="str">
        <f t="shared" si="23"/>
        <v>13</v>
      </c>
      <c r="C230" t="s">
        <v>111</v>
      </c>
      <c r="D230" t="s">
        <v>33</v>
      </c>
      <c r="E230" t="str">
        <f t="shared" si="24"/>
        <v>191</v>
      </c>
      <c r="F230" t="s">
        <v>129</v>
      </c>
      <c r="G230" t="str">
        <f>"004"</f>
        <v>004</v>
      </c>
      <c r="H230" t="str">
        <f t="shared" si="25"/>
        <v>6181</v>
      </c>
      <c r="I230" s="3">
        <v>5631400</v>
      </c>
      <c r="J230" s="3">
        <v>82.48</v>
      </c>
      <c r="K230" s="3">
        <v>6827600</v>
      </c>
      <c r="L230" s="3">
        <v>0</v>
      </c>
      <c r="M230" s="3">
        <v>6827600</v>
      </c>
      <c r="N230" s="3">
        <v>0</v>
      </c>
      <c r="O230" s="3">
        <v>0</v>
      </c>
      <c r="P230" s="3">
        <v>0</v>
      </c>
      <c r="Q230" s="3">
        <v>0</v>
      </c>
      <c r="R230" s="3">
        <v>2000</v>
      </c>
      <c r="S230" s="3">
        <v>0</v>
      </c>
      <c r="T230" s="3">
        <v>0</v>
      </c>
      <c r="U230" s="3">
        <v>0</v>
      </c>
      <c r="V230" s="3">
        <v>2003</v>
      </c>
      <c r="W230" s="3">
        <v>677400</v>
      </c>
      <c r="X230" s="3">
        <v>6829600</v>
      </c>
      <c r="Y230" s="3">
        <v>6152200</v>
      </c>
      <c r="Z230" s="3">
        <v>6134300</v>
      </c>
      <c r="AA230" s="3">
        <v>695300</v>
      </c>
      <c r="AB230" s="3">
        <v>11</v>
      </c>
    </row>
    <row r="231" spans="1:28" x14ac:dyDescent="0.35">
      <c r="A231">
        <v>2022</v>
      </c>
      <c r="B231" t="str">
        <f t="shared" si="23"/>
        <v>13</v>
      </c>
      <c r="C231" t="s">
        <v>111</v>
      </c>
      <c r="D231" t="s">
        <v>33</v>
      </c>
      <c r="E231" t="str">
        <f t="shared" si="24"/>
        <v>191</v>
      </c>
      <c r="F231" t="s">
        <v>129</v>
      </c>
      <c r="G231" t="str">
        <f>"005"</f>
        <v>005</v>
      </c>
      <c r="H231" t="str">
        <f t="shared" si="25"/>
        <v>6181</v>
      </c>
      <c r="I231" s="3">
        <v>36476800</v>
      </c>
      <c r="J231" s="3">
        <v>82.48</v>
      </c>
      <c r="K231" s="3">
        <v>44225000</v>
      </c>
      <c r="L231" s="3">
        <v>0</v>
      </c>
      <c r="M231" s="3">
        <v>44225000</v>
      </c>
      <c r="N231" s="3">
        <v>0</v>
      </c>
      <c r="O231" s="3">
        <v>0</v>
      </c>
      <c r="P231" s="3">
        <v>0</v>
      </c>
      <c r="Q231" s="3">
        <v>0</v>
      </c>
      <c r="R231" s="3">
        <v>13100</v>
      </c>
      <c r="S231" s="3">
        <v>0</v>
      </c>
      <c r="T231" s="3">
        <v>0</v>
      </c>
      <c r="U231" s="3">
        <v>14120700</v>
      </c>
      <c r="V231" s="3">
        <v>2005</v>
      </c>
      <c r="W231" s="3">
        <v>27543200</v>
      </c>
      <c r="X231" s="3">
        <v>58358800</v>
      </c>
      <c r="Y231" s="3">
        <v>30815600</v>
      </c>
      <c r="Z231" s="3">
        <v>53685300</v>
      </c>
      <c r="AA231" s="3">
        <v>4673500</v>
      </c>
      <c r="AB231" s="3">
        <v>9</v>
      </c>
    </row>
    <row r="232" spans="1:28" x14ac:dyDescent="0.35">
      <c r="A232">
        <v>2022</v>
      </c>
      <c r="B232" t="str">
        <f t="shared" si="23"/>
        <v>13</v>
      </c>
      <c r="C232" t="s">
        <v>111</v>
      </c>
      <c r="D232" t="s">
        <v>33</v>
      </c>
      <c r="E232" t="str">
        <f t="shared" si="24"/>
        <v>191</v>
      </c>
      <c r="F232" t="s">
        <v>129</v>
      </c>
      <c r="G232" t="str">
        <f>"006"</f>
        <v>006</v>
      </c>
      <c r="H232" t="str">
        <f t="shared" si="25"/>
        <v>6181</v>
      </c>
      <c r="I232" s="3">
        <v>76043800</v>
      </c>
      <c r="J232" s="3">
        <v>82.48</v>
      </c>
      <c r="K232" s="3">
        <v>92196700</v>
      </c>
      <c r="L232" s="3">
        <v>0</v>
      </c>
      <c r="M232" s="3">
        <v>92196700</v>
      </c>
      <c r="N232" s="3">
        <v>0</v>
      </c>
      <c r="O232" s="3">
        <v>0</v>
      </c>
      <c r="P232" s="3">
        <v>0</v>
      </c>
      <c r="Q232" s="3">
        <v>0</v>
      </c>
      <c r="R232" s="3">
        <v>27100</v>
      </c>
      <c r="S232" s="3">
        <v>0</v>
      </c>
      <c r="T232" s="3">
        <v>0</v>
      </c>
      <c r="U232" s="3">
        <v>0</v>
      </c>
      <c r="V232" s="3">
        <v>2015</v>
      </c>
      <c r="W232" s="3">
        <v>11761100</v>
      </c>
      <c r="X232" s="3">
        <v>92223800</v>
      </c>
      <c r="Y232" s="3">
        <v>80462700</v>
      </c>
      <c r="Z232" s="3">
        <v>76970900</v>
      </c>
      <c r="AA232" s="3">
        <v>15252900</v>
      </c>
      <c r="AB232" s="3">
        <v>20</v>
      </c>
    </row>
    <row r="233" spans="1:28" x14ac:dyDescent="0.35">
      <c r="A233">
        <v>2022</v>
      </c>
      <c r="B233" t="str">
        <f t="shared" si="23"/>
        <v>13</v>
      </c>
      <c r="C233" t="s">
        <v>111</v>
      </c>
      <c r="D233" t="s">
        <v>33</v>
      </c>
      <c r="E233" t="str">
        <f t="shared" si="24"/>
        <v>191</v>
      </c>
      <c r="F233" t="s">
        <v>129</v>
      </c>
      <c r="G233" t="str">
        <f>"007"</f>
        <v>007</v>
      </c>
      <c r="H233" t="str">
        <f t="shared" si="25"/>
        <v>6181</v>
      </c>
      <c r="I233" s="3">
        <v>192500</v>
      </c>
      <c r="J233" s="3">
        <v>82.48</v>
      </c>
      <c r="K233" s="3">
        <v>233400</v>
      </c>
      <c r="L233" s="3">
        <v>0</v>
      </c>
      <c r="M233" s="3">
        <v>233400</v>
      </c>
      <c r="N233" s="3">
        <v>8011400</v>
      </c>
      <c r="O233" s="3">
        <v>8011400</v>
      </c>
      <c r="P233" s="3">
        <v>2140800</v>
      </c>
      <c r="Q233" s="3">
        <v>2140800</v>
      </c>
      <c r="R233" s="3">
        <v>0</v>
      </c>
      <c r="S233" s="3">
        <v>0</v>
      </c>
      <c r="T233" s="3">
        <v>0</v>
      </c>
      <c r="U233" s="3">
        <v>0</v>
      </c>
      <c r="V233" s="3">
        <v>2016</v>
      </c>
      <c r="W233" s="3">
        <v>4445700</v>
      </c>
      <c r="X233" s="3">
        <v>10385600</v>
      </c>
      <c r="Y233" s="3">
        <v>5939900</v>
      </c>
      <c r="Z233" s="3">
        <v>9799500</v>
      </c>
      <c r="AA233" s="3">
        <v>586100</v>
      </c>
      <c r="AB233" s="3">
        <v>6</v>
      </c>
    </row>
    <row r="234" spans="1:28" x14ac:dyDescent="0.35">
      <c r="A234">
        <v>2022</v>
      </c>
      <c r="B234" t="str">
        <f t="shared" si="23"/>
        <v>13</v>
      </c>
      <c r="C234" t="s">
        <v>111</v>
      </c>
      <c r="D234" t="s">
        <v>33</v>
      </c>
      <c r="E234" t="str">
        <f t="shared" si="24"/>
        <v>191</v>
      </c>
      <c r="F234" t="s">
        <v>129</v>
      </c>
      <c r="G234" t="str">
        <f>"008"</f>
        <v>008</v>
      </c>
      <c r="H234" t="str">
        <f t="shared" si="25"/>
        <v>6181</v>
      </c>
      <c r="I234" s="3">
        <v>31126000</v>
      </c>
      <c r="J234" s="3">
        <v>82.48</v>
      </c>
      <c r="K234" s="3">
        <v>37737600</v>
      </c>
      <c r="L234" s="3">
        <v>0</v>
      </c>
      <c r="M234" s="3">
        <v>37737600</v>
      </c>
      <c r="N234" s="3">
        <v>133800</v>
      </c>
      <c r="O234" s="3">
        <v>133800</v>
      </c>
      <c r="P234" s="3">
        <v>1600</v>
      </c>
      <c r="Q234" s="3">
        <v>1600</v>
      </c>
      <c r="R234" s="3">
        <v>11000</v>
      </c>
      <c r="S234" s="3">
        <v>0</v>
      </c>
      <c r="T234" s="3">
        <v>0</v>
      </c>
      <c r="U234" s="3">
        <v>0</v>
      </c>
      <c r="V234" s="3">
        <v>2018</v>
      </c>
      <c r="W234" s="3">
        <v>15985400</v>
      </c>
      <c r="X234" s="3">
        <v>37884000</v>
      </c>
      <c r="Y234" s="3">
        <v>21898600</v>
      </c>
      <c r="Z234" s="3">
        <v>33318600</v>
      </c>
      <c r="AA234" s="3">
        <v>4565400</v>
      </c>
      <c r="AB234" s="3">
        <v>14</v>
      </c>
    </row>
    <row r="235" spans="1:28" x14ac:dyDescent="0.35">
      <c r="A235">
        <v>2022</v>
      </c>
      <c r="B235" t="str">
        <f t="shared" si="23"/>
        <v>13</v>
      </c>
      <c r="C235" t="s">
        <v>111</v>
      </c>
      <c r="D235" t="s">
        <v>33</v>
      </c>
      <c r="E235" t="str">
        <f t="shared" si="24"/>
        <v>191</v>
      </c>
      <c r="F235" t="s">
        <v>129</v>
      </c>
      <c r="G235" t="str">
        <f>"009"</f>
        <v>009</v>
      </c>
      <c r="H235" t="str">
        <f t="shared" si="25"/>
        <v>6181</v>
      </c>
      <c r="I235" s="3">
        <v>2759900</v>
      </c>
      <c r="J235" s="3">
        <v>82.48</v>
      </c>
      <c r="K235" s="3">
        <v>3346100</v>
      </c>
      <c r="L235" s="3">
        <v>0</v>
      </c>
      <c r="M235" s="3">
        <v>3346100</v>
      </c>
      <c r="N235" s="3">
        <v>9017500</v>
      </c>
      <c r="O235" s="3">
        <v>9017500</v>
      </c>
      <c r="P235" s="3">
        <v>775000</v>
      </c>
      <c r="Q235" s="3">
        <v>775000</v>
      </c>
      <c r="R235" s="3">
        <v>300</v>
      </c>
      <c r="S235" s="3">
        <v>0</v>
      </c>
      <c r="T235" s="3">
        <v>0</v>
      </c>
      <c r="U235" s="3">
        <v>0</v>
      </c>
      <c r="V235" s="3">
        <v>2018</v>
      </c>
      <c r="W235" s="3">
        <v>9898100</v>
      </c>
      <c r="X235" s="3">
        <v>13138900</v>
      </c>
      <c r="Y235" s="3">
        <v>3240800</v>
      </c>
      <c r="Z235" s="3">
        <v>1044200</v>
      </c>
      <c r="AA235" s="3">
        <v>12094700</v>
      </c>
      <c r="AB235" s="3">
        <v>1158</v>
      </c>
    </row>
    <row r="236" spans="1:28" x14ac:dyDescent="0.35">
      <c r="A236">
        <v>2022</v>
      </c>
      <c r="B236" t="str">
        <f t="shared" si="23"/>
        <v>13</v>
      </c>
      <c r="C236" t="s">
        <v>111</v>
      </c>
      <c r="D236" t="s">
        <v>33</v>
      </c>
      <c r="E236" t="str">
        <f>"196"</f>
        <v>196</v>
      </c>
      <c r="F236" t="s">
        <v>130</v>
      </c>
      <c r="G236" t="str">
        <f>"001"</f>
        <v>001</v>
      </c>
      <c r="H236" t="str">
        <f>"1316"</f>
        <v>1316</v>
      </c>
      <c r="I236" s="3">
        <v>21618100</v>
      </c>
      <c r="J236" s="3">
        <v>76.209999999999994</v>
      </c>
      <c r="K236" s="3">
        <v>28366500</v>
      </c>
      <c r="L236" s="3">
        <v>22918100</v>
      </c>
      <c r="M236" s="3">
        <v>22918100</v>
      </c>
      <c r="N236" s="3">
        <v>0</v>
      </c>
      <c r="O236" s="3">
        <v>0</v>
      </c>
      <c r="P236" s="3">
        <v>0</v>
      </c>
      <c r="Q236" s="3">
        <v>0</v>
      </c>
      <c r="R236" s="3">
        <v>-11800</v>
      </c>
      <c r="S236" s="3">
        <v>0</v>
      </c>
      <c r="T236" s="3">
        <v>0</v>
      </c>
      <c r="U236" s="3">
        <v>0</v>
      </c>
      <c r="V236" s="3">
        <v>2014</v>
      </c>
      <c r="W236" s="3">
        <v>382600</v>
      </c>
      <c r="X236" s="3">
        <v>22906300</v>
      </c>
      <c r="Y236" s="3">
        <v>22523700</v>
      </c>
      <c r="Z236" s="3">
        <v>24241000</v>
      </c>
      <c r="AA236" s="3">
        <v>-1334700</v>
      </c>
      <c r="AB236" s="3">
        <v>-6</v>
      </c>
    </row>
    <row r="237" spans="1:28" x14ac:dyDescent="0.35">
      <c r="A237">
        <v>2022</v>
      </c>
      <c r="B237" t="str">
        <f t="shared" si="23"/>
        <v>13</v>
      </c>
      <c r="C237" t="s">
        <v>111</v>
      </c>
      <c r="D237" t="s">
        <v>35</v>
      </c>
      <c r="E237" t="str">
        <f t="shared" ref="E237:E244" si="26">"225"</f>
        <v>225</v>
      </c>
      <c r="F237" t="s">
        <v>131</v>
      </c>
      <c r="G237" t="str">
        <f>"004"</f>
        <v>004</v>
      </c>
      <c r="H237" t="str">
        <f>"3269"</f>
        <v>3269</v>
      </c>
      <c r="I237" s="3">
        <v>73442800</v>
      </c>
      <c r="J237" s="3">
        <v>100</v>
      </c>
      <c r="K237" s="3">
        <v>73442800</v>
      </c>
      <c r="L237" s="3">
        <v>0</v>
      </c>
      <c r="M237" s="3">
        <v>73442800</v>
      </c>
      <c r="N237" s="3">
        <v>31760200</v>
      </c>
      <c r="O237" s="3">
        <v>31760200</v>
      </c>
      <c r="P237" s="3">
        <v>5770100</v>
      </c>
      <c r="Q237" s="3">
        <v>5770100</v>
      </c>
      <c r="R237" s="3">
        <v>79800</v>
      </c>
      <c r="S237" s="3">
        <v>0</v>
      </c>
      <c r="T237" s="3">
        <v>0</v>
      </c>
      <c r="U237" s="3">
        <v>127231000</v>
      </c>
      <c r="V237" s="3">
        <v>2003</v>
      </c>
      <c r="W237" s="3">
        <v>45812400</v>
      </c>
      <c r="X237" s="3">
        <v>238283900</v>
      </c>
      <c r="Y237" s="3">
        <v>192471500</v>
      </c>
      <c r="Z237" s="3">
        <v>223753600</v>
      </c>
      <c r="AA237" s="3">
        <v>14530300</v>
      </c>
      <c r="AB237" s="3">
        <v>6</v>
      </c>
    </row>
    <row r="238" spans="1:28" x14ac:dyDescent="0.35">
      <c r="A238">
        <v>2022</v>
      </c>
      <c r="B238" t="str">
        <f t="shared" si="23"/>
        <v>13</v>
      </c>
      <c r="C238" t="s">
        <v>111</v>
      </c>
      <c r="D238" t="s">
        <v>35</v>
      </c>
      <c r="E238" t="str">
        <f t="shared" si="26"/>
        <v>225</v>
      </c>
      <c r="F238" t="s">
        <v>131</v>
      </c>
      <c r="G238" t="str">
        <f>"004"</f>
        <v>004</v>
      </c>
      <c r="H238" t="str">
        <f>"4144"</f>
        <v>4144</v>
      </c>
      <c r="I238" s="3">
        <v>37054200</v>
      </c>
      <c r="J238" s="3">
        <v>100</v>
      </c>
      <c r="K238" s="3">
        <v>37054200</v>
      </c>
      <c r="L238" s="3">
        <v>0</v>
      </c>
      <c r="M238" s="3">
        <v>37054200</v>
      </c>
      <c r="N238" s="3">
        <v>0</v>
      </c>
      <c r="O238" s="3">
        <v>0</v>
      </c>
      <c r="P238" s="3">
        <v>0</v>
      </c>
      <c r="Q238" s="3">
        <v>0</v>
      </c>
      <c r="R238" s="3">
        <v>34700</v>
      </c>
      <c r="S238" s="3">
        <v>0</v>
      </c>
      <c r="T238" s="3">
        <v>0</v>
      </c>
      <c r="U238" s="3">
        <v>16139600</v>
      </c>
      <c r="V238" s="3">
        <v>2003</v>
      </c>
      <c r="W238" s="3">
        <v>3331600</v>
      </c>
      <c r="X238" s="3">
        <v>53228500</v>
      </c>
      <c r="Y238" s="3">
        <v>49896900</v>
      </c>
      <c r="Z238" s="3">
        <v>45946600</v>
      </c>
      <c r="AA238" s="3">
        <v>7281900</v>
      </c>
      <c r="AB238" s="3">
        <v>16</v>
      </c>
    </row>
    <row r="239" spans="1:28" x14ac:dyDescent="0.35">
      <c r="A239">
        <v>2022</v>
      </c>
      <c r="B239" t="str">
        <f t="shared" si="23"/>
        <v>13</v>
      </c>
      <c r="C239" t="s">
        <v>111</v>
      </c>
      <c r="D239" t="s">
        <v>35</v>
      </c>
      <c r="E239" t="str">
        <f t="shared" si="26"/>
        <v>225</v>
      </c>
      <c r="F239" t="s">
        <v>131</v>
      </c>
      <c r="G239" t="str">
        <f>"009"</f>
        <v>009</v>
      </c>
      <c r="H239" t="str">
        <f>"5901"</f>
        <v>5901</v>
      </c>
      <c r="I239" s="3">
        <v>53867300</v>
      </c>
      <c r="J239" s="3">
        <v>100</v>
      </c>
      <c r="K239" s="3">
        <v>53867300</v>
      </c>
      <c r="L239" s="3">
        <v>0</v>
      </c>
      <c r="M239" s="3">
        <v>53867300</v>
      </c>
      <c r="N239" s="3">
        <v>82683400</v>
      </c>
      <c r="O239" s="3">
        <v>82683400</v>
      </c>
      <c r="P239" s="3">
        <v>12238600</v>
      </c>
      <c r="Q239" s="3">
        <v>12238600</v>
      </c>
      <c r="R239" s="3">
        <v>106600</v>
      </c>
      <c r="S239" s="3">
        <v>0</v>
      </c>
      <c r="T239" s="3">
        <v>0</v>
      </c>
      <c r="U239" s="3">
        <v>0</v>
      </c>
      <c r="V239" s="3">
        <v>2015</v>
      </c>
      <c r="W239" s="3">
        <v>46009600</v>
      </c>
      <c r="X239" s="3">
        <v>148895900</v>
      </c>
      <c r="Y239" s="3">
        <v>102886300</v>
      </c>
      <c r="Z239" s="3">
        <v>151815000</v>
      </c>
      <c r="AA239" s="3">
        <v>-2919100</v>
      </c>
      <c r="AB239" s="3">
        <v>-2</v>
      </c>
    </row>
    <row r="240" spans="1:28" x14ac:dyDescent="0.35">
      <c r="A240">
        <v>2022</v>
      </c>
      <c r="B240" t="str">
        <f t="shared" si="23"/>
        <v>13</v>
      </c>
      <c r="C240" t="s">
        <v>111</v>
      </c>
      <c r="D240" t="s">
        <v>35</v>
      </c>
      <c r="E240" t="str">
        <f t="shared" si="26"/>
        <v>225</v>
      </c>
      <c r="F240" t="s">
        <v>131</v>
      </c>
      <c r="G240" t="str">
        <f>"010"</f>
        <v>010</v>
      </c>
      <c r="H240" t="str">
        <f>"3269"</f>
        <v>3269</v>
      </c>
      <c r="I240" s="3">
        <v>103685200</v>
      </c>
      <c r="J240" s="3">
        <v>100</v>
      </c>
      <c r="K240" s="3">
        <v>103685200</v>
      </c>
      <c r="L240" s="3">
        <v>0</v>
      </c>
      <c r="M240" s="3">
        <v>103685200</v>
      </c>
      <c r="N240" s="3">
        <v>0</v>
      </c>
      <c r="O240" s="3">
        <v>0</v>
      </c>
      <c r="P240" s="3">
        <v>0</v>
      </c>
      <c r="Q240" s="3">
        <v>0</v>
      </c>
      <c r="R240" s="3">
        <v>96100</v>
      </c>
      <c r="S240" s="3">
        <v>0</v>
      </c>
      <c r="T240" s="3">
        <v>0</v>
      </c>
      <c r="U240" s="3">
        <v>0</v>
      </c>
      <c r="V240" s="3">
        <v>2016</v>
      </c>
      <c r="W240" s="3">
        <v>42872500</v>
      </c>
      <c r="X240" s="3">
        <v>103781300</v>
      </c>
      <c r="Y240" s="3">
        <v>60908800</v>
      </c>
      <c r="Z240" s="3">
        <v>74053300</v>
      </c>
      <c r="AA240" s="3">
        <v>29728000</v>
      </c>
      <c r="AB240" s="3">
        <v>40</v>
      </c>
    </row>
    <row r="241" spans="1:28" x14ac:dyDescent="0.35">
      <c r="A241">
        <v>2022</v>
      </c>
      <c r="B241" t="str">
        <f t="shared" si="23"/>
        <v>13</v>
      </c>
      <c r="C241" t="s">
        <v>111</v>
      </c>
      <c r="D241" t="s">
        <v>35</v>
      </c>
      <c r="E241" t="str">
        <f t="shared" si="26"/>
        <v>225</v>
      </c>
      <c r="F241" t="s">
        <v>131</v>
      </c>
      <c r="G241" t="str">
        <f>"011"</f>
        <v>011</v>
      </c>
      <c r="H241" t="str">
        <f>"4144"</f>
        <v>4144</v>
      </c>
      <c r="I241" s="3">
        <v>381100</v>
      </c>
      <c r="J241" s="3">
        <v>100</v>
      </c>
      <c r="K241" s="3">
        <v>381100</v>
      </c>
      <c r="L241" s="3">
        <v>0</v>
      </c>
      <c r="M241" s="3">
        <v>381100</v>
      </c>
      <c r="N241" s="3">
        <v>0</v>
      </c>
      <c r="O241" s="3">
        <v>0</v>
      </c>
      <c r="P241" s="3">
        <v>0</v>
      </c>
      <c r="Q241" s="3">
        <v>0</v>
      </c>
      <c r="R241" s="3">
        <v>400</v>
      </c>
      <c r="S241" s="3">
        <v>0</v>
      </c>
      <c r="T241" s="3">
        <v>0</v>
      </c>
      <c r="U241" s="3">
        <v>0</v>
      </c>
      <c r="V241" s="3">
        <v>2018</v>
      </c>
      <c r="W241" s="3">
        <v>436200</v>
      </c>
      <c r="X241" s="3">
        <v>381500</v>
      </c>
      <c r="Y241" s="3">
        <v>-54700</v>
      </c>
      <c r="Z241" s="3">
        <v>391000</v>
      </c>
      <c r="AA241" s="3">
        <v>-9500</v>
      </c>
      <c r="AB241" s="3">
        <v>-2</v>
      </c>
    </row>
    <row r="242" spans="1:28" x14ac:dyDescent="0.35">
      <c r="A242">
        <v>2022</v>
      </c>
      <c r="B242" t="str">
        <f t="shared" si="23"/>
        <v>13</v>
      </c>
      <c r="C242" t="s">
        <v>111</v>
      </c>
      <c r="D242" t="s">
        <v>35</v>
      </c>
      <c r="E242" t="str">
        <f t="shared" si="26"/>
        <v>225</v>
      </c>
      <c r="F242" t="s">
        <v>131</v>
      </c>
      <c r="G242" t="str">
        <f>"012"</f>
        <v>012</v>
      </c>
      <c r="H242" t="str">
        <f>"3269"</f>
        <v>3269</v>
      </c>
      <c r="I242" s="3">
        <v>9753300</v>
      </c>
      <c r="J242" s="3">
        <v>100</v>
      </c>
      <c r="K242" s="3">
        <v>9753300</v>
      </c>
      <c r="L242" s="3">
        <v>24545800</v>
      </c>
      <c r="M242" s="3">
        <v>24545800</v>
      </c>
      <c r="N242" s="3">
        <v>97556300</v>
      </c>
      <c r="O242" s="3">
        <v>97556300</v>
      </c>
      <c r="P242" s="3">
        <v>10058900</v>
      </c>
      <c r="Q242" s="3">
        <v>10058900</v>
      </c>
      <c r="R242" s="3">
        <v>10100</v>
      </c>
      <c r="S242" s="3">
        <v>0</v>
      </c>
      <c r="T242" s="3">
        <v>0</v>
      </c>
      <c r="U242" s="3">
        <v>0</v>
      </c>
      <c r="V242" s="3">
        <v>2018</v>
      </c>
      <c r="W242" s="3">
        <v>128183100</v>
      </c>
      <c r="X242" s="3">
        <v>132171100</v>
      </c>
      <c r="Y242" s="3">
        <v>3988000</v>
      </c>
      <c r="Z242" s="3">
        <v>133078800</v>
      </c>
      <c r="AA242" s="3">
        <v>-907700</v>
      </c>
      <c r="AB242" s="3">
        <v>-1</v>
      </c>
    </row>
    <row r="243" spans="1:28" x14ac:dyDescent="0.35">
      <c r="A243">
        <v>2022</v>
      </c>
      <c r="B243" t="str">
        <f t="shared" si="23"/>
        <v>13</v>
      </c>
      <c r="C243" t="s">
        <v>111</v>
      </c>
      <c r="D243" t="s">
        <v>35</v>
      </c>
      <c r="E243" t="str">
        <f t="shared" si="26"/>
        <v>225</v>
      </c>
      <c r="F243" t="s">
        <v>131</v>
      </c>
      <c r="G243" t="str">
        <f>"012"</f>
        <v>012</v>
      </c>
      <c r="H243" t="str">
        <f>"4144"</f>
        <v>4144</v>
      </c>
      <c r="I243" s="3">
        <v>5400</v>
      </c>
      <c r="J243" s="3">
        <v>100</v>
      </c>
      <c r="K243" s="3">
        <v>5400</v>
      </c>
      <c r="L243" s="3">
        <v>0</v>
      </c>
      <c r="M243" s="3">
        <v>5400</v>
      </c>
      <c r="N243" s="3">
        <v>47320600</v>
      </c>
      <c r="O243" s="3">
        <v>47320600</v>
      </c>
      <c r="P243" s="3">
        <v>38250700</v>
      </c>
      <c r="Q243" s="3">
        <v>38250700</v>
      </c>
      <c r="R243" s="3">
        <v>0</v>
      </c>
      <c r="S243" s="3">
        <v>0</v>
      </c>
      <c r="T243" s="3">
        <v>0</v>
      </c>
      <c r="U243" s="3">
        <v>0</v>
      </c>
      <c r="V243" s="3">
        <v>2018</v>
      </c>
      <c r="W243" s="3">
        <v>6900</v>
      </c>
      <c r="X243" s="3">
        <v>85576700</v>
      </c>
      <c r="Y243" s="3">
        <v>85569800</v>
      </c>
      <c r="Z243" s="3">
        <v>83746100</v>
      </c>
      <c r="AA243" s="3">
        <v>1830600</v>
      </c>
      <c r="AB243" s="3">
        <v>2</v>
      </c>
    </row>
    <row r="244" spans="1:28" x14ac:dyDescent="0.35">
      <c r="A244">
        <v>2022</v>
      </c>
      <c r="B244" t="str">
        <f t="shared" si="23"/>
        <v>13</v>
      </c>
      <c r="C244" t="s">
        <v>111</v>
      </c>
      <c r="D244" t="s">
        <v>35</v>
      </c>
      <c r="E244" t="str">
        <f t="shared" si="26"/>
        <v>225</v>
      </c>
      <c r="F244" t="s">
        <v>131</v>
      </c>
      <c r="G244" t="str">
        <f>"013"</f>
        <v>013</v>
      </c>
      <c r="H244" t="str">
        <f>"4144"</f>
        <v>4144</v>
      </c>
      <c r="I244" s="3">
        <v>18514100</v>
      </c>
      <c r="J244" s="3">
        <v>100</v>
      </c>
      <c r="K244" s="3">
        <v>18514100</v>
      </c>
      <c r="L244" s="3">
        <v>0</v>
      </c>
      <c r="M244" s="3">
        <v>18514100</v>
      </c>
      <c r="N244" s="3">
        <v>13454200</v>
      </c>
      <c r="O244" s="3">
        <v>13454200</v>
      </c>
      <c r="P244" s="3">
        <v>1517900</v>
      </c>
      <c r="Q244" s="3">
        <v>1517900</v>
      </c>
      <c r="R244" s="3">
        <v>35700</v>
      </c>
      <c r="S244" s="3">
        <v>0</v>
      </c>
      <c r="T244" s="3">
        <v>0</v>
      </c>
      <c r="U244" s="3">
        <v>0</v>
      </c>
      <c r="V244" s="3">
        <v>2018</v>
      </c>
      <c r="W244" s="3">
        <v>16139100</v>
      </c>
      <c r="X244" s="3">
        <v>33521900</v>
      </c>
      <c r="Y244" s="3">
        <v>17382800</v>
      </c>
      <c r="Z244" s="3">
        <v>29973500</v>
      </c>
      <c r="AA244" s="3">
        <v>3548400</v>
      </c>
      <c r="AB244" s="3">
        <v>12</v>
      </c>
    </row>
    <row r="245" spans="1:28" x14ac:dyDescent="0.35">
      <c r="A245">
        <v>2022</v>
      </c>
      <c r="B245" t="str">
        <f t="shared" si="23"/>
        <v>13</v>
      </c>
      <c r="C245" t="s">
        <v>111</v>
      </c>
      <c r="D245" t="s">
        <v>35</v>
      </c>
      <c r="E245" t="str">
        <f t="shared" ref="E245:E259" si="27">"251"</f>
        <v>251</v>
      </c>
      <c r="F245" t="s">
        <v>112</v>
      </c>
      <c r="G245" t="str">
        <f>"025"</f>
        <v>025</v>
      </c>
      <c r="H245" t="str">
        <f>"3269"</f>
        <v>3269</v>
      </c>
      <c r="I245" s="3">
        <v>266609500</v>
      </c>
      <c r="J245" s="3">
        <v>100</v>
      </c>
      <c r="K245" s="3">
        <v>266609500</v>
      </c>
      <c r="L245" s="3">
        <v>0</v>
      </c>
      <c r="M245" s="3">
        <v>266609500</v>
      </c>
      <c r="N245" s="3">
        <v>0</v>
      </c>
      <c r="O245" s="3">
        <v>0</v>
      </c>
      <c r="P245" s="3">
        <v>0</v>
      </c>
      <c r="Q245" s="3">
        <v>0</v>
      </c>
      <c r="R245" s="3">
        <v>1231400</v>
      </c>
      <c r="S245" s="3">
        <v>0</v>
      </c>
      <c r="T245" s="3">
        <v>0</v>
      </c>
      <c r="U245" s="3">
        <v>7995100</v>
      </c>
      <c r="V245" s="3">
        <v>1995</v>
      </c>
      <c r="W245" s="3">
        <v>38606700</v>
      </c>
      <c r="X245" s="3">
        <v>275836000</v>
      </c>
      <c r="Y245" s="3">
        <v>237229300</v>
      </c>
      <c r="Z245" s="3">
        <v>252742200</v>
      </c>
      <c r="AA245" s="3">
        <v>23093800</v>
      </c>
      <c r="AB245" s="3">
        <v>9</v>
      </c>
    </row>
    <row r="246" spans="1:28" x14ac:dyDescent="0.35">
      <c r="A246">
        <v>2022</v>
      </c>
      <c r="B246" t="str">
        <f t="shared" ref="B246:B282" si="28">"13"</f>
        <v>13</v>
      </c>
      <c r="C246" t="s">
        <v>111</v>
      </c>
      <c r="D246" t="s">
        <v>35</v>
      </c>
      <c r="E246" t="str">
        <f t="shared" si="27"/>
        <v>251</v>
      </c>
      <c r="F246" t="s">
        <v>112</v>
      </c>
      <c r="G246" t="str">
        <f>"029"</f>
        <v>029</v>
      </c>
      <c r="H246" t="str">
        <f>"3269"</f>
        <v>3269</v>
      </c>
      <c r="I246" s="3">
        <v>55548600</v>
      </c>
      <c r="J246" s="3">
        <v>100</v>
      </c>
      <c r="K246" s="3">
        <v>55548600</v>
      </c>
      <c r="L246" s="3">
        <v>0</v>
      </c>
      <c r="M246" s="3">
        <v>55548600</v>
      </c>
      <c r="N246" s="3">
        <v>1185400</v>
      </c>
      <c r="O246" s="3">
        <v>1185400</v>
      </c>
      <c r="P246" s="3">
        <v>1400</v>
      </c>
      <c r="Q246" s="3">
        <v>1400</v>
      </c>
      <c r="R246" s="3">
        <v>311000</v>
      </c>
      <c r="S246" s="3">
        <v>0</v>
      </c>
      <c r="T246" s="3">
        <v>0</v>
      </c>
      <c r="U246" s="3">
        <v>8400</v>
      </c>
      <c r="V246" s="3">
        <v>2000</v>
      </c>
      <c r="W246" s="3">
        <v>29362900</v>
      </c>
      <c r="X246" s="3">
        <v>57054800</v>
      </c>
      <c r="Y246" s="3">
        <v>27691900</v>
      </c>
      <c r="Z246" s="3">
        <v>47517200</v>
      </c>
      <c r="AA246" s="3">
        <v>9537600</v>
      </c>
      <c r="AB246" s="3">
        <v>20</v>
      </c>
    </row>
    <row r="247" spans="1:28" x14ac:dyDescent="0.35">
      <c r="A247">
        <v>2022</v>
      </c>
      <c r="B247" t="str">
        <f t="shared" si="28"/>
        <v>13</v>
      </c>
      <c r="C247" t="s">
        <v>111</v>
      </c>
      <c r="D247" t="s">
        <v>35</v>
      </c>
      <c r="E247" t="str">
        <f t="shared" si="27"/>
        <v>251</v>
      </c>
      <c r="F247" t="s">
        <v>112</v>
      </c>
      <c r="G247" t="str">
        <f>"029"</f>
        <v>029</v>
      </c>
      <c r="H247" t="str">
        <f>"5901"</f>
        <v>5901</v>
      </c>
      <c r="I247" s="3">
        <v>25346000</v>
      </c>
      <c r="J247" s="3">
        <v>100</v>
      </c>
      <c r="K247" s="3">
        <v>25346000</v>
      </c>
      <c r="L247" s="3">
        <v>0</v>
      </c>
      <c r="M247" s="3">
        <v>25346000</v>
      </c>
      <c r="N247" s="3">
        <v>2214500</v>
      </c>
      <c r="O247" s="3">
        <v>2214500</v>
      </c>
      <c r="P247" s="3">
        <v>2382500</v>
      </c>
      <c r="Q247" s="3">
        <v>2382500</v>
      </c>
      <c r="R247" s="3">
        <v>167200</v>
      </c>
      <c r="S247" s="3">
        <v>0</v>
      </c>
      <c r="T247" s="3">
        <v>0</v>
      </c>
      <c r="U247" s="3">
        <v>0</v>
      </c>
      <c r="V247" s="3">
        <v>2000</v>
      </c>
      <c r="W247" s="3">
        <v>12378500</v>
      </c>
      <c r="X247" s="3">
        <v>30110200</v>
      </c>
      <c r="Y247" s="3">
        <v>17731700</v>
      </c>
      <c r="Z247" s="3">
        <v>29666800</v>
      </c>
      <c r="AA247" s="3">
        <v>443400</v>
      </c>
      <c r="AB247" s="3">
        <v>1</v>
      </c>
    </row>
    <row r="248" spans="1:28" x14ac:dyDescent="0.35">
      <c r="A248">
        <v>2022</v>
      </c>
      <c r="B248" t="str">
        <f t="shared" si="28"/>
        <v>13</v>
      </c>
      <c r="C248" t="s">
        <v>111</v>
      </c>
      <c r="D248" t="s">
        <v>35</v>
      </c>
      <c r="E248" t="str">
        <f t="shared" si="27"/>
        <v>251</v>
      </c>
      <c r="F248" t="s">
        <v>112</v>
      </c>
      <c r="G248" t="str">
        <f>"035"</f>
        <v>035</v>
      </c>
      <c r="H248" t="str">
        <f t="shared" ref="H248:H256" si="29">"3269"</f>
        <v>3269</v>
      </c>
      <c r="I248" s="3">
        <v>85184300</v>
      </c>
      <c r="J248" s="3">
        <v>100</v>
      </c>
      <c r="K248" s="3">
        <v>85184300</v>
      </c>
      <c r="L248" s="3">
        <v>0</v>
      </c>
      <c r="M248" s="3">
        <v>85184300</v>
      </c>
      <c r="N248" s="3">
        <v>0</v>
      </c>
      <c r="O248" s="3">
        <v>0</v>
      </c>
      <c r="P248" s="3">
        <v>0</v>
      </c>
      <c r="Q248" s="3">
        <v>0</v>
      </c>
      <c r="R248" s="3">
        <v>557400</v>
      </c>
      <c r="S248" s="3">
        <v>0</v>
      </c>
      <c r="T248" s="3">
        <v>0</v>
      </c>
      <c r="U248" s="3">
        <v>0</v>
      </c>
      <c r="V248" s="3">
        <v>2005</v>
      </c>
      <c r="W248" s="3">
        <v>25800600</v>
      </c>
      <c r="X248" s="3">
        <v>85741700</v>
      </c>
      <c r="Y248" s="3">
        <v>59941100</v>
      </c>
      <c r="Z248" s="3">
        <v>80559600</v>
      </c>
      <c r="AA248" s="3">
        <v>5182100</v>
      </c>
      <c r="AB248" s="3">
        <v>6</v>
      </c>
    </row>
    <row r="249" spans="1:28" x14ac:dyDescent="0.35">
      <c r="A249">
        <v>2022</v>
      </c>
      <c r="B249" t="str">
        <f t="shared" si="28"/>
        <v>13</v>
      </c>
      <c r="C249" t="s">
        <v>111</v>
      </c>
      <c r="D249" t="s">
        <v>35</v>
      </c>
      <c r="E249" t="str">
        <f t="shared" si="27"/>
        <v>251</v>
      </c>
      <c r="F249" t="s">
        <v>112</v>
      </c>
      <c r="G249" t="str">
        <f>"036"</f>
        <v>036</v>
      </c>
      <c r="H249" t="str">
        <f t="shared" si="29"/>
        <v>3269</v>
      </c>
      <c r="I249" s="3">
        <v>576738800</v>
      </c>
      <c r="J249" s="3">
        <v>100</v>
      </c>
      <c r="K249" s="3">
        <v>576738800</v>
      </c>
      <c r="L249" s="3">
        <v>0</v>
      </c>
      <c r="M249" s="3">
        <v>576738800</v>
      </c>
      <c r="N249" s="3">
        <v>6782800</v>
      </c>
      <c r="O249" s="3">
        <v>6782800</v>
      </c>
      <c r="P249" s="3">
        <v>2249900</v>
      </c>
      <c r="Q249" s="3">
        <v>2249900</v>
      </c>
      <c r="R249" s="3">
        <v>1052600</v>
      </c>
      <c r="S249" s="3">
        <v>0</v>
      </c>
      <c r="T249" s="3">
        <v>0</v>
      </c>
      <c r="U249" s="3">
        <v>0</v>
      </c>
      <c r="V249" s="3">
        <v>2005</v>
      </c>
      <c r="W249" s="3">
        <v>97652400</v>
      </c>
      <c r="X249" s="3">
        <v>586824100</v>
      </c>
      <c r="Y249" s="3">
        <v>489171700</v>
      </c>
      <c r="Z249" s="3">
        <v>549444800</v>
      </c>
      <c r="AA249" s="3">
        <v>37379300</v>
      </c>
      <c r="AB249" s="3">
        <v>7</v>
      </c>
    </row>
    <row r="250" spans="1:28" x14ac:dyDescent="0.35">
      <c r="A250">
        <v>2022</v>
      </c>
      <c r="B250" t="str">
        <f t="shared" si="28"/>
        <v>13</v>
      </c>
      <c r="C250" t="s">
        <v>111</v>
      </c>
      <c r="D250" t="s">
        <v>35</v>
      </c>
      <c r="E250" t="str">
        <f t="shared" si="27"/>
        <v>251</v>
      </c>
      <c r="F250" t="s">
        <v>112</v>
      </c>
      <c r="G250" t="str">
        <f>"037"</f>
        <v>037</v>
      </c>
      <c r="H250" t="str">
        <f t="shared" si="29"/>
        <v>3269</v>
      </c>
      <c r="I250" s="3">
        <v>189709900</v>
      </c>
      <c r="J250" s="3">
        <v>100</v>
      </c>
      <c r="K250" s="3">
        <v>189709900</v>
      </c>
      <c r="L250" s="3">
        <v>0</v>
      </c>
      <c r="M250" s="3">
        <v>189709900</v>
      </c>
      <c r="N250" s="3">
        <v>1675600</v>
      </c>
      <c r="O250" s="3">
        <v>1675600</v>
      </c>
      <c r="P250" s="3">
        <v>3175400</v>
      </c>
      <c r="Q250" s="3">
        <v>3175400</v>
      </c>
      <c r="R250" s="3">
        <v>219400</v>
      </c>
      <c r="S250" s="3">
        <v>0</v>
      </c>
      <c r="T250" s="3">
        <v>0</v>
      </c>
      <c r="U250" s="3">
        <v>0</v>
      </c>
      <c r="V250" s="3">
        <v>2006</v>
      </c>
      <c r="W250" s="3">
        <v>43466900</v>
      </c>
      <c r="X250" s="3">
        <v>194780300</v>
      </c>
      <c r="Y250" s="3">
        <v>151313400</v>
      </c>
      <c r="Z250" s="3">
        <v>181495700</v>
      </c>
      <c r="AA250" s="3">
        <v>13284600</v>
      </c>
      <c r="AB250" s="3">
        <v>7</v>
      </c>
    </row>
    <row r="251" spans="1:28" x14ac:dyDescent="0.35">
      <c r="A251">
        <v>2022</v>
      </c>
      <c r="B251" t="str">
        <f t="shared" si="28"/>
        <v>13</v>
      </c>
      <c r="C251" t="s">
        <v>111</v>
      </c>
      <c r="D251" t="s">
        <v>35</v>
      </c>
      <c r="E251" t="str">
        <f t="shared" si="27"/>
        <v>251</v>
      </c>
      <c r="F251" t="s">
        <v>112</v>
      </c>
      <c r="G251" t="str">
        <f>"039"</f>
        <v>039</v>
      </c>
      <c r="H251" t="str">
        <f t="shared" si="29"/>
        <v>3269</v>
      </c>
      <c r="I251" s="3">
        <v>343979100</v>
      </c>
      <c r="J251" s="3">
        <v>100</v>
      </c>
      <c r="K251" s="3">
        <v>343979100</v>
      </c>
      <c r="L251" s="3">
        <v>0</v>
      </c>
      <c r="M251" s="3">
        <v>343979100</v>
      </c>
      <c r="N251" s="3">
        <v>83267900</v>
      </c>
      <c r="O251" s="3">
        <v>83267900</v>
      </c>
      <c r="P251" s="3">
        <v>10409100</v>
      </c>
      <c r="Q251" s="3">
        <v>10409100</v>
      </c>
      <c r="R251" s="3">
        <v>584100</v>
      </c>
      <c r="S251" s="3">
        <v>0</v>
      </c>
      <c r="T251" s="3">
        <v>0</v>
      </c>
      <c r="U251" s="3">
        <v>0</v>
      </c>
      <c r="V251" s="3">
        <v>2008</v>
      </c>
      <c r="W251" s="3">
        <v>263256500</v>
      </c>
      <c r="X251" s="3">
        <v>438240200</v>
      </c>
      <c r="Y251" s="3">
        <v>174983700</v>
      </c>
      <c r="Z251" s="3">
        <v>384728200</v>
      </c>
      <c r="AA251" s="3">
        <v>53512000</v>
      </c>
      <c r="AB251" s="3">
        <v>14</v>
      </c>
    </row>
    <row r="252" spans="1:28" x14ac:dyDescent="0.35">
      <c r="A252">
        <v>2022</v>
      </c>
      <c r="B252" t="str">
        <f t="shared" si="28"/>
        <v>13</v>
      </c>
      <c r="C252" t="s">
        <v>111</v>
      </c>
      <c r="D252" t="s">
        <v>35</v>
      </c>
      <c r="E252" t="str">
        <f t="shared" si="27"/>
        <v>251</v>
      </c>
      <c r="F252" t="s">
        <v>112</v>
      </c>
      <c r="G252" t="str">
        <f>"041"</f>
        <v>041</v>
      </c>
      <c r="H252" t="str">
        <f t="shared" si="29"/>
        <v>3269</v>
      </c>
      <c r="I252" s="3">
        <v>75203300</v>
      </c>
      <c r="J252" s="3">
        <v>100</v>
      </c>
      <c r="K252" s="3">
        <v>75203300</v>
      </c>
      <c r="L252" s="3">
        <v>0</v>
      </c>
      <c r="M252" s="3">
        <v>75203300</v>
      </c>
      <c r="N252" s="3">
        <v>0</v>
      </c>
      <c r="O252" s="3">
        <v>0</v>
      </c>
      <c r="P252" s="3">
        <v>0</v>
      </c>
      <c r="Q252" s="3">
        <v>0</v>
      </c>
      <c r="R252" s="3">
        <v>484700</v>
      </c>
      <c r="S252" s="3">
        <v>0</v>
      </c>
      <c r="T252" s="3">
        <v>0</v>
      </c>
      <c r="U252" s="3">
        <v>0</v>
      </c>
      <c r="V252" s="3">
        <v>2011</v>
      </c>
      <c r="W252" s="3">
        <v>18703300</v>
      </c>
      <c r="X252" s="3">
        <v>75688000</v>
      </c>
      <c r="Y252" s="3">
        <v>56984700</v>
      </c>
      <c r="Z252" s="3">
        <v>72378300</v>
      </c>
      <c r="AA252" s="3">
        <v>3309700</v>
      </c>
      <c r="AB252" s="3">
        <v>5</v>
      </c>
    </row>
    <row r="253" spans="1:28" x14ac:dyDescent="0.35">
      <c r="A253">
        <v>2022</v>
      </c>
      <c r="B253" t="str">
        <f t="shared" si="28"/>
        <v>13</v>
      </c>
      <c r="C253" t="s">
        <v>111</v>
      </c>
      <c r="D253" t="s">
        <v>35</v>
      </c>
      <c r="E253" t="str">
        <f t="shared" si="27"/>
        <v>251</v>
      </c>
      <c r="F253" t="s">
        <v>112</v>
      </c>
      <c r="G253" t="str">
        <f>"042"</f>
        <v>042</v>
      </c>
      <c r="H253" t="str">
        <f t="shared" si="29"/>
        <v>3269</v>
      </c>
      <c r="I253" s="3">
        <v>168004100</v>
      </c>
      <c r="J253" s="3">
        <v>100</v>
      </c>
      <c r="K253" s="3">
        <v>168004100</v>
      </c>
      <c r="L253" s="3">
        <v>0</v>
      </c>
      <c r="M253" s="3">
        <v>168004100</v>
      </c>
      <c r="N253" s="3">
        <v>0</v>
      </c>
      <c r="O253" s="3">
        <v>0</v>
      </c>
      <c r="P253" s="3">
        <v>10000</v>
      </c>
      <c r="Q253" s="3">
        <v>10000</v>
      </c>
      <c r="R253" s="3">
        <v>834200</v>
      </c>
      <c r="S253" s="3">
        <v>0</v>
      </c>
      <c r="T253" s="3">
        <v>0</v>
      </c>
      <c r="U253" s="3">
        <v>0</v>
      </c>
      <c r="V253" s="3">
        <v>2012</v>
      </c>
      <c r="W253" s="3">
        <v>50866200</v>
      </c>
      <c r="X253" s="3">
        <v>168848300</v>
      </c>
      <c r="Y253" s="3">
        <v>117982100</v>
      </c>
      <c r="Z253" s="3">
        <v>122529300</v>
      </c>
      <c r="AA253" s="3">
        <v>46319000</v>
      </c>
      <c r="AB253" s="3">
        <v>38</v>
      </c>
    </row>
    <row r="254" spans="1:28" x14ac:dyDescent="0.35">
      <c r="A254">
        <v>2022</v>
      </c>
      <c r="B254" t="str">
        <f t="shared" si="28"/>
        <v>13</v>
      </c>
      <c r="C254" t="s">
        <v>111</v>
      </c>
      <c r="D254" t="s">
        <v>35</v>
      </c>
      <c r="E254" t="str">
        <f t="shared" si="27"/>
        <v>251</v>
      </c>
      <c r="F254" t="s">
        <v>112</v>
      </c>
      <c r="G254" t="str">
        <f>"044"</f>
        <v>044</v>
      </c>
      <c r="H254" t="str">
        <f t="shared" si="29"/>
        <v>3269</v>
      </c>
      <c r="I254" s="3">
        <v>96105600</v>
      </c>
      <c r="J254" s="3">
        <v>100</v>
      </c>
      <c r="K254" s="3">
        <v>96105600</v>
      </c>
      <c r="L254" s="3">
        <v>0</v>
      </c>
      <c r="M254" s="3">
        <v>96105600</v>
      </c>
      <c r="N254" s="3">
        <v>0</v>
      </c>
      <c r="O254" s="3">
        <v>0</v>
      </c>
      <c r="P254" s="3">
        <v>0</v>
      </c>
      <c r="Q254" s="3">
        <v>0</v>
      </c>
      <c r="R254" s="3">
        <v>-3307700</v>
      </c>
      <c r="S254" s="3">
        <v>0</v>
      </c>
      <c r="T254" s="3">
        <v>0</v>
      </c>
      <c r="U254" s="3">
        <v>0</v>
      </c>
      <c r="V254" s="3">
        <v>2013</v>
      </c>
      <c r="W254" s="3">
        <v>30448400</v>
      </c>
      <c r="X254" s="3">
        <v>92797900</v>
      </c>
      <c r="Y254" s="3">
        <v>62349500</v>
      </c>
      <c r="Z254" s="3">
        <v>76072800</v>
      </c>
      <c r="AA254" s="3">
        <v>16725100</v>
      </c>
      <c r="AB254" s="3">
        <v>22</v>
      </c>
    </row>
    <row r="255" spans="1:28" x14ac:dyDescent="0.35">
      <c r="A255">
        <v>2022</v>
      </c>
      <c r="B255" t="str">
        <f t="shared" si="28"/>
        <v>13</v>
      </c>
      <c r="C255" t="s">
        <v>111</v>
      </c>
      <c r="D255" t="s">
        <v>35</v>
      </c>
      <c r="E255" t="str">
        <f t="shared" si="27"/>
        <v>251</v>
      </c>
      <c r="F255" t="s">
        <v>112</v>
      </c>
      <c r="G255" t="str">
        <f>"045"</f>
        <v>045</v>
      </c>
      <c r="H255" t="str">
        <f t="shared" si="29"/>
        <v>3269</v>
      </c>
      <c r="I255" s="3">
        <v>171130500</v>
      </c>
      <c r="J255" s="3">
        <v>100</v>
      </c>
      <c r="K255" s="3">
        <v>171130500</v>
      </c>
      <c r="L255" s="3">
        <v>0</v>
      </c>
      <c r="M255" s="3">
        <v>171130500</v>
      </c>
      <c r="N255" s="3">
        <v>0</v>
      </c>
      <c r="O255" s="3">
        <v>0</v>
      </c>
      <c r="P255" s="3">
        <v>0</v>
      </c>
      <c r="Q255" s="3">
        <v>0</v>
      </c>
      <c r="R255" s="3">
        <v>1186700</v>
      </c>
      <c r="S255" s="3">
        <v>0</v>
      </c>
      <c r="T255" s="3">
        <v>0</v>
      </c>
      <c r="U255" s="3">
        <v>0</v>
      </c>
      <c r="V255" s="3">
        <v>2015</v>
      </c>
      <c r="W255" s="3">
        <v>79304000</v>
      </c>
      <c r="X255" s="3">
        <v>172317200</v>
      </c>
      <c r="Y255" s="3">
        <v>93013200</v>
      </c>
      <c r="Z255" s="3">
        <v>174829200</v>
      </c>
      <c r="AA255" s="3">
        <v>-2512000</v>
      </c>
      <c r="AB255" s="3">
        <v>-1</v>
      </c>
    </row>
    <row r="256" spans="1:28" x14ac:dyDescent="0.35">
      <c r="A256">
        <v>2022</v>
      </c>
      <c r="B256" t="str">
        <f t="shared" si="28"/>
        <v>13</v>
      </c>
      <c r="C256" t="s">
        <v>111</v>
      </c>
      <c r="D256" t="s">
        <v>35</v>
      </c>
      <c r="E256" t="str">
        <f t="shared" si="27"/>
        <v>251</v>
      </c>
      <c r="F256" t="s">
        <v>112</v>
      </c>
      <c r="G256" t="str">
        <f>"046"</f>
        <v>046</v>
      </c>
      <c r="H256" t="str">
        <f t="shared" si="29"/>
        <v>3269</v>
      </c>
      <c r="I256" s="3">
        <v>307939200</v>
      </c>
      <c r="J256" s="3">
        <v>100</v>
      </c>
      <c r="K256" s="3">
        <v>307939200</v>
      </c>
      <c r="L256" s="3">
        <v>539837400</v>
      </c>
      <c r="M256" s="3">
        <v>539837400</v>
      </c>
      <c r="N256" s="3">
        <v>46044000</v>
      </c>
      <c r="O256" s="3">
        <v>46044000</v>
      </c>
      <c r="P256" s="3">
        <v>18252700</v>
      </c>
      <c r="Q256" s="3">
        <v>18252700</v>
      </c>
      <c r="R256" s="3">
        <v>-4213300</v>
      </c>
      <c r="S256" s="3">
        <v>0</v>
      </c>
      <c r="T256" s="3">
        <v>0</v>
      </c>
      <c r="U256" s="3">
        <v>0</v>
      </c>
      <c r="V256" s="3">
        <v>2015</v>
      </c>
      <c r="W256" s="3">
        <v>310459400</v>
      </c>
      <c r="X256" s="3">
        <v>599920800</v>
      </c>
      <c r="Y256" s="3">
        <v>289461400</v>
      </c>
      <c r="Z256" s="3">
        <v>347697500</v>
      </c>
      <c r="AA256" s="3">
        <v>252223300</v>
      </c>
      <c r="AB256" s="3">
        <v>73</v>
      </c>
    </row>
    <row r="257" spans="1:28" x14ac:dyDescent="0.35">
      <c r="A257">
        <v>2022</v>
      </c>
      <c r="B257" t="str">
        <f t="shared" si="28"/>
        <v>13</v>
      </c>
      <c r="C257" t="s">
        <v>111</v>
      </c>
      <c r="D257" t="s">
        <v>35</v>
      </c>
      <c r="E257" t="str">
        <f t="shared" si="27"/>
        <v>251</v>
      </c>
      <c r="F257" t="s">
        <v>112</v>
      </c>
      <c r="G257" t="str">
        <f>"046"</f>
        <v>046</v>
      </c>
      <c r="H257" t="str">
        <f>"3549"</f>
        <v>3549</v>
      </c>
      <c r="I257" s="3">
        <v>66248900</v>
      </c>
      <c r="J257" s="3">
        <v>100</v>
      </c>
      <c r="K257" s="3">
        <v>66248900</v>
      </c>
      <c r="L257" s="3">
        <v>69836400</v>
      </c>
      <c r="M257" s="3">
        <v>69836400</v>
      </c>
      <c r="N257" s="3">
        <v>0</v>
      </c>
      <c r="O257" s="3">
        <v>0</v>
      </c>
      <c r="P257" s="3">
        <v>0</v>
      </c>
      <c r="Q257" s="3">
        <v>0</v>
      </c>
      <c r="R257" s="3">
        <v>478700</v>
      </c>
      <c r="S257" s="3">
        <v>0</v>
      </c>
      <c r="T257" s="3">
        <v>0</v>
      </c>
      <c r="U257" s="3">
        <v>0</v>
      </c>
      <c r="V257" s="3">
        <v>2015</v>
      </c>
      <c r="W257" s="3">
        <v>10446900</v>
      </c>
      <c r="X257" s="3">
        <v>70315100</v>
      </c>
      <c r="Y257" s="3">
        <v>59868200</v>
      </c>
      <c r="Z257" s="3">
        <v>71493000</v>
      </c>
      <c r="AA257" s="3">
        <v>-1177900</v>
      </c>
      <c r="AB257" s="3">
        <v>-2</v>
      </c>
    </row>
    <row r="258" spans="1:28" x14ac:dyDescent="0.35">
      <c r="A258">
        <v>2022</v>
      </c>
      <c r="B258" t="str">
        <f t="shared" si="28"/>
        <v>13</v>
      </c>
      <c r="C258" t="s">
        <v>111</v>
      </c>
      <c r="D258" t="s">
        <v>35</v>
      </c>
      <c r="E258" t="str">
        <f t="shared" si="27"/>
        <v>251</v>
      </c>
      <c r="F258" t="s">
        <v>112</v>
      </c>
      <c r="G258" t="str">
        <f>"047"</f>
        <v>047</v>
      </c>
      <c r="H258" t="str">
        <f>"3549"</f>
        <v>3549</v>
      </c>
      <c r="I258" s="3">
        <v>28313400</v>
      </c>
      <c r="J258" s="3">
        <v>100</v>
      </c>
      <c r="K258" s="3">
        <v>28313400</v>
      </c>
      <c r="L258" s="3">
        <v>0</v>
      </c>
      <c r="M258" s="3">
        <v>28313400</v>
      </c>
      <c r="N258" s="3">
        <v>0</v>
      </c>
      <c r="O258" s="3">
        <v>0</v>
      </c>
      <c r="P258" s="3">
        <v>0</v>
      </c>
      <c r="Q258" s="3">
        <v>0</v>
      </c>
      <c r="R258" s="3">
        <v>188100</v>
      </c>
      <c r="S258" s="3">
        <v>0</v>
      </c>
      <c r="T258" s="3">
        <v>0</v>
      </c>
      <c r="U258" s="3">
        <v>0</v>
      </c>
      <c r="V258" s="3">
        <v>2017</v>
      </c>
      <c r="W258" s="3">
        <v>10032600</v>
      </c>
      <c r="X258" s="3">
        <v>28501500</v>
      </c>
      <c r="Y258" s="3">
        <v>18468900</v>
      </c>
      <c r="Z258" s="3">
        <v>28125300</v>
      </c>
      <c r="AA258" s="3">
        <v>376200</v>
      </c>
      <c r="AB258" s="3">
        <v>1</v>
      </c>
    </row>
    <row r="259" spans="1:28" x14ac:dyDescent="0.35">
      <c r="A259">
        <v>2022</v>
      </c>
      <c r="B259" t="str">
        <f t="shared" si="28"/>
        <v>13</v>
      </c>
      <c r="C259" t="s">
        <v>111</v>
      </c>
      <c r="D259" t="s">
        <v>35</v>
      </c>
      <c r="E259" t="str">
        <f t="shared" si="27"/>
        <v>251</v>
      </c>
      <c r="F259" t="s">
        <v>112</v>
      </c>
      <c r="G259" t="str">
        <f>"048"</f>
        <v>048</v>
      </c>
      <c r="H259" t="str">
        <f>"3269"</f>
        <v>3269</v>
      </c>
      <c r="I259" s="3">
        <v>279418400</v>
      </c>
      <c r="J259" s="3">
        <v>100</v>
      </c>
      <c r="K259" s="3">
        <v>279418400</v>
      </c>
      <c r="L259" s="3">
        <v>0</v>
      </c>
      <c r="M259" s="3">
        <v>279418400</v>
      </c>
      <c r="N259" s="3">
        <v>0</v>
      </c>
      <c r="O259" s="3">
        <v>0</v>
      </c>
      <c r="P259" s="3">
        <v>27800</v>
      </c>
      <c r="Q259" s="3">
        <v>27800</v>
      </c>
      <c r="R259" s="3">
        <v>0</v>
      </c>
      <c r="S259" s="3">
        <v>0</v>
      </c>
      <c r="T259" s="3">
        <v>0</v>
      </c>
      <c r="U259" s="3">
        <v>0</v>
      </c>
      <c r="V259" s="3">
        <v>2021</v>
      </c>
      <c r="W259" s="3">
        <v>240896200</v>
      </c>
      <c r="X259" s="3">
        <v>279446200</v>
      </c>
      <c r="Y259" s="3">
        <v>38550000</v>
      </c>
      <c r="Z259" s="3">
        <v>240896200</v>
      </c>
      <c r="AA259" s="3">
        <v>38550000</v>
      </c>
      <c r="AB259" s="3">
        <v>16</v>
      </c>
    </row>
    <row r="260" spans="1:28" x14ac:dyDescent="0.35">
      <c r="A260">
        <v>2022</v>
      </c>
      <c r="B260" t="str">
        <f t="shared" si="28"/>
        <v>13</v>
      </c>
      <c r="C260" t="s">
        <v>111</v>
      </c>
      <c r="D260" t="s">
        <v>35</v>
      </c>
      <c r="E260" t="str">
        <f>"255"</f>
        <v>255</v>
      </c>
      <c r="F260" t="s">
        <v>132</v>
      </c>
      <c r="G260" t="str">
        <f>"003"</f>
        <v>003</v>
      </c>
      <c r="H260" t="str">
        <f>"3549"</f>
        <v>3549</v>
      </c>
      <c r="I260" s="3">
        <v>539659500</v>
      </c>
      <c r="J260" s="3">
        <v>100</v>
      </c>
      <c r="K260" s="3">
        <v>539659500</v>
      </c>
      <c r="L260" s="3">
        <v>0</v>
      </c>
      <c r="M260" s="3">
        <v>539659500</v>
      </c>
      <c r="N260" s="3">
        <v>44820800</v>
      </c>
      <c r="O260" s="3">
        <v>44820800</v>
      </c>
      <c r="P260" s="3">
        <v>11173800</v>
      </c>
      <c r="Q260" s="3">
        <v>11173800</v>
      </c>
      <c r="R260" s="3">
        <v>783800</v>
      </c>
      <c r="S260" s="3">
        <v>0</v>
      </c>
      <c r="T260" s="3">
        <v>0</v>
      </c>
      <c r="U260" s="3">
        <v>31224200</v>
      </c>
      <c r="V260" s="3">
        <v>1993</v>
      </c>
      <c r="W260" s="3">
        <v>55868200</v>
      </c>
      <c r="X260" s="3">
        <v>627662100</v>
      </c>
      <c r="Y260" s="3">
        <v>571793900</v>
      </c>
      <c r="Z260" s="3">
        <v>601291600</v>
      </c>
      <c r="AA260" s="3">
        <v>26370500</v>
      </c>
      <c r="AB260" s="3">
        <v>4</v>
      </c>
    </row>
    <row r="261" spans="1:28" x14ac:dyDescent="0.35">
      <c r="A261">
        <v>2022</v>
      </c>
      <c r="B261" t="str">
        <f t="shared" si="28"/>
        <v>13</v>
      </c>
      <c r="C261" t="s">
        <v>111</v>
      </c>
      <c r="D261" t="s">
        <v>35</v>
      </c>
      <c r="E261" t="str">
        <f>"255"</f>
        <v>255</v>
      </c>
      <c r="F261" t="s">
        <v>132</v>
      </c>
      <c r="G261" t="str">
        <f>"005"</f>
        <v>005</v>
      </c>
      <c r="H261" t="str">
        <f>"3549"</f>
        <v>3549</v>
      </c>
      <c r="I261" s="3">
        <v>255822300</v>
      </c>
      <c r="J261" s="3">
        <v>100</v>
      </c>
      <c r="K261" s="3">
        <v>255822300</v>
      </c>
      <c r="L261" s="3">
        <v>0</v>
      </c>
      <c r="M261" s="3">
        <v>255822300</v>
      </c>
      <c r="N261" s="3">
        <v>7247100</v>
      </c>
      <c r="O261" s="3">
        <v>7247100</v>
      </c>
      <c r="P261" s="3">
        <v>1188800</v>
      </c>
      <c r="Q261" s="3">
        <v>1188800</v>
      </c>
      <c r="R261" s="3">
        <v>307500</v>
      </c>
      <c r="S261" s="3">
        <v>0</v>
      </c>
      <c r="T261" s="3">
        <v>0</v>
      </c>
      <c r="U261" s="3">
        <v>0</v>
      </c>
      <c r="V261" s="3">
        <v>2009</v>
      </c>
      <c r="W261" s="3">
        <v>89571300</v>
      </c>
      <c r="X261" s="3">
        <v>264565700</v>
      </c>
      <c r="Y261" s="3">
        <v>174994400</v>
      </c>
      <c r="Z261" s="3">
        <v>214700500</v>
      </c>
      <c r="AA261" s="3">
        <v>49865200</v>
      </c>
      <c r="AB261" s="3">
        <v>23</v>
      </c>
    </row>
    <row r="262" spans="1:28" x14ac:dyDescent="0.35">
      <c r="A262">
        <v>2022</v>
      </c>
      <c r="B262" t="str">
        <f t="shared" si="28"/>
        <v>13</v>
      </c>
      <c r="C262" t="s">
        <v>111</v>
      </c>
      <c r="D262" t="s">
        <v>35</v>
      </c>
      <c r="E262" t="str">
        <f t="shared" ref="E262:E267" si="30">"258"</f>
        <v>258</v>
      </c>
      <c r="F262" t="s">
        <v>133</v>
      </c>
      <c r="G262" t="str">
        <f>"004"</f>
        <v>004</v>
      </c>
      <c r="H262" t="str">
        <f t="shared" ref="H262:H267" si="31">"3675"</f>
        <v>3675</v>
      </c>
      <c r="I262" s="3">
        <v>58583600</v>
      </c>
      <c r="J262" s="3">
        <v>100</v>
      </c>
      <c r="K262" s="3">
        <v>58583600</v>
      </c>
      <c r="L262" s="3">
        <v>0</v>
      </c>
      <c r="M262" s="3">
        <v>58583600</v>
      </c>
      <c r="N262" s="3">
        <v>0</v>
      </c>
      <c r="O262" s="3">
        <v>0</v>
      </c>
      <c r="P262" s="3">
        <v>0</v>
      </c>
      <c r="Q262" s="3">
        <v>0</v>
      </c>
      <c r="R262" s="3">
        <v>1262000</v>
      </c>
      <c r="S262" s="3">
        <v>0</v>
      </c>
      <c r="T262" s="3">
        <v>0</v>
      </c>
      <c r="U262" s="3">
        <v>6224800</v>
      </c>
      <c r="V262" s="3">
        <v>2000</v>
      </c>
      <c r="W262" s="3">
        <v>29942500</v>
      </c>
      <c r="X262" s="3">
        <v>66070400</v>
      </c>
      <c r="Y262" s="3">
        <v>36127900</v>
      </c>
      <c r="Z262" s="3">
        <v>56025300</v>
      </c>
      <c r="AA262" s="3">
        <v>10045100</v>
      </c>
      <c r="AB262" s="3">
        <v>18</v>
      </c>
    </row>
    <row r="263" spans="1:28" x14ac:dyDescent="0.35">
      <c r="A263">
        <v>2022</v>
      </c>
      <c r="B263" t="str">
        <f t="shared" si="28"/>
        <v>13</v>
      </c>
      <c r="C263" t="s">
        <v>111</v>
      </c>
      <c r="D263" t="s">
        <v>35</v>
      </c>
      <c r="E263" t="str">
        <f t="shared" si="30"/>
        <v>258</v>
      </c>
      <c r="F263" t="s">
        <v>133</v>
      </c>
      <c r="G263" t="str">
        <f>"005"</f>
        <v>005</v>
      </c>
      <c r="H263" t="str">
        <f t="shared" si="31"/>
        <v>3675</v>
      </c>
      <c r="I263" s="3">
        <v>25813400</v>
      </c>
      <c r="J263" s="3">
        <v>100</v>
      </c>
      <c r="K263" s="3">
        <v>25813400</v>
      </c>
      <c r="L263" s="3">
        <v>0</v>
      </c>
      <c r="M263" s="3">
        <v>25813400</v>
      </c>
      <c r="N263" s="3">
        <v>0</v>
      </c>
      <c r="O263" s="3">
        <v>0</v>
      </c>
      <c r="P263" s="3">
        <v>0</v>
      </c>
      <c r="Q263" s="3">
        <v>0</v>
      </c>
      <c r="R263" s="3">
        <v>602900</v>
      </c>
      <c r="S263" s="3">
        <v>0</v>
      </c>
      <c r="T263" s="3">
        <v>0</v>
      </c>
      <c r="U263" s="3">
        <v>0</v>
      </c>
      <c r="V263" s="3">
        <v>2008</v>
      </c>
      <c r="W263" s="3">
        <v>4399900</v>
      </c>
      <c r="X263" s="3">
        <v>26416300</v>
      </c>
      <c r="Y263" s="3">
        <v>22016400</v>
      </c>
      <c r="Z263" s="3">
        <v>23929700</v>
      </c>
      <c r="AA263" s="3">
        <v>2486600</v>
      </c>
      <c r="AB263" s="3">
        <v>10</v>
      </c>
    </row>
    <row r="264" spans="1:28" x14ac:dyDescent="0.35">
      <c r="A264">
        <v>2022</v>
      </c>
      <c r="B264" t="str">
        <f t="shared" si="28"/>
        <v>13</v>
      </c>
      <c r="C264" t="s">
        <v>111</v>
      </c>
      <c r="D264" t="s">
        <v>35</v>
      </c>
      <c r="E264" t="str">
        <f t="shared" si="30"/>
        <v>258</v>
      </c>
      <c r="F264" t="s">
        <v>133</v>
      </c>
      <c r="G264" t="str">
        <f>"006"</f>
        <v>006</v>
      </c>
      <c r="H264" t="str">
        <f t="shared" si="31"/>
        <v>3675</v>
      </c>
      <c r="I264" s="3">
        <v>45215100</v>
      </c>
      <c r="J264" s="3">
        <v>100</v>
      </c>
      <c r="K264" s="3">
        <v>45215100</v>
      </c>
      <c r="L264" s="3">
        <v>0</v>
      </c>
      <c r="M264" s="3">
        <v>45215100</v>
      </c>
      <c r="N264" s="3">
        <v>0</v>
      </c>
      <c r="O264" s="3">
        <v>0</v>
      </c>
      <c r="P264" s="3">
        <v>0</v>
      </c>
      <c r="Q264" s="3">
        <v>0</v>
      </c>
      <c r="R264" s="3">
        <v>1113700</v>
      </c>
      <c r="S264" s="3">
        <v>0</v>
      </c>
      <c r="T264" s="3">
        <v>0</v>
      </c>
      <c r="U264" s="3">
        <v>0</v>
      </c>
      <c r="V264" s="3">
        <v>2010</v>
      </c>
      <c r="W264" s="3">
        <v>17693000</v>
      </c>
      <c r="X264" s="3">
        <v>46328800</v>
      </c>
      <c r="Y264" s="3">
        <v>28635800</v>
      </c>
      <c r="Z264" s="3">
        <v>44136600</v>
      </c>
      <c r="AA264" s="3">
        <v>2192200</v>
      </c>
      <c r="AB264" s="3">
        <v>5</v>
      </c>
    </row>
    <row r="265" spans="1:28" x14ac:dyDescent="0.35">
      <c r="A265">
        <v>2022</v>
      </c>
      <c r="B265" t="str">
        <f t="shared" si="28"/>
        <v>13</v>
      </c>
      <c r="C265" t="s">
        <v>111</v>
      </c>
      <c r="D265" t="s">
        <v>35</v>
      </c>
      <c r="E265" t="str">
        <f t="shared" si="30"/>
        <v>258</v>
      </c>
      <c r="F265" t="s">
        <v>133</v>
      </c>
      <c r="G265" t="str">
        <f>"007"</f>
        <v>007</v>
      </c>
      <c r="H265" t="str">
        <f t="shared" si="31"/>
        <v>3675</v>
      </c>
      <c r="I265" s="3">
        <v>18898300</v>
      </c>
      <c r="J265" s="3">
        <v>100</v>
      </c>
      <c r="K265" s="3">
        <v>18898300</v>
      </c>
      <c r="L265" s="3">
        <v>0</v>
      </c>
      <c r="M265" s="3">
        <v>18898300</v>
      </c>
      <c r="N265" s="3">
        <v>0</v>
      </c>
      <c r="O265" s="3">
        <v>0</v>
      </c>
      <c r="P265" s="3">
        <v>0</v>
      </c>
      <c r="Q265" s="3">
        <v>0</v>
      </c>
      <c r="R265" s="3">
        <v>358600</v>
      </c>
      <c r="S265" s="3">
        <v>0</v>
      </c>
      <c r="T265" s="3">
        <v>0</v>
      </c>
      <c r="U265" s="3">
        <v>0</v>
      </c>
      <c r="V265" s="3">
        <v>2012</v>
      </c>
      <c r="W265" s="3">
        <v>8247500</v>
      </c>
      <c r="X265" s="3">
        <v>19256900</v>
      </c>
      <c r="Y265" s="3">
        <v>11009400</v>
      </c>
      <c r="Z265" s="3">
        <v>12862400</v>
      </c>
      <c r="AA265" s="3">
        <v>6394500</v>
      </c>
      <c r="AB265" s="3">
        <v>50</v>
      </c>
    </row>
    <row r="266" spans="1:28" x14ac:dyDescent="0.35">
      <c r="A266">
        <v>2022</v>
      </c>
      <c r="B266" t="str">
        <f t="shared" si="28"/>
        <v>13</v>
      </c>
      <c r="C266" t="s">
        <v>111</v>
      </c>
      <c r="D266" t="s">
        <v>35</v>
      </c>
      <c r="E266" t="str">
        <f t="shared" si="30"/>
        <v>258</v>
      </c>
      <c r="F266" t="s">
        <v>133</v>
      </c>
      <c r="G266" t="str">
        <f>"008"</f>
        <v>008</v>
      </c>
      <c r="H266" t="str">
        <f t="shared" si="31"/>
        <v>3675</v>
      </c>
      <c r="I266" s="3">
        <v>27933300</v>
      </c>
      <c r="J266" s="3">
        <v>100</v>
      </c>
      <c r="K266" s="3">
        <v>27933300</v>
      </c>
      <c r="L266" s="3">
        <v>0</v>
      </c>
      <c r="M266" s="3">
        <v>27933300</v>
      </c>
      <c r="N266" s="3">
        <v>0</v>
      </c>
      <c r="O266" s="3">
        <v>0</v>
      </c>
      <c r="P266" s="3">
        <v>0</v>
      </c>
      <c r="Q266" s="3">
        <v>0</v>
      </c>
      <c r="R266" s="3">
        <v>652700</v>
      </c>
      <c r="S266" s="3">
        <v>0</v>
      </c>
      <c r="T266" s="3">
        <v>0</v>
      </c>
      <c r="U266" s="3">
        <v>0</v>
      </c>
      <c r="V266" s="3">
        <v>2012</v>
      </c>
      <c r="W266" s="3">
        <v>416000</v>
      </c>
      <c r="X266" s="3">
        <v>28586000</v>
      </c>
      <c r="Y266" s="3">
        <v>28170000</v>
      </c>
      <c r="Z266" s="3">
        <v>25866500</v>
      </c>
      <c r="AA266" s="3">
        <v>2719500</v>
      </c>
      <c r="AB266" s="3">
        <v>11</v>
      </c>
    </row>
    <row r="267" spans="1:28" x14ac:dyDescent="0.35">
      <c r="A267">
        <v>2022</v>
      </c>
      <c r="B267" t="str">
        <f t="shared" si="28"/>
        <v>13</v>
      </c>
      <c r="C267" t="s">
        <v>111</v>
      </c>
      <c r="D267" t="s">
        <v>35</v>
      </c>
      <c r="E267" t="str">
        <f t="shared" si="30"/>
        <v>258</v>
      </c>
      <c r="F267" t="s">
        <v>133</v>
      </c>
      <c r="G267" t="str">
        <f>"009"</f>
        <v>009</v>
      </c>
      <c r="H267" t="str">
        <f t="shared" si="31"/>
        <v>3675</v>
      </c>
      <c r="I267" s="3">
        <v>65378100</v>
      </c>
      <c r="J267" s="3">
        <v>100</v>
      </c>
      <c r="K267" s="3">
        <v>65378100</v>
      </c>
      <c r="L267" s="3">
        <v>0</v>
      </c>
      <c r="M267" s="3">
        <v>65378100</v>
      </c>
      <c r="N267" s="3">
        <v>0</v>
      </c>
      <c r="O267" s="3">
        <v>0</v>
      </c>
      <c r="P267" s="3">
        <v>0</v>
      </c>
      <c r="Q267" s="3">
        <v>0</v>
      </c>
      <c r="R267" s="3">
        <v>930000</v>
      </c>
      <c r="S267" s="3">
        <v>0</v>
      </c>
      <c r="T267" s="3">
        <v>0</v>
      </c>
      <c r="U267" s="3">
        <v>0</v>
      </c>
      <c r="V267" s="3">
        <v>2015</v>
      </c>
      <c r="W267" s="3">
        <v>7246100</v>
      </c>
      <c r="X267" s="3">
        <v>66308100</v>
      </c>
      <c r="Y267" s="3">
        <v>59062000</v>
      </c>
      <c r="Z267" s="3">
        <v>36842500</v>
      </c>
      <c r="AA267" s="3">
        <v>29465600</v>
      </c>
      <c r="AB267" s="3">
        <v>80</v>
      </c>
    </row>
    <row r="268" spans="1:28" x14ac:dyDescent="0.35">
      <c r="A268">
        <v>2022</v>
      </c>
      <c r="B268" t="str">
        <f t="shared" si="28"/>
        <v>13</v>
      </c>
      <c r="C268" t="s">
        <v>111</v>
      </c>
      <c r="D268" t="s">
        <v>35</v>
      </c>
      <c r="E268" t="str">
        <f>"281"</f>
        <v>281</v>
      </c>
      <c r="F268" t="s">
        <v>134</v>
      </c>
      <c r="G268" t="str">
        <f>"004"</f>
        <v>004</v>
      </c>
      <c r="H268" t="str">
        <f>"5621"</f>
        <v>5621</v>
      </c>
      <c r="I268" s="3">
        <v>15456300</v>
      </c>
      <c r="J268" s="3">
        <v>100</v>
      </c>
      <c r="K268" s="3">
        <v>15456300</v>
      </c>
      <c r="L268" s="3">
        <v>0</v>
      </c>
      <c r="M268" s="3">
        <v>15456300</v>
      </c>
      <c r="N268" s="3">
        <v>82000</v>
      </c>
      <c r="O268" s="3">
        <v>82000</v>
      </c>
      <c r="P268" s="3">
        <v>300</v>
      </c>
      <c r="Q268" s="3">
        <v>300</v>
      </c>
      <c r="R268" s="3">
        <v>201500</v>
      </c>
      <c r="S268" s="3">
        <v>0</v>
      </c>
      <c r="T268" s="3">
        <v>0</v>
      </c>
      <c r="U268" s="3">
        <v>3763900</v>
      </c>
      <c r="V268" s="3">
        <v>1999</v>
      </c>
      <c r="W268" s="3">
        <v>9765300</v>
      </c>
      <c r="X268" s="3">
        <v>19504000</v>
      </c>
      <c r="Y268" s="3">
        <v>9738700</v>
      </c>
      <c r="Z268" s="3">
        <v>17670400</v>
      </c>
      <c r="AA268" s="3">
        <v>1833600</v>
      </c>
      <c r="AB268" s="3">
        <v>10</v>
      </c>
    </row>
    <row r="269" spans="1:28" x14ac:dyDescent="0.35">
      <c r="A269">
        <v>2022</v>
      </c>
      <c r="B269" t="str">
        <f t="shared" si="28"/>
        <v>13</v>
      </c>
      <c r="C269" t="s">
        <v>111</v>
      </c>
      <c r="D269" t="s">
        <v>35</v>
      </c>
      <c r="E269" t="str">
        <f>"281"</f>
        <v>281</v>
      </c>
      <c r="F269" t="s">
        <v>134</v>
      </c>
      <c r="G269" t="str">
        <f>"005"</f>
        <v>005</v>
      </c>
      <c r="H269" t="str">
        <f>"5621"</f>
        <v>5621</v>
      </c>
      <c r="I269" s="3">
        <v>11700100</v>
      </c>
      <c r="J269" s="3">
        <v>100</v>
      </c>
      <c r="K269" s="3">
        <v>11700100</v>
      </c>
      <c r="L269" s="3">
        <v>0</v>
      </c>
      <c r="M269" s="3">
        <v>11700100</v>
      </c>
      <c r="N269" s="3">
        <v>1589000</v>
      </c>
      <c r="O269" s="3">
        <v>1589000</v>
      </c>
      <c r="P269" s="3">
        <v>116700</v>
      </c>
      <c r="Q269" s="3">
        <v>116700</v>
      </c>
      <c r="R269" s="3">
        <v>172500</v>
      </c>
      <c r="S269" s="3">
        <v>0</v>
      </c>
      <c r="T269" s="3">
        <v>0</v>
      </c>
      <c r="U269" s="3">
        <v>0</v>
      </c>
      <c r="V269" s="3">
        <v>2010</v>
      </c>
      <c r="W269" s="3">
        <v>10269200</v>
      </c>
      <c r="X269" s="3">
        <v>13578300</v>
      </c>
      <c r="Y269" s="3">
        <v>3309100</v>
      </c>
      <c r="Z269" s="3">
        <v>13483600</v>
      </c>
      <c r="AA269" s="3">
        <v>94700</v>
      </c>
      <c r="AB269" s="3">
        <v>1</v>
      </c>
    </row>
    <row r="270" spans="1:28" x14ac:dyDescent="0.35">
      <c r="A270">
        <v>2022</v>
      </c>
      <c r="B270" t="str">
        <f t="shared" si="28"/>
        <v>13</v>
      </c>
      <c r="C270" t="s">
        <v>111</v>
      </c>
      <c r="D270" t="s">
        <v>35</v>
      </c>
      <c r="E270" t="str">
        <f>"281"</f>
        <v>281</v>
      </c>
      <c r="F270" t="s">
        <v>134</v>
      </c>
      <c r="G270" t="str">
        <f>"006"</f>
        <v>006</v>
      </c>
      <c r="H270" t="str">
        <f>"5621"</f>
        <v>5621</v>
      </c>
      <c r="I270" s="3">
        <v>4149400</v>
      </c>
      <c r="J270" s="3">
        <v>100</v>
      </c>
      <c r="K270" s="3">
        <v>4149400</v>
      </c>
      <c r="L270" s="3">
        <v>0</v>
      </c>
      <c r="M270" s="3">
        <v>4149400</v>
      </c>
      <c r="N270" s="3">
        <v>0</v>
      </c>
      <c r="O270" s="3">
        <v>0</v>
      </c>
      <c r="P270" s="3">
        <v>0</v>
      </c>
      <c r="Q270" s="3">
        <v>0</v>
      </c>
      <c r="R270" s="3">
        <v>46900</v>
      </c>
      <c r="S270" s="3">
        <v>0</v>
      </c>
      <c r="T270" s="3">
        <v>0</v>
      </c>
      <c r="U270" s="3">
        <v>0</v>
      </c>
      <c r="V270" s="3">
        <v>2015</v>
      </c>
      <c r="W270" s="3">
        <v>10000</v>
      </c>
      <c r="X270" s="3">
        <v>4196300</v>
      </c>
      <c r="Y270" s="3">
        <v>4186300</v>
      </c>
      <c r="Z270" s="3">
        <v>3201400</v>
      </c>
      <c r="AA270" s="3">
        <v>994900</v>
      </c>
      <c r="AB270" s="3">
        <v>31</v>
      </c>
    </row>
    <row r="271" spans="1:28" x14ac:dyDescent="0.35">
      <c r="A271">
        <v>2022</v>
      </c>
      <c r="B271" t="str">
        <f t="shared" si="28"/>
        <v>13</v>
      </c>
      <c r="C271" t="s">
        <v>111</v>
      </c>
      <c r="D271" t="s">
        <v>35</v>
      </c>
      <c r="E271" t="str">
        <f>"281"</f>
        <v>281</v>
      </c>
      <c r="F271" t="s">
        <v>134</v>
      </c>
      <c r="G271" t="str">
        <f>"007"</f>
        <v>007</v>
      </c>
      <c r="H271" t="str">
        <f>"5621"</f>
        <v>5621</v>
      </c>
      <c r="I271" s="3">
        <v>50393500</v>
      </c>
      <c r="J271" s="3">
        <v>100</v>
      </c>
      <c r="K271" s="3">
        <v>50393500</v>
      </c>
      <c r="L271" s="3">
        <v>0</v>
      </c>
      <c r="M271" s="3">
        <v>50393500</v>
      </c>
      <c r="N271" s="3">
        <v>0</v>
      </c>
      <c r="O271" s="3">
        <v>0</v>
      </c>
      <c r="P271" s="3">
        <v>0</v>
      </c>
      <c r="Q271" s="3">
        <v>0</v>
      </c>
      <c r="R271" s="3">
        <v>604600</v>
      </c>
      <c r="S271" s="3">
        <v>0</v>
      </c>
      <c r="T271" s="3">
        <v>0</v>
      </c>
      <c r="U271" s="3">
        <v>0</v>
      </c>
      <c r="V271" s="3">
        <v>2015</v>
      </c>
      <c r="W271" s="3">
        <v>1111800</v>
      </c>
      <c r="X271" s="3">
        <v>50998100</v>
      </c>
      <c r="Y271" s="3">
        <v>49886300</v>
      </c>
      <c r="Z271" s="3">
        <v>41431300</v>
      </c>
      <c r="AA271" s="3">
        <v>9566800</v>
      </c>
      <c r="AB271" s="3">
        <v>23</v>
      </c>
    </row>
    <row r="272" spans="1:28" x14ac:dyDescent="0.35">
      <c r="A272">
        <v>2022</v>
      </c>
      <c r="B272" t="str">
        <f t="shared" si="28"/>
        <v>13</v>
      </c>
      <c r="C272" t="s">
        <v>111</v>
      </c>
      <c r="D272" t="s">
        <v>35</v>
      </c>
      <c r="E272" t="str">
        <f>"281"</f>
        <v>281</v>
      </c>
      <c r="F272" t="s">
        <v>134</v>
      </c>
      <c r="G272" t="str">
        <f>"008"</f>
        <v>008</v>
      </c>
      <c r="H272" t="str">
        <f>"5621"</f>
        <v>5621</v>
      </c>
      <c r="I272" s="3">
        <v>7809000</v>
      </c>
      <c r="J272" s="3">
        <v>100</v>
      </c>
      <c r="K272" s="3">
        <v>7809000</v>
      </c>
      <c r="L272" s="3">
        <v>0</v>
      </c>
      <c r="M272" s="3">
        <v>7809000</v>
      </c>
      <c r="N272" s="3">
        <v>685000</v>
      </c>
      <c r="O272" s="3">
        <v>685000</v>
      </c>
      <c r="P272" s="3">
        <v>0</v>
      </c>
      <c r="Q272" s="3">
        <v>0</v>
      </c>
      <c r="R272" s="3">
        <v>102700</v>
      </c>
      <c r="S272" s="3">
        <v>0</v>
      </c>
      <c r="T272" s="3">
        <v>0</v>
      </c>
      <c r="U272" s="3">
        <v>0</v>
      </c>
      <c r="V272" s="3">
        <v>2018</v>
      </c>
      <c r="W272" s="3">
        <v>7376600</v>
      </c>
      <c r="X272" s="3">
        <v>8596700</v>
      </c>
      <c r="Y272" s="3">
        <v>1220100</v>
      </c>
      <c r="Z272" s="3">
        <v>7710400</v>
      </c>
      <c r="AA272" s="3">
        <v>886300</v>
      </c>
      <c r="AB272" s="3">
        <v>11</v>
      </c>
    </row>
    <row r="273" spans="1:28" x14ac:dyDescent="0.35">
      <c r="A273">
        <v>2022</v>
      </c>
      <c r="B273" t="str">
        <f t="shared" si="28"/>
        <v>13</v>
      </c>
      <c r="C273" t="s">
        <v>111</v>
      </c>
      <c r="D273" t="s">
        <v>35</v>
      </c>
      <c r="E273" t="str">
        <f t="shared" ref="E273:E278" si="32">"282"</f>
        <v>282</v>
      </c>
      <c r="F273" t="s">
        <v>135</v>
      </c>
      <c r="G273" t="str">
        <f>"008"</f>
        <v>008</v>
      </c>
      <c r="H273" t="str">
        <f t="shared" ref="H273:H278" si="33">"5656"</f>
        <v>5656</v>
      </c>
      <c r="I273" s="3">
        <v>107389400</v>
      </c>
      <c r="J273" s="3">
        <v>83.96</v>
      </c>
      <c r="K273" s="3">
        <v>127905400</v>
      </c>
      <c r="L273" s="3">
        <v>0</v>
      </c>
      <c r="M273" s="3">
        <v>127905400</v>
      </c>
      <c r="N273" s="3">
        <v>2409900</v>
      </c>
      <c r="O273" s="3">
        <v>2409900</v>
      </c>
      <c r="P273" s="3">
        <v>76100</v>
      </c>
      <c r="Q273" s="3">
        <v>76100</v>
      </c>
      <c r="R273" s="3">
        <v>-5877000</v>
      </c>
      <c r="S273" s="3">
        <v>0</v>
      </c>
      <c r="T273" s="3">
        <v>0</v>
      </c>
      <c r="U273" s="3">
        <v>4967500</v>
      </c>
      <c r="V273" s="3">
        <v>2002</v>
      </c>
      <c r="W273" s="3">
        <v>22279000</v>
      </c>
      <c r="X273" s="3">
        <v>129481900</v>
      </c>
      <c r="Y273" s="3">
        <v>107202900</v>
      </c>
      <c r="Z273" s="3">
        <v>134680800</v>
      </c>
      <c r="AA273" s="3">
        <v>-5198900</v>
      </c>
      <c r="AB273" s="3">
        <v>-4</v>
      </c>
    </row>
    <row r="274" spans="1:28" x14ac:dyDescent="0.35">
      <c r="A274">
        <v>2022</v>
      </c>
      <c r="B274" t="str">
        <f t="shared" si="28"/>
        <v>13</v>
      </c>
      <c r="C274" t="s">
        <v>111</v>
      </c>
      <c r="D274" t="s">
        <v>35</v>
      </c>
      <c r="E274" t="str">
        <f t="shared" si="32"/>
        <v>282</v>
      </c>
      <c r="F274" t="s">
        <v>135</v>
      </c>
      <c r="G274" t="str">
        <f>"009"</f>
        <v>009</v>
      </c>
      <c r="H274" t="str">
        <f t="shared" si="33"/>
        <v>5656</v>
      </c>
      <c r="I274" s="3">
        <v>92217000</v>
      </c>
      <c r="J274" s="3">
        <v>83.96</v>
      </c>
      <c r="K274" s="3">
        <v>109834400</v>
      </c>
      <c r="L274" s="3">
        <v>0</v>
      </c>
      <c r="M274" s="3">
        <v>109834400</v>
      </c>
      <c r="N274" s="3">
        <v>687200</v>
      </c>
      <c r="O274" s="3">
        <v>687200</v>
      </c>
      <c r="P274" s="3">
        <v>8700</v>
      </c>
      <c r="Q274" s="3">
        <v>8700</v>
      </c>
      <c r="R274" s="3">
        <v>-6068100</v>
      </c>
      <c r="S274" s="3">
        <v>0</v>
      </c>
      <c r="T274" s="3">
        <v>0</v>
      </c>
      <c r="U274" s="3">
        <v>0</v>
      </c>
      <c r="V274" s="3">
        <v>2007</v>
      </c>
      <c r="W274" s="3">
        <v>12294900</v>
      </c>
      <c r="X274" s="3">
        <v>104462200</v>
      </c>
      <c r="Y274" s="3">
        <v>92167300</v>
      </c>
      <c r="Z274" s="3">
        <v>102982200</v>
      </c>
      <c r="AA274" s="3">
        <v>1480000</v>
      </c>
      <c r="AB274" s="3">
        <v>1</v>
      </c>
    </row>
    <row r="275" spans="1:28" x14ac:dyDescent="0.35">
      <c r="A275">
        <v>2022</v>
      </c>
      <c r="B275" t="str">
        <f t="shared" si="28"/>
        <v>13</v>
      </c>
      <c r="C275" t="s">
        <v>111</v>
      </c>
      <c r="D275" t="s">
        <v>35</v>
      </c>
      <c r="E275" t="str">
        <f t="shared" si="32"/>
        <v>282</v>
      </c>
      <c r="F275" t="s">
        <v>135</v>
      </c>
      <c r="G275" t="str">
        <f>"011"</f>
        <v>011</v>
      </c>
      <c r="H275" t="str">
        <f t="shared" si="33"/>
        <v>5656</v>
      </c>
      <c r="I275" s="3">
        <v>75409800</v>
      </c>
      <c r="J275" s="3">
        <v>83.96</v>
      </c>
      <c r="K275" s="3">
        <v>89816300</v>
      </c>
      <c r="L275" s="3">
        <v>0</v>
      </c>
      <c r="M275" s="3">
        <v>89816300</v>
      </c>
      <c r="N275" s="3">
        <v>420000</v>
      </c>
      <c r="O275" s="3">
        <v>420000</v>
      </c>
      <c r="P275" s="3">
        <v>6100</v>
      </c>
      <c r="Q275" s="3">
        <v>6100</v>
      </c>
      <c r="R275" s="3">
        <v>-1557500</v>
      </c>
      <c r="S275" s="3">
        <v>0</v>
      </c>
      <c r="T275" s="3">
        <v>0</v>
      </c>
      <c r="U275" s="3">
        <v>0</v>
      </c>
      <c r="V275" s="3">
        <v>2015</v>
      </c>
      <c r="W275" s="3">
        <v>32499300</v>
      </c>
      <c r="X275" s="3">
        <v>88684900</v>
      </c>
      <c r="Y275" s="3">
        <v>56185600</v>
      </c>
      <c r="Z275" s="3">
        <v>86161000</v>
      </c>
      <c r="AA275" s="3">
        <v>2523900</v>
      </c>
      <c r="AB275" s="3">
        <v>3</v>
      </c>
    </row>
    <row r="276" spans="1:28" x14ac:dyDescent="0.35">
      <c r="A276">
        <v>2022</v>
      </c>
      <c r="B276" t="str">
        <f t="shared" si="28"/>
        <v>13</v>
      </c>
      <c r="C276" t="s">
        <v>111</v>
      </c>
      <c r="D276" t="s">
        <v>35</v>
      </c>
      <c r="E276" t="str">
        <f t="shared" si="32"/>
        <v>282</v>
      </c>
      <c r="F276" t="s">
        <v>135</v>
      </c>
      <c r="G276" t="str">
        <f>"012"</f>
        <v>012</v>
      </c>
      <c r="H276" t="str">
        <f t="shared" si="33"/>
        <v>5656</v>
      </c>
      <c r="I276" s="3">
        <v>11537600</v>
      </c>
      <c r="J276" s="3">
        <v>83.96</v>
      </c>
      <c r="K276" s="3">
        <v>13741800</v>
      </c>
      <c r="L276" s="3">
        <v>0</v>
      </c>
      <c r="M276" s="3">
        <v>13741800</v>
      </c>
      <c r="N276" s="3">
        <v>4813200</v>
      </c>
      <c r="O276" s="3">
        <v>4813200</v>
      </c>
      <c r="P276" s="3">
        <v>531800</v>
      </c>
      <c r="Q276" s="3">
        <v>531800</v>
      </c>
      <c r="R276" s="3">
        <v>9300</v>
      </c>
      <c r="S276" s="3">
        <v>0</v>
      </c>
      <c r="T276" s="3">
        <v>-942000</v>
      </c>
      <c r="U276" s="3">
        <v>0</v>
      </c>
      <c r="V276" s="3">
        <v>2016</v>
      </c>
      <c r="W276" s="3">
        <v>3803600</v>
      </c>
      <c r="X276" s="3">
        <v>18154100</v>
      </c>
      <c r="Y276" s="3">
        <v>14350500</v>
      </c>
      <c r="Z276" s="3">
        <v>16474600</v>
      </c>
      <c r="AA276" s="3">
        <v>1679500</v>
      </c>
      <c r="AB276" s="3">
        <v>10</v>
      </c>
    </row>
    <row r="277" spans="1:28" x14ac:dyDescent="0.35">
      <c r="A277">
        <v>2022</v>
      </c>
      <c r="B277" t="str">
        <f t="shared" si="28"/>
        <v>13</v>
      </c>
      <c r="C277" t="s">
        <v>111</v>
      </c>
      <c r="D277" t="s">
        <v>35</v>
      </c>
      <c r="E277" t="str">
        <f t="shared" si="32"/>
        <v>282</v>
      </c>
      <c r="F277" t="s">
        <v>135</v>
      </c>
      <c r="G277" t="str">
        <f>"013"</f>
        <v>013</v>
      </c>
      <c r="H277" t="str">
        <f t="shared" si="33"/>
        <v>5656</v>
      </c>
      <c r="I277" s="3">
        <v>18991200</v>
      </c>
      <c r="J277" s="3">
        <v>83.96</v>
      </c>
      <c r="K277" s="3">
        <v>22619300</v>
      </c>
      <c r="L277" s="3">
        <v>0</v>
      </c>
      <c r="M277" s="3">
        <v>22619300</v>
      </c>
      <c r="N277" s="3">
        <v>8516400</v>
      </c>
      <c r="O277" s="3">
        <v>8516400</v>
      </c>
      <c r="P277" s="3">
        <v>1299700</v>
      </c>
      <c r="Q277" s="3">
        <v>1299700</v>
      </c>
      <c r="R277" s="3">
        <v>7700</v>
      </c>
      <c r="S277" s="3">
        <v>0</v>
      </c>
      <c r="T277" s="3">
        <v>0</v>
      </c>
      <c r="U277" s="3">
        <v>0</v>
      </c>
      <c r="V277" s="3">
        <v>2017</v>
      </c>
      <c r="W277" s="3">
        <v>618200</v>
      </c>
      <c r="X277" s="3">
        <v>32443100</v>
      </c>
      <c r="Y277" s="3">
        <v>31824900</v>
      </c>
      <c r="Z277" s="3">
        <v>11192100</v>
      </c>
      <c r="AA277" s="3">
        <v>21251000</v>
      </c>
      <c r="AB277" s="3">
        <v>190</v>
      </c>
    </row>
    <row r="278" spans="1:28" x14ac:dyDescent="0.35">
      <c r="A278">
        <v>2022</v>
      </c>
      <c r="B278" t="str">
        <f t="shared" si="28"/>
        <v>13</v>
      </c>
      <c r="C278" t="s">
        <v>111</v>
      </c>
      <c r="D278" t="s">
        <v>35</v>
      </c>
      <c r="E278" t="str">
        <f t="shared" si="32"/>
        <v>282</v>
      </c>
      <c r="F278" t="s">
        <v>135</v>
      </c>
      <c r="G278" t="str">
        <f>"014"</f>
        <v>014</v>
      </c>
      <c r="H278" t="str">
        <f t="shared" si="33"/>
        <v>5656</v>
      </c>
      <c r="I278" s="3">
        <v>5727300</v>
      </c>
      <c r="J278" s="3">
        <v>83.96</v>
      </c>
      <c r="K278" s="3">
        <v>6821500</v>
      </c>
      <c r="L278" s="3">
        <v>0</v>
      </c>
      <c r="M278" s="3">
        <v>6821500</v>
      </c>
      <c r="N278" s="3">
        <v>0</v>
      </c>
      <c r="O278" s="3">
        <v>0</v>
      </c>
      <c r="P278" s="3">
        <v>0</v>
      </c>
      <c r="Q278" s="3">
        <v>0</v>
      </c>
      <c r="R278" s="3">
        <v>4300</v>
      </c>
      <c r="S278" s="3">
        <v>0</v>
      </c>
      <c r="T278" s="3">
        <v>0</v>
      </c>
      <c r="U278" s="3">
        <v>0</v>
      </c>
      <c r="V278" s="3">
        <v>2020</v>
      </c>
      <c r="W278" s="3">
        <v>5448800</v>
      </c>
      <c r="X278" s="3">
        <v>6825800</v>
      </c>
      <c r="Y278" s="3">
        <v>1377000</v>
      </c>
      <c r="Z278" s="3">
        <v>4985800</v>
      </c>
      <c r="AA278" s="3">
        <v>1840000</v>
      </c>
      <c r="AB278" s="3">
        <v>37</v>
      </c>
    </row>
    <row r="279" spans="1:28" x14ac:dyDescent="0.35">
      <c r="A279">
        <v>2022</v>
      </c>
      <c r="B279" t="str">
        <f t="shared" si="28"/>
        <v>13</v>
      </c>
      <c r="C279" t="s">
        <v>111</v>
      </c>
      <c r="D279" t="s">
        <v>35</v>
      </c>
      <c r="E279" t="str">
        <f>"286"</f>
        <v>286</v>
      </c>
      <c r="F279" t="s">
        <v>136</v>
      </c>
      <c r="G279" t="str">
        <f>"004"</f>
        <v>004</v>
      </c>
      <c r="H279" t="str">
        <f>"5901"</f>
        <v>5901</v>
      </c>
      <c r="I279" s="3">
        <v>48448100</v>
      </c>
      <c r="J279" s="3">
        <v>100</v>
      </c>
      <c r="K279" s="3">
        <v>48448100</v>
      </c>
      <c r="L279" s="3">
        <v>46592600</v>
      </c>
      <c r="M279" s="3">
        <v>46592600</v>
      </c>
      <c r="N279" s="3">
        <v>1370000</v>
      </c>
      <c r="O279" s="3">
        <v>1370000</v>
      </c>
      <c r="P279" s="3">
        <v>53800</v>
      </c>
      <c r="Q279" s="3">
        <v>53800</v>
      </c>
      <c r="R279" s="3">
        <v>-14800</v>
      </c>
      <c r="S279" s="3">
        <v>0</v>
      </c>
      <c r="T279" s="3">
        <v>0</v>
      </c>
      <c r="U279" s="3">
        <v>0</v>
      </c>
      <c r="V279" s="3">
        <v>1996</v>
      </c>
      <c r="W279" s="3">
        <v>8842400</v>
      </c>
      <c r="X279" s="3">
        <v>48001600</v>
      </c>
      <c r="Y279" s="3">
        <v>39159200</v>
      </c>
      <c r="Z279" s="3">
        <v>49636500</v>
      </c>
      <c r="AA279" s="3">
        <v>-1634900</v>
      </c>
      <c r="AB279" s="3">
        <v>-3</v>
      </c>
    </row>
    <row r="280" spans="1:28" x14ac:dyDescent="0.35">
      <c r="A280">
        <v>2022</v>
      </c>
      <c r="B280" t="str">
        <f t="shared" si="28"/>
        <v>13</v>
      </c>
      <c r="C280" t="s">
        <v>111</v>
      </c>
      <c r="D280" t="s">
        <v>35</v>
      </c>
      <c r="E280" t="str">
        <f>"286"</f>
        <v>286</v>
      </c>
      <c r="F280" t="s">
        <v>136</v>
      </c>
      <c r="G280" t="str">
        <f>"008"</f>
        <v>008</v>
      </c>
      <c r="H280" t="str">
        <f>"5901"</f>
        <v>5901</v>
      </c>
      <c r="I280" s="3">
        <v>8095700</v>
      </c>
      <c r="J280" s="3">
        <v>100</v>
      </c>
      <c r="K280" s="3">
        <v>8095700</v>
      </c>
      <c r="L280" s="3">
        <v>12097300</v>
      </c>
      <c r="M280" s="3">
        <v>12097300</v>
      </c>
      <c r="N280" s="3">
        <v>31620600</v>
      </c>
      <c r="O280" s="3">
        <v>31620600</v>
      </c>
      <c r="P280" s="3">
        <v>1313700</v>
      </c>
      <c r="Q280" s="3">
        <v>1313700</v>
      </c>
      <c r="R280" s="3">
        <v>-2200</v>
      </c>
      <c r="S280" s="3">
        <v>0</v>
      </c>
      <c r="T280" s="3">
        <v>0</v>
      </c>
      <c r="U280" s="3">
        <v>0</v>
      </c>
      <c r="V280" s="3">
        <v>2017</v>
      </c>
      <c r="W280" s="3">
        <v>29164700</v>
      </c>
      <c r="X280" s="3">
        <v>45029400</v>
      </c>
      <c r="Y280" s="3">
        <v>15864700</v>
      </c>
      <c r="Z280" s="3">
        <v>30198200</v>
      </c>
      <c r="AA280" s="3">
        <v>14831200</v>
      </c>
      <c r="AB280" s="3">
        <v>49</v>
      </c>
    </row>
    <row r="281" spans="1:28" x14ac:dyDescent="0.35">
      <c r="A281">
        <v>2022</v>
      </c>
      <c r="B281" t="str">
        <f t="shared" si="28"/>
        <v>13</v>
      </c>
      <c r="C281" t="s">
        <v>111</v>
      </c>
      <c r="D281" t="s">
        <v>35</v>
      </c>
      <c r="E281" t="str">
        <f>"286"</f>
        <v>286</v>
      </c>
      <c r="F281" t="s">
        <v>136</v>
      </c>
      <c r="G281" t="str">
        <f>"009"</f>
        <v>009</v>
      </c>
      <c r="H281" t="str">
        <f>"5901"</f>
        <v>5901</v>
      </c>
      <c r="I281" s="3">
        <v>10632200</v>
      </c>
      <c r="J281" s="3">
        <v>100</v>
      </c>
      <c r="K281" s="3">
        <v>10632200</v>
      </c>
      <c r="L281" s="3">
        <v>14659600</v>
      </c>
      <c r="M281" s="3">
        <v>14659600</v>
      </c>
      <c r="N281" s="3">
        <v>0</v>
      </c>
      <c r="O281" s="3">
        <v>0</v>
      </c>
      <c r="P281" s="3">
        <v>0</v>
      </c>
      <c r="Q281" s="3">
        <v>0</v>
      </c>
      <c r="R281" s="3">
        <v>-2000</v>
      </c>
      <c r="S281" s="3">
        <v>0</v>
      </c>
      <c r="T281" s="3">
        <v>0</v>
      </c>
      <c r="U281" s="3">
        <v>0</v>
      </c>
      <c r="V281" s="3">
        <v>2017</v>
      </c>
      <c r="W281" s="3">
        <v>7863300</v>
      </c>
      <c r="X281" s="3">
        <v>14657600</v>
      </c>
      <c r="Y281" s="3">
        <v>6794300</v>
      </c>
      <c r="Z281" s="3">
        <v>6583400</v>
      </c>
      <c r="AA281" s="3">
        <v>8074200</v>
      </c>
      <c r="AB281" s="3">
        <v>123</v>
      </c>
    </row>
    <row r="282" spans="1:28" x14ac:dyDescent="0.35">
      <c r="A282">
        <v>2022</v>
      </c>
      <c r="B282" t="str">
        <f t="shared" si="28"/>
        <v>13</v>
      </c>
      <c r="C282" t="s">
        <v>111</v>
      </c>
      <c r="D282" t="s">
        <v>35</v>
      </c>
      <c r="E282" t="str">
        <f>"286"</f>
        <v>286</v>
      </c>
      <c r="F282" t="s">
        <v>136</v>
      </c>
      <c r="G282" t="str">
        <f>"010"</f>
        <v>010</v>
      </c>
      <c r="H282" t="str">
        <f>"5901"</f>
        <v>5901</v>
      </c>
      <c r="I282" s="3">
        <v>8911000</v>
      </c>
      <c r="J282" s="3">
        <v>100</v>
      </c>
      <c r="K282" s="3">
        <v>8911000</v>
      </c>
      <c r="L282" s="3">
        <v>8613000</v>
      </c>
      <c r="M282" s="3">
        <v>8613000</v>
      </c>
      <c r="N282" s="3">
        <v>0</v>
      </c>
      <c r="O282" s="3">
        <v>0</v>
      </c>
      <c r="P282" s="3">
        <v>0</v>
      </c>
      <c r="Q282" s="3">
        <v>0</v>
      </c>
      <c r="R282" s="3">
        <v>-2700</v>
      </c>
      <c r="S282" s="3">
        <v>0</v>
      </c>
      <c r="T282" s="3">
        <v>0</v>
      </c>
      <c r="U282" s="3">
        <v>0</v>
      </c>
      <c r="V282" s="3">
        <v>2020</v>
      </c>
      <c r="W282" s="3">
        <v>1795300</v>
      </c>
      <c r="X282" s="3">
        <v>8610300</v>
      </c>
      <c r="Y282" s="3">
        <v>6815000</v>
      </c>
      <c r="Z282" s="3">
        <v>8237300</v>
      </c>
      <c r="AA282" s="3">
        <v>373000</v>
      </c>
      <c r="AB282" s="3">
        <v>5</v>
      </c>
    </row>
    <row r="283" spans="1:28" x14ac:dyDescent="0.35">
      <c r="A283">
        <v>2022</v>
      </c>
      <c r="B283" t="str">
        <f t="shared" ref="B283:B305" si="34">"14"</f>
        <v>14</v>
      </c>
      <c r="C283" t="s">
        <v>137</v>
      </c>
      <c r="D283" t="s">
        <v>33</v>
      </c>
      <c r="E283" t="str">
        <f>"136"</f>
        <v>136</v>
      </c>
      <c r="F283" t="s">
        <v>138</v>
      </c>
      <c r="G283" t="str">
        <f>"001"</f>
        <v>001</v>
      </c>
      <c r="H283" t="str">
        <f>"2625"</f>
        <v>2625</v>
      </c>
      <c r="I283" s="3">
        <v>2690900</v>
      </c>
      <c r="J283" s="3">
        <v>68.63</v>
      </c>
      <c r="K283" s="3">
        <v>3920900</v>
      </c>
      <c r="L283" s="3">
        <v>0</v>
      </c>
      <c r="M283" s="3">
        <v>3920900</v>
      </c>
      <c r="N283" s="3">
        <v>4102700</v>
      </c>
      <c r="O283" s="3">
        <v>4102700</v>
      </c>
      <c r="P283" s="3">
        <v>261900</v>
      </c>
      <c r="Q283" s="3">
        <v>261900</v>
      </c>
      <c r="R283" s="3">
        <v>0</v>
      </c>
      <c r="S283" s="3">
        <v>0</v>
      </c>
      <c r="T283" s="3">
        <v>0</v>
      </c>
      <c r="U283" s="3">
        <v>0</v>
      </c>
      <c r="V283" s="3">
        <v>2017</v>
      </c>
      <c r="W283" s="3">
        <v>5412600</v>
      </c>
      <c r="X283" s="3">
        <v>8285500</v>
      </c>
      <c r="Y283" s="3">
        <v>2872900</v>
      </c>
      <c r="Z283" s="3">
        <v>7305600</v>
      </c>
      <c r="AA283" s="3">
        <v>979900</v>
      </c>
      <c r="AB283" s="3">
        <v>13</v>
      </c>
    </row>
    <row r="284" spans="1:28" x14ac:dyDescent="0.35">
      <c r="A284">
        <v>2022</v>
      </c>
      <c r="B284" t="str">
        <f t="shared" si="34"/>
        <v>14</v>
      </c>
      <c r="C284" t="s">
        <v>137</v>
      </c>
      <c r="D284" t="s">
        <v>33</v>
      </c>
      <c r="E284" t="str">
        <f>"146"</f>
        <v>146</v>
      </c>
      <c r="F284" t="s">
        <v>139</v>
      </c>
      <c r="G284" t="str">
        <f>"004"</f>
        <v>004</v>
      </c>
      <c r="H284" t="str">
        <f>"3171"</f>
        <v>3171</v>
      </c>
      <c r="I284" s="3">
        <v>571000</v>
      </c>
      <c r="J284" s="3">
        <v>77.709999999999994</v>
      </c>
      <c r="K284" s="3">
        <v>734800</v>
      </c>
      <c r="L284" s="3">
        <v>0</v>
      </c>
      <c r="M284" s="3">
        <v>734800</v>
      </c>
      <c r="N284" s="3">
        <v>11181300</v>
      </c>
      <c r="O284" s="3">
        <v>11181300</v>
      </c>
      <c r="P284" s="3">
        <v>765500</v>
      </c>
      <c r="Q284" s="3">
        <v>765500</v>
      </c>
      <c r="R284" s="3">
        <v>200</v>
      </c>
      <c r="S284" s="3">
        <v>0</v>
      </c>
      <c r="T284" s="3">
        <v>0</v>
      </c>
      <c r="U284" s="3">
        <v>181900</v>
      </c>
      <c r="V284" s="3">
        <v>2006</v>
      </c>
      <c r="W284" s="3">
        <v>894000</v>
      </c>
      <c r="X284" s="3">
        <v>12863700</v>
      </c>
      <c r="Y284" s="3">
        <v>11969700</v>
      </c>
      <c r="Z284" s="3">
        <v>12504600</v>
      </c>
      <c r="AA284" s="3">
        <v>359100</v>
      </c>
      <c r="AB284" s="3">
        <v>3</v>
      </c>
    </row>
    <row r="285" spans="1:28" x14ac:dyDescent="0.35">
      <c r="A285">
        <v>2022</v>
      </c>
      <c r="B285" t="str">
        <f t="shared" si="34"/>
        <v>14</v>
      </c>
      <c r="C285" t="s">
        <v>137</v>
      </c>
      <c r="D285" t="s">
        <v>33</v>
      </c>
      <c r="E285" t="str">
        <f>"146"</f>
        <v>146</v>
      </c>
      <c r="F285" t="s">
        <v>139</v>
      </c>
      <c r="G285" t="str">
        <f>"005"</f>
        <v>005</v>
      </c>
      <c r="H285" t="str">
        <f>"3171"</f>
        <v>3171</v>
      </c>
      <c r="I285" s="3">
        <v>12976300</v>
      </c>
      <c r="J285" s="3">
        <v>77.709999999999994</v>
      </c>
      <c r="K285" s="3">
        <v>16698400</v>
      </c>
      <c r="L285" s="3">
        <v>0</v>
      </c>
      <c r="M285" s="3">
        <v>16698400</v>
      </c>
      <c r="N285" s="3">
        <v>0</v>
      </c>
      <c r="O285" s="3">
        <v>0</v>
      </c>
      <c r="P285" s="3">
        <v>0</v>
      </c>
      <c r="Q285" s="3">
        <v>0</v>
      </c>
      <c r="R285" s="3">
        <v>3100</v>
      </c>
      <c r="S285" s="3">
        <v>0</v>
      </c>
      <c r="T285" s="3">
        <v>0</v>
      </c>
      <c r="U285" s="3">
        <v>0</v>
      </c>
      <c r="V285" s="3">
        <v>2015</v>
      </c>
      <c r="W285" s="3">
        <v>297600</v>
      </c>
      <c r="X285" s="3">
        <v>16701500</v>
      </c>
      <c r="Y285" s="3">
        <v>16403900</v>
      </c>
      <c r="Z285" s="3">
        <v>14327400</v>
      </c>
      <c r="AA285" s="3">
        <v>2374100</v>
      </c>
      <c r="AB285" s="3">
        <v>17</v>
      </c>
    </row>
    <row r="286" spans="1:28" x14ac:dyDescent="0.35">
      <c r="A286">
        <v>2022</v>
      </c>
      <c r="B286" t="str">
        <f t="shared" si="34"/>
        <v>14</v>
      </c>
      <c r="C286" t="s">
        <v>137</v>
      </c>
      <c r="D286" t="s">
        <v>33</v>
      </c>
      <c r="E286" t="str">
        <f>"177"</f>
        <v>177</v>
      </c>
      <c r="F286" t="s">
        <v>140</v>
      </c>
      <c r="G286" t="str">
        <f>"003"</f>
        <v>003</v>
      </c>
      <c r="H286" t="str">
        <f>"2744"</f>
        <v>2744</v>
      </c>
      <c r="I286" s="3">
        <v>3416400</v>
      </c>
      <c r="J286" s="3">
        <v>69.52</v>
      </c>
      <c r="K286" s="3">
        <v>4914300</v>
      </c>
      <c r="L286" s="3">
        <v>0</v>
      </c>
      <c r="M286" s="3">
        <v>4914300</v>
      </c>
      <c r="N286" s="3">
        <v>5034500</v>
      </c>
      <c r="O286" s="3">
        <v>5034500</v>
      </c>
      <c r="P286" s="3">
        <v>751400</v>
      </c>
      <c r="Q286" s="3">
        <v>751400</v>
      </c>
      <c r="R286" s="3">
        <v>1600</v>
      </c>
      <c r="S286" s="3">
        <v>0</v>
      </c>
      <c r="T286" s="3">
        <v>0</v>
      </c>
      <c r="U286" s="3">
        <v>0</v>
      </c>
      <c r="V286" s="3">
        <v>2011</v>
      </c>
      <c r="W286" s="3">
        <v>912700</v>
      </c>
      <c r="X286" s="3">
        <v>10701800</v>
      </c>
      <c r="Y286" s="3">
        <v>9789100</v>
      </c>
      <c r="Z286" s="3">
        <v>9680600</v>
      </c>
      <c r="AA286" s="3">
        <v>1021200</v>
      </c>
      <c r="AB286" s="3">
        <v>11</v>
      </c>
    </row>
    <row r="287" spans="1:28" x14ac:dyDescent="0.35">
      <c r="A287">
        <v>2022</v>
      </c>
      <c r="B287" t="str">
        <f t="shared" si="34"/>
        <v>14</v>
      </c>
      <c r="C287" t="s">
        <v>137</v>
      </c>
      <c r="D287" t="s">
        <v>35</v>
      </c>
      <c r="E287" t="str">
        <f>"206"</f>
        <v>206</v>
      </c>
      <c r="F287" t="s">
        <v>141</v>
      </c>
      <c r="G287" t="str">
        <f>"006"</f>
        <v>006</v>
      </c>
      <c r="H287" t="str">
        <f>"0336"</f>
        <v>0336</v>
      </c>
      <c r="I287" s="3">
        <v>6906600</v>
      </c>
      <c r="J287" s="3">
        <v>100</v>
      </c>
      <c r="K287" s="3">
        <v>6906600</v>
      </c>
      <c r="L287" s="3">
        <v>0</v>
      </c>
      <c r="M287" s="3">
        <v>6906600</v>
      </c>
      <c r="N287" s="3">
        <v>0</v>
      </c>
      <c r="O287" s="3">
        <v>0</v>
      </c>
      <c r="P287" s="3">
        <v>0</v>
      </c>
      <c r="Q287" s="3">
        <v>0</v>
      </c>
      <c r="R287" s="3">
        <v>288900</v>
      </c>
      <c r="S287" s="3">
        <v>0</v>
      </c>
      <c r="T287" s="3">
        <v>0</v>
      </c>
      <c r="U287" s="3">
        <v>0</v>
      </c>
      <c r="V287" s="3">
        <v>2009</v>
      </c>
      <c r="W287" s="3">
        <v>832700</v>
      </c>
      <c r="X287" s="3">
        <v>7195500</v>
      </c>
      <c r="Y287" s="3">
        <v>6362800</v>
      </c>
      <c r="Z287" s="3">
        <v>7131200</v>
      </c>
      <c r="AA287" s="3">
        <v>64300</v>
      </c>
      <c r="AB287" s="3">
        <v>1</v>
      </c>
    </row>
    <row r="288" spans="1:28" x14ac:dyDescent="0.35">
      <c r="A288">
        <v>2022</v>
      </c>
      <c r="B288" t="str">
        <f t="shared" si="34"/>
        <v>14</v>
      </c>
      <c r="C288" t="s">
        <v>137</v>
      </c>
      <c r="D288" t="s">
        <v>35</v>
      </c>
      <c r="E288" t="str">
        <f>"206"</f>
        <v>206</v>
      </c>
      <c r="F288" t="s">
        <v>141</v>
      </c>
      <c r="G288" t="str">
        <f>"007"</f>
        <v>007</v>
      </c>
      <c r="H288" t="str">
        <f>"0336"</f>
        <v>0336</v>
      </c>
      <c r="I288" s="3">
        <v>26912900</v>
      </c>
      <c r="J288" s="3">
        <v>100</v>
      </c>
      <c r="K288" s="3">
        <v>26912900</v>
      </c>
      <c r="L288" s="3">
        <v>0</v>
      </c>
      <c r="M288" s="3">
        <v>26912900</v>
      </c>
      <c r="N288" s="3">
        <v>0</v>
      </c>
      <c r="O288" s="3">
        <v>0</v>
      </c>
      <c r="P288" s="3">
        <v>0</v>
      </c>
      <c r="Q288" s="3">
        <v>0</v>
      </c>
      <c r="R288" s="3">
        <v>1127200</v>
      </c>
      <c r="S288" s="3">
        <v>0</v>
      </c>
      <c r="T288" s="3">
        <v>0</v>
      </c>
      <c r="U288" s="3">
        <v>0</v>
      </c>
      <c r="V288" s="3">
        <v>2016</v>
      </c>
      <c r="W288" s="3">
        <v>0</v>
      </c>
      <c r="X288" s="3">
        <v>28040100</v>
      </c>
      <c r="Y288" s="3">
        <v>28040100</v>
      </c>
      <c r="Z288" s="3">
        <v>27791300</v>
      </c>
      <c r="AA288" s="3">
        <v>248800</v>
      </c>
      <c r="AB288" s="3">
        <v>1</v>
      </c>
    </row>
    <row r="289" spans="1:28" x14ac:dyDescent="0.35">
      <c r="A289">
        <v>2022</v>
      </c>
      <c r="B289" t="str">
        <f t="shared" si="34"/>
        <v>14</v>
      </c>
      <c r="C289" t="s">
        <v>137</v>
      </c>
      <c r="D289" t="s">
        <v>35</v>
      </c>
      <c r="E289" t="str">
        <f>"206"</f>
        <v>206</v>
      </c>
      <c r="F289" t="s">
        <v>141</v>
      </c>
      <c r="G289" t="str">
        <f>"008"</f>
        <v>008</v>
      </c>
      <c r="H289" t="str">
        <f>"0336"</f>
        <v>0336</v>
      </c>
      <c r="I289" s="3">
        <v>35323700</v>
      </c>
      <c r="J289" s="3">
        <v>100</v>
      </c>
      <c r="K289" s="3">
        <v>35323700</v>
      </c>
      <c r="L289" s="3">
        <v>0</v>
      </c>
      <c r="M289" s="3">
        <v>35323700</v>
      </c>
      <c r="N289" s="3">
        <v>0</v>
      </c>
      <c r="O289" s="3">
        <v>0</v>
      </c>
      <c r="P289" s="3">
        <v>0</v>
      </c>
      <c r="Q289" s="3">
        <v>0</v>
      </c>
      <c r="R289" s="3">
        <v>968800</v>
      </c>
      <c r="S289" s="3">
        <v>0</v>
      </c>
      <c r="T289" s="3">
        <v>0</v>
      </c>
      <c r="U289" s="3">
        <v>0</v>
      </c>
      <c r="V289" s="3">
        <v>2018</v>
      </c>
      <c r="W289" s="3">
        <v>7192000</v>
      </c>
      <c r="X289" s="3">
        <v>36292500</v>
      </c>
      <c r="Y289" s="3">
        <v>29100500</v>
      </c>
      <c r="Z289" s="3">
        <v>23682700</v>
      </c>
      <c r="AA289" s="3">
        <v>12609800</v>
      </c>
      <c r="AB289" s="3">
        <v>53</v>
      </c>
    </row>
    <row r="290" spans="1:28" x14ac:dyDescent="0.35">
      <c r="A290">
        <v>2022</v>
      </c>
      <c r="B290" t="str">
        <f t="shared" si="34"/>
        <v>14</v>
      </c>
      <c r="C290" t="s">
        <v>137</v>
      </c>
      <c r="D290" t="s">
        <v>35</v>
      </c>
      <c r="E290" t="str">
        <f>"206"</f>
        <v>206</v>
      </c>
      <c r="F290" t="s">
        <v>141</v>
      </c>
      <c r="G290" t="str">
        <f>"009"</f>
        <v>009</v>
      </c>
      <c r="H290" t="str">
        <f>"0336"</f>
        <v>0336</v>
      </c>
      <c r="I290" s="3">
        <v>877600</v>
      </c>
      <c r="J290" s="3">
        <v>100</v>
      </c>
      <c r="K290" s="3">
        <v>877600</v>
      </c>
      <c r="L290" s="3">
        <v>0</v>
      </c>
      <c r="M290" s="3">
        <v>877600</v>
      </c>
      <c r="N290" s="3">
        <v>0</v>
      </c>
      <c r="O290" s="3">
        <v>0</v>
      </c>
      <c r="P290" s="3">
        <v>0</v>
      </c>
      <c r="Q290" s="3">
        <v>0</v>
      </c>
      <c r="R290" s="3">
        <v>32800</v>
      </c>
      <c r="S290" s="3">
        <v>0</v>
      </c>
      <c r="T290" s="3">
        <v>0</v>
      </c>
      <c r="U290" s="3">
        <v>0</v>
      </c>
      <c r="V290" s="3">
        <v>2019</v>
      </c>
      <c r="W290" s="3">
        <v>642700</v>
      </c>
      <c r="X290" s="3">
        <v>910400</v>
      </c>
      <c r="Y290" s="3">
        <v>267700</v>
      </c>
      <c r="Z290" s="3">
        <v>805600</v>
      </c>
      <c r="AA290" s="3">
        <v>104800</v>
      </c>
      <c r="AB290" s="3">
        <v>13</v>
      </c>
    </row>
    <row r="291" spans="1:28" x14ac:dyDescent="0.35">
      <c r="A291">
        <v>2022</v>
      </c>
      <c r="B291" t="str">
        <f t="shared" si="34"/>
        <v>14</v>
      </c>
      <c r="C291" t="s">
        <v>137</v>
      </c>
      <c r="D291" t="s">
        <v>35</v>
      </c>
      <c r="E291" t="str">
        <f>"226"</f>
        <v>226</v>
      </c>
      <c r="F291" t="s">
        <v>142</v>
      </c>
      <c r="G291" t="str">
        <f>"002"</f>
        <v>002</v>
      </c>
      <c r="H291" t="str">
        <f>"6216"</f>
        <v>6216</v>
      </c>
      <c r="I291" s="3">
        <v>13006600</v>
      </c>
      <c r="J291" s="3">
        <v>100</v>
      </c>
      <c r="K291" s="3">
        <v>13006600</v>
      </c>
      <c r="L291" s="3">
        <v>0</v>
      </c>
      <c r="M291" s="3">
        <v>13006600</v>
      </c>
      <c r="N291" s="3">
        <v>7305600</v>
      </c>
      <c r="O291" s="3">
        <v>7305600</v>
      </c>
      <c r="P291" s="3">
        <v>347500</v>
      </c>
      <c r="Q291" s="3">
        <v>347500</v>
      </c>
      <c r="R291" s="3">
        <v>-12700</v>
      </c>
      <c r="S291" s="3">
        <v>0</v>
      </c>
      <c r="T291" s="3">
        <v>0</v>
      </c>
      <c r="U291" s="3">
        <v>0</v>
      </c>
      <c r="V291" s="3">
        <v>2015</v>
      </c>
      <c r="W291" s="3">
        <v>7606600</v>
      </c>
      <c r="X291" s="3">
        <v>20647000</v>
      </c>
      <c r="Y291" s="3">
        <v>13040400</v>
      </c>
      <c r="Z291" s="3">
        <v>16201300</v>
      </c>
      <c r="AA291" s="3">
        <v>4445700</v>
      </c>
      <c r="AB291" s="3">
        <v>27</v>
      </c>
    </row>
    <row r="292" spans="1:28" x14ac:dyDescent="0.35">
      <c r="A292">
        <v>2022</v>
      </c>
      <c r="B292" t="str">
        <f t="shared" si="34"/>
        <v>14</v>
      </c>
      <c r="C292" t="s">
        <v>137</v>
      </c>
      <c r="D292" t="s">
        <v>35</v>
      </c>
      <c r="E292" t="str">
        <f>"226"</f>
        <v>226</v>
      </c>
      <c r="F292" t="s">
        <v>142</v>
      </c>
      <c r="G292" t="str">
        <f>"003"</f>
        <v>003</v>
      </c>
      <c r="H292" t="str">
        <f>"6216"</f>
        <v>6216</v>
      </c>
      <c r="I292" s="3">
        <v>10292800</v>
      </c>
      <c r="J292" s="3">
        <v>100</v>
      </c>
      <c r="K292" s="3">
        <v>10292800</v>
      </c>
      <c r="L292" s="3">
        <v>0</v>
      </c>
      <c r="M292" s="3">
        <v>10292800</v>
      </c>
      <c r="N292" s="3">
        <v>0</v>
      </c>
      <c r="O292" s="3">
        <v>0</v>
      </c>
      <c r="P292" s="3">
        <v>0</v>
      </c>
      <c r="Q292" s="3">
        <v>0</v>
      </c>
      <c r="R292" s="3">
        <v>-12900</v>
      </c>
      <c r="S292" s="3">
        <v>0</v>
      </c>
      <c r="T292" s="3">
        <v>0</v>
      </c>
      <c r="U292" s="3">
        <v>0</v>
      </c>
      <c r="V292" s="3">
        <v>2016</v>
      </c>
      <c r="W292" s="3">
        <v>4635600</v>
      </c>
      <c r="X292" s="3">
        <v>10279900</v>
      </c>
      <c r="Y292" s="3">
        <v>5644300</v>
      </c>
      <c r="Z292" s="3">
        <v>9302800</v>
      </c>
      <c r="AA292" s="3">
        <v>977100</v>
      </c>
      <c r="AB292" s="3">
        <v>11</v>
      </c>
    </row>
    <row r="293" spans="1:28" x14ac:dyDescent="0.35">
      <c r="A293">
        <v>2022</v>
      </c>
      <c r="B293" t="str">
        <f t="shared" si="34"/>
        <v>14</v>
      </c>
      <c r="C293" t="s">
        <v>137</v>
      </c>
      <c r="D293" t="s">
        <v>35</v>
      </c>
      <c r="E293" t="str">
        <f>"230"</f>
        <v>230</v>
      </c>
      <c r="F293" t="s">
        <v>143</v>
      </c>
      <c r="G293" t="str">
        <f>"007"</f>
        <v>007</v>
      </c>
      <c r="H293" t="str">
        <f>"2443"</f>
        <v>2443</v>
      </c>
      <c r="I293" s="3">
        <v>0</v>
      </c>
      <c r="J293" s="3">
        <v>100</v>
      </c>
      <c r="K293" s="3">
        <v>0</v>
      </c>
      <c r="L293" s="3">
        <v>0</v>
      </c>
      <c r="M293" s="3">
        <v>0</v>
      </c>
      <c r="N293" s="3">
        <v>6409400</v>
      </c>
      <c r="O293" s="3">
        <v>6409400</v>
      </c>
      <c r="P293" s="3">
        <v>303000</v>
      </c>
      <c r="Q293" s="3">
        <v>303000</v>
      </c>
      <c r="R293" s="3">
        <v>0</v>
      </c>
      <c r="S293" s="3">
        <v>0</v>
      </c>
      <c r="T293" s="3">
        <v>0</v>
      </c>
      <c r="U293" s="3">
        <v>0</v>
      </c>
      <c r="V293" s="3">
        <v>2011</v>
      </c>
      <c r="W293" s="3">
        <v>13800</v>
      </c>
      <c r="X293" s="3">
        <v>6712400</v>
      </c>
      <c r="Y293" s="3">
        <v>6698600</v>
      </c>
      <c r="Z293" s="3">
        <v>6662500</v>
      </c>
      <c r="AA293" s="3">
        <v>49900</v>
      </c>
      <c r="AB293" s="3">
        <v>1</v>
      </c>
    </row>
    <row r="294" spans="1:28" x14ac:dyDescent="0.35">
      <c r="A294">
        <v>2022</v>
      </c>
      <c r="B294" t="str">
        <f t="shared" si="34"/>
        <v>14</v>
      </c>
      <c r="C294" t="s">
        <v>137</v>
      </c>
      <c r="D294" t="s">
        <v>35</v>
      </c>
      <c r="E294" t="str">
        <f>"230"</f>
        <v>230</v>
      </c>
      <c r="F294" t="s">
        <v>143</v>
      </c>
      <c r="G294" t="str">
        <f>"009"</f>
        <v>009</v>
      </c>
      <c r="H294" t="str">
        <f>"2443"</f>
        <v>2443</v>
      </c>
      <c r="I294" s="3">
        <v>3499000</v>
      </c>
      <c r="J294" s="3">
        <v>100</v>
      </c>
      <c r="K294" s="3">
        <v>3499000</v>
      </c>
      <c r="L294" s="3">
        <v>0</v>
      </c>
      <c r="M294" s="3">
        <v>3499000</v>
      </c>
      <c r="N294" s="3">
        <v>8341100</v>
      </c>
      <c r="O294" s="3">
        <v>8341100</v>
      </c>
      <c r="P294" s="3">
        <v>524000</v>
      </c>
      <c r="Q294" s="3">
        <v>524000</v>
      </c>
      <c r="R294" s="3">
        <v>-1400</v>
      </c>
      <c r="S294" s="3">
        <v>0</v>
      </c>
      <c r="T294" s="3">
        <v>0</v>
      </c>
      <c r="U294" s="3">
        <v>0</v>
      </c>
      <c r="V294" s="3">
        <v>2015</v>
      </c>
      <c r="W294" s="3">
        <v>4428900</v>
      </c>
      <c r="X294" s="3">
        <v>12362700</v>
      </c>
      <c r="Y294" s="3">
        <v>7933800</v>
      </c>
      <c r="Z294" s="3">
        <v>11380400</v>
      </c>
      <c r="AA294" s="3">
        <v>982300</v>
      </c>
      <c r="AB294" s="3">
        <v>9</v>
      </c>
    </row>
    <row r="295" spans="1:28" x14ac:dyDescent="0.35">
      <c r="A295">
        <v>2022</v>
      </c>
      <c r="B295" t="str">
        <f t="shared" si="34"/>
        <v>14</v>
      </c>
      <c r="C295" t="s">
        <v>137</v>
      </c>
      <c r="D295" t="s">
        <v>35</v>
      </c>
      <c r="E295" t="str">
        <f>"236"</f>
        <v>236</v>
      </c>
      <c r="F295" t="s">
        <v>144</v>
      </c>
      <c r="G295" t="str">
        <f>"004"</f>
        <v>004</v>
      </c>
      <c r="H295" t="str">
        <f>"2576"</f>
        <v>2576</v>
      </c>
      <c r="I295" s="3">
        <v>10518400</v>
      </c>
      <c r="J295" s="3">
        <v>73.69</v>
      </c>
      <c r="K295" s="3">
        <v>14273800</v>
      </c>
      <c r="L295" s="3">
        <v>0</v>
      </c>
      <c r="M295" s="3">
        <v>14273800</v>
      </c>
      <c r="N295" s="3">
        <v>5573400</v>
      </c>
      <c r="O295" s="3">
        <v>5573400</v>
      </c>
      <c r="P295" s="3">
        <v>262600</v>
      </c>
      <c r="Q295" s="3">
        <v>262600</v>
      </c>
      <c r="R295" s="3">
        <v>1300</v>
      </c>
      <c r="S295" s="3">
        <v>0</v>
      </c>
      <c r="T295" s="3">
        <v>0</v>
      </c>
      <c r="U295" s="3">
        <v>0</v>
      </c>
      <c r="V295" s="3">
        <v>2007</v>
      </c>
      <c r="W295" s="3">
        <v>4799600</v>
      </c>
      <c r="X295" s="3">
        <v>20111100</v>
      </c>
      <c r="Y295" s="3">
        <v>15311500</v>
      </c>
      <c r="Z295" s="3">
        <v>17161500</v>
      </c>
      <c r="AA295" s="3">
        <v>2949600</v>
      </c>
      <c r="AB295" s="3">
        <v>17</v>
      </c>
    </row>
    <row r="296" spans="1:28" x14ac:dyDescent="0.35">
      <c r="A296">
        <v>2022</v>
      </c>
      <c r="B296" t="str">
        <f t="shared" si="34"/>
        <v>14</v>
      </c>
      <c r="C296" t="s">
        <v>137</v>
      </c>
      <c r="D296" t="s">
        <v>35</v>
      </c>
      <c r="E296" t="str">
        <f>"236"</f>
        <v>236</v>
      </c>
      <c r="F296" t="s">
        <v>144</v>
      </c>
      <c r="G296" t="str">
        <f>"005"</f>
        <v>005</v>
      </c>
      <c r="H296" t="str">
        <f>"2576"</f>
        <v>2576</v>
      </c>
      <c r="I296" s="3">
        <v>29900</v>
      </c>
      <c r="J296" s="3">
        <v>73.69</v>
      </c>
      <c r="K296" s="3">
        <v>40600</v>
      </c>
      <c r="L296" s="3">
        <v>0</v>
      </c>
      <c r="M296" s="3">
        <v>40600</v>
      </c>
      <c r="N296" s="3">
        <v>25493600</v>
      </c>
      <c r="O296" s="3">
        <v>25493600</v>
      </c>
      <c r="P296" s="3">
        <v>5430700</v>
      </c>
      <c r="Q296" s="3">
        <v>5430700</v>
      </c>
      <c r="R296" s="3">
        <v>0</v>
      </c>
      <c r="S296" s="3">
        <v>-10302400</v>
      </c>
      <c r="T296" s="3">
        <v>0</v>
      </c>
      <c r="U296" s="3">
        <v>0</v>
      </c>
      <c r="V296" s="3">
        <v>2015</v>
      </c>
      <c r="W296" s="3">
        <v>4402600</v>
      </c>
      <c r="X296" s="3">
        <v>20662500</v>
      </c>
      <c r="Y296" s="3">
        <v>16259900</v>
      </c>
      <c r="Z296" s="3">
        <v>31416100</v>
      </c>
      <c r="AA296" s="3">
        <v>-10753600</v>
      </c>
      <c r="AB296" s="3">
        <v>-34</v>
      </c>
    </row>
    <row r="297" spans="1:28" x14ac:dyDescent="0.35">
      <c r="A297">
        <v>2022</v>
      </c>
      <c r="B297" t="str">
        <f t="shared" si="34"/>
        <v>14</v>
      </c>
      <c r="C297" t="s">
        <v>137</v>
      </c>
      <c r="D297" t="s">
        <v>35</v>
      </c>
      <c r="E297" t="str">
        <f>"236"</f>
        <v>236</v>
      </c>
      <c r="F297" t="s">
        <v>144</v>
      </c>
      <c r="G297" t="str">
        <f>"006"</f>
        <v>006</v>
      </c>
      <c r="H297" t="str">
        <f>"2576"</f>
        <v>2576</v>
      </c>
      <c r="I297" s="3">
        <v>12136400</v>
      </c>
      <c r="J297" s="3">
        <v>73.69</v>
      </c>
      <c r="K297" s="3">
        <v>16469500</v>
      </c>
      <c r="L297" s="3">
        <v>0</v>
      </c>
      <c r="M297" s="3">
        <v>16469500</v>
      </c>
      <c r="N297" s="3">
        <v>1158300</v>
      </c>
      <c r="O297" s="3">
        <v>1158300</v>
      </c>
      <c r="P297" s="3">
        <v>142200</v>
      </c>
      <c r="Q297" s="3">
        <v>142200</v>
      </c>
      <c r="R297" s="3">
        <v>1700</v>
      </c>
      <c r="S297" s="3">
        <v>0</v>
      </c>
      <c r="T297" s="3">
        <v>0</v>
      </c>
      <c r="U297" s="3">
        <v>0</v>
      </c>
      <c r="V297" s="3">
        <v>2017</v>
      </c>
      <c r="W297" s="3">
        <v>13427800</v>
      </c>
      <c r="X297" s="3">
        <v>17771700</v>
      </c>
      <c r="Y297" s="3">
        <v>4343900</v>
      </c>
      <c r="Z297" s="3">
        <v>15427700</v>
      </c>
      <c r="AA297" s="3">
        <v>2344000</v>
      </c>
      <c r="AB297" s="3">
        <v>15</v>
      </c>
    </row>
    <row r="298" spans="1:28" x14ac:dyDescent="0.35">
      <c r="A298">
        <v>2022</v>
      </c>
      <c r="B298" t="str">
        <f t="shared" si="34"/>
        <v>14</v>
      </c>
      <c r="C298" t="s">
        <v>137</v>
      </c>
      <c r="D298" t="s">
        <v>35</v>
      </c>
      <c r="E298" t="str">
        <f>"241"</f>
        <v>241</v>
      </c>
      <c r="F298" t="s">
        <v>145</v>
      </c>
      <c r="G298" t="str">
        <f>"004"</f>
        <v>004</v>
      </c>
      <c r="H298" t="str">
        <f>"2744"</f>
        <v>2744</v>
      </c>
      <c r="I298" s="3">
        <v>6613000</v>
      </c>
      <c r="J298" s="3">
        <v>69.83</v>
      </c>
      <c r="K298" s="3">
        <v>9470100</v>
      </c>
      <c r="L298" s="3">
        <v>0</v>
      </c>
      <c r="M298" s="3">
        <v>9470100</v>
      </c>
      <c r="N298" s="3">
        <v>4978400</v>
      </c>
      <c r="O298" s="3">
        <v>4978400</v>
      </c>
      <c r="P298" s="3">
        <v>441200</v>
      </c>
      <c r="Q298" s="3">
        <v>441200</v>
      </c>
      <c r="R298" s="3">
        <v>-3500</v>
      </c>
      <c r="S298" s="3">
        <v>0</v>
      </c>
      <c r="T298" s="3">
        <v>0</v>
      </c>
      <c r="U298" s="3">
        <v>0</v>
      </c>
      <c r="V298" s="3">
        <v>2018</v>
      </c>
      <c r="W298" s="3">
        <v>7477100</v>
      </c>
      <c r="X298" s="3">
        <v>14886200</v>
      </c>
      <c r="Y298" s="3">
        <v>7409100</v>
      </c>
      <c r="Z298" s="3">
        <v>10713600</v>
      </c>
      <c r="AA298" s="3">
        <v>4172600</v>
      </c>
      <c r="AB298" s="3">
        <v>39</v>
      </c>
    </row>
    <row r="299" spans="1:28" x14ac:dyDescent="0.35">
      <c r="A299">
        <v>2022</v>
      </c>
      <c r="B299" t="str">
        <f t="shared" si="34"/>
        <v>14</v>
      </c>
      <c r="C299" t="s">
        <v>137</v>
      </c>
      <c r="D299" t="s">
        <v>35</v>
      </c>
      <c r="E299" t="str">
        <f>"251"</f>
        <v>251</v>
      </c>
      <c r="F299" t="s">
        <v>146</v>
      </c>
      <c r="G299" t="str">
        <f>"004"</f>
        <v>004</v>
      </c>
      <c r="H299" t="str">
        <f>"3367"</f>
        <v>3367</v>
      </c>
      <c r="I299" s="3">
        <v>0</v>
      </c>
      <c r="J299" s="3">
        <v>100</v>
      </c>
      <c r="K299" s="3">
        <v>0</v>
      </c>
      <c r="L299" s="3">
        <v>0</v>
      </c>
      <c r="M299" s="3">
        <v>0</v>
      </c>
      <c r="N299" s="3">
        <v>2186300</v>
      </c>
      <c r="O299" s="3">
        <v>2186300</v>
      </c>
      <c r="P299" s="3">
        <v>197700</v>
      </c>
      <c r="Q299" s="3">
        <v>197700</v>
      </c>
      <c r="R299" s="3">
        <v>0</v>
      </c>
      <c r="S299" s="3">
        <v>0</v>
      </c>
      <c r="T299" s="3">
        <v>0</v>
      </c>
      <c r="U299" s="3">
        <v>0</v>
      </c>
      <c r="V299" s="3">
        <v>2009</v>
      </c>
      <c r="W299" s="3">
        <v>1548600</v>
      </c>
      <c r="X299" s="3">
        <v>2384000</v>
      </c>
      <c r="Y299" s="3">
        <v>835400</v>
      </c>
      <c r="Z299" s="3">
        <v>2331700</v>
      </c>
      <c r="AA299" s="3">
        <v>52300</v>
      </c>
      <c r="AB299" s="3">
        <v>2</v>
      </c>
    </row>
    <row r="300" spans="1:28" x14ac:dyDescent="0.35">
      <c r="A300">
        <v>2022</v>
      </c>
      <c r="B300" t="str">
        <f t="shared" si="34"/>
        <v>14</v>
      </c>
      <c r="C300" t="s">
        <v>137</v>
      </c>
      <c r="D300" t="s">
        <v>35</v>
      </c>
      <c r="E300" t="str">
        <f>"251"</f>
        <v>251</v>
      </c>
      <c r="F300" t="s">
        <v>146</v>
      </c>
      <c r="G300" t="str">
        <f>"005"</f>
        <v>005</v>
      </c>
      <c r="H300" t="str">
        <f>"3367"</f>
        <v>3367</v>
      </c>
      <c r="I300" s="3">
        <v>5042800</v>
      </c>
      <c r="J300" s="3">
        <v>100</v>
      </c>
      <c r="K300" s="3">
        <v>5042800</v>
      </c>
      <c r="L300" s="3">
        <v>0</v>
      </c>
      <c r="M300" s="3">
        <v>5042800</v>
      </c>
      <c r="N300" s="3">
        <v>0</v>
      </c>
      <c r="O300" s="3">
        <v>0</v>
      </c>
      <c r="P300" s="3">
        <v>0</v>
      </c>
      <c r="Q300" s="3">
        <v>0</v>
      </c>
      <c r="R300" s="3">
        <v>6300</v>
      </c>
      <c r="S300" s="3">
        <v>0</v>
      </c>
      <c r="T300" s="3">
        <v>0</v>
      </c>
      <c r="U300" s="3">
        <v>0</v>
      </c>
      <c r="V300" s="3">
        <v>2013</v>
      </c>
      <c r="W300" s="3">
        <v>2333200</v>
      </c>
      <c r="X300" s="3">
        <v>5049100</v>
      </c>
      <c r="Y300" s="3">
        <v>2715900</v>
      </c>
      <c r="Z300" s="3">
        <v>6330700</v>
      </c>
      <c r="AA300" s="3">
        <v>-1281600</v>
      </c>
      <c r="AB300" s="3">
        <v>-20</v>
      </c>
    </row>
    <row r="301" spans="1:28" x14ac:dyDescent="0.35">
      <c r="A301">
        <v>2022</v>
      </c>
      <c r="B301" t="str">
        <f t="shared" si="34"/>
        <v>14</v>
      </c>
      <c r="C301" t="s">
        <v>137</v>
      </c>
      <c r="D301" t="s">
        <v>35</v>
      </c>
      <c r="E301" t="str">
        <f>"251"</f>
        <v>251</v>
      </c>
      <c r="F301" t="s">
        <v>146</v>
      </c>
      <c r="G301" t="str">
        <f>"006"</f>
        <v>006</v>
      </c>
      <c r="H301" t="str">
        <f>"3367"</f>
        <v>3367</v>
      </c>
      <c r="I301" s="3">
        <v>19884000</v>
      </c>
      <c r="J301" s="3">
        <v>100</v>
      </c>
      <c r="K301" s="3">
        <v>19884000</v>
      </c>
      <c r="L301" s="3">
        <v>0</v>
      </c>
      <c r="M301" s="3">
        <v>19884000</v>
      </c>
      <c r="N301" s="3">
        <v>925300</v>
      </c>
      <c r="O301" s="3">
        <v>925300</v>
      </c>
      <c r="P301" s="3">
        <v>42700</v>
      </c>
      <c r="Q301" s="3">
        <v>42700</v>
      </c>
      <c r="R301" s="3">
        <v>0</v>
      </c>
      <c r="S301" s="3">
        <v>0</v>
      </c>
      <c r="T301" s="3">
        <v>0</v>
      </c>
      <c r="U301" s="3">
        <v>0</v>
      </c>
      <c r="V301" s="3">
        <v>2021</v>
      </c>
      <c r="W301" s="3">
        <v>21761900</v>
      </c>
      <c r="X301" s="3">
        <v>20852000</v>
      </c>
      <c r="Y301" s="3">
        <v>-909900</v>
      </c>
      <c r="Z301" s="3">
        <v>21761900</v>
      </c>
      <c r="AA301" s="3">
        <v>-909900</v>
      </c>
      <c r="AB301" s="3">
        <v>-4</v>
      </c>
    </row>
    <row r="302" spans="1:28" x14ac:dyDescent="0.35">
      <c r="A302">
        <v>2022</v>
      </c>
      <c r="B302" t="str">
        <f t="shared" si="34"/>
        <v>14</v>
      </c>
      <c r="C302" t="s">
        <v>137</v>
      </c>
      <c r="D302" t="s">
        <v>35</v>
      </c>
      <c r="E302" t="str">
        <f>"292"</f>
        <v>292</v>
      </c>
      <c r="F302" t="s">
        <v>147</v>
      </c>
      <c r="G302" t="str">
        <f>"003"</f>
        <v>003</v>
      </c>
      <c r="H302" t="str">
        <f>"6216"</f>
        <v>6216</v>
      </c>
      <c r="I302" s="3">
        <v>8431500</v>
      </c>
      <c r="J302" s="3">
        <v>100</v>
      </c>
      <c r="K302" s="3">
        <v>8431500</v>
      </c>
      <c r="L302" s="3">
        <v>0</v>
      </c>
      <c r="M302" s="3">
        <v>8431500</v>
      </c>
      <c r="N302" s="3">
        <v>1507100</v>
      </c>
      <c r="O302" s="3">
        <v>1507100</v>
      </c>
      <c r="P302" s="3">
        <v>90300</v>
      </c>
      <c r="Q302" s="3">
        <v>90300</v>
      </c>
      <c r="R302" s="3">
        <v>0</v>
      </c>
      <c r="S302" s="3">
        <v>0</v>
      </c>
      <c r="T302" s="3">
        <v>0</v>
      </c>
      <c r="U302" s="3">
        <v>0</v>
      </c>
      <c r="V302" s="3">
        <v>2005</v>
      </c>
      <c r="W302" s="3">
        <v>7038800</v>
      </c>
      <c r="X302" s="3">
        <v>10028900</v>
      </c>
      <c r="Y302" s="3">
        <v>2990100</v>
      </c>
      <c r="Z302" s="3">
        <v>9739800</v>
      </c>
      <c r="AA302" s="3">
        <v>289100</v>
      </c>
      <c r="AB302" s="3">
        <v>3</v>
      </c>
    </row>
    <row r="303" spans="1:28" x14ac:dyDescent="0.35">
      <c r="A303">
        <v>2022</v>
      </c>
      <c r="B303" t="str">
        <f t="shared" si="34"/>
        <v>14</v>
      </c>
      <c r="C303" t="s">
        <v>137</v>
      </c>
      <c r="D303" t="s">
        <v>35</v>
      </c>
      <c r="E303" t="str">
        <f>"292"</f>
        <v>292</v>
      </c>
      <c r="F303" t="s">
        <v>147</v>
      </c>
      <c r="G303" t="str">
        <f>"005"</f>
        <v>005</v>
      </c>
      <c r="H303" t="str">
        <f>"6216"</f>
        <v>6216</v>
      </c>
      <c r="I303" s="3">
        <v>24053700</v>
      </c>
      <c r="J303" s="3">
        <v>100</v>
      </c>
      <c r="K303" s="3">
        <v>24053700</v>
      </c>
      <c r="L303" s="3">
        <v>0</v>
      </c>
      <c r="M303" s="3">
        <v>24053700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2008</v>
      </c>
      <c r="W303" s="3">
        <v>1950300</v>
      </c>
      <c r="X303" s="3">
        <v>24053700</v>
      </c>
      <c r="Y303" s="3">
        <v>22103400</v>
      </c>
      <c r="Z303" s="3">
        <v>22814700</v>
      </c>
      <c r="AA303" s="3">
        <v>1239000</v>
      </c>
      <c r="AB303" s="3">
        <v>5</v>
      </c>
    </row>
    <row r="304" spans="1:28" x14ac:dyDescent="0.35">
      <c r="A304">
        <v>2022</v>
      </c>
      <c r="B304" t="str">
        <f t="shared" si="34"/>
        <v>14</v>
      </c>
      <c r="C304" t="s">
        <v>137</v>
      </c>
      <c r="D304" t="s">
        <v>35</v>
      </c>
      <c r="E304" t="str">
        <f>"292"</f>
        <v>292</v>
      </c>
      <c r="F304" t="s">
        <v>147</v>
      </c>
      <c r="G304" t="str">
        <f>"006"</f>
        <v>006</v>
      </c>
      <c r="H304" t="str">
        <f>"6216"</f>
        <v>6216</v>
      </c>
      <c r="I304" s="3">
        <v>10730700</v>
      </c>
      <c r="J304" s="3">
        <v>100</v>
      </c>
      <c r="K304" s="3">
        <v>10730700</v>
      </c>
      <c r="L304" s="3">
        <v>0</v>
      </c>
      <c r="M304" s="3">
        <v>10730700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2012</v>
      </c>
      <c r="W304" s="3">
        <v>5279100</v>
      </c>
      <c r="X304" s="3">
        <v>10730700</v>
      </c>
      <c r="Y304" s="3">
        <v>5451600</v>
      </c>
      <c r="Z304" s="3">
        <v>12027100</v>
      </c>
      <c r="AA304" s="3">
        <v>-1296400</v>
      </c>
      <c r="AB304" s="3">
        <v>-11</v>
      </c>
    </row>
    <row r="305" spans="1:28" x14ac:dyDescent="0.35">
      <c r="A305">
        <v>2022</v>
      </c>
      <c r="B305" t="str">
        <f t="shared" si="34"/>
        <v>14</v>
      </c>
      <c r="C305" t="s">
        <v>137</v>
      </c>
      <c r="D305" t="s">
        <v>35</v>
      </c>
      <c r="E305" t="str">
        <f>"292"</f>
        <v>292</v>
      </c>
      <c r="F305" t="s">
        <v>147</v>
      </c>
      <c r="G305" t="str">
        <f>"007"</f>
        <v>007</v>
      </c>
      <c r="H305" t="str">
        <f>"6216"</f>
        <v>6216</v>
      </c>
      <c r="I305" s="3">
        <v>2785300</v>
      </c>
      <c r="J305" s="3">
        <v>100</v>
      </c>
      <c r="K305" s="3">
        <v>2785300</v>
      </c>
      <c r="L305" s="3">
        <v>0</v>
      </c>
      <c r="M305" s="3">
        <v>2785300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2017</v>
      </c>
      <c r="W305" s="3">
        <v>22100</v>
      </c>
      <c r="X305" s="3">
        <v>2785300</v>
      </c>
      <c r="Y305" s="3">
        <v>2763200</v>
      </c>
      <c r="Z305" s="3">
        <v>3234800</v>
      </c>
      <c r="AA305" s="3">
        <v>-449500</v>
      </c>
      <c r="AB305" s="3">
        <v>-14</v>
      </c>
    </row>
    <row r="306" spans="1:28" x14ac:dyDescent="0.35">
      <c r="A306">
        <v>2022</v>
      </c>
      <c r="B306" t="str">
        <f t="shared" ref="B306:B312" si="35">"15"</f>
        <v>15</v>
      </c>
      <c r="C306" t="s">
        <v>148</v>
      </c>
      <c r="D306" t="s">
        <v>33</v>
      </c>
      <c r="E306" t="str">
        <f>"181"</f>
        <v>181</v>
      </c>
      <c r="F306" t="s">
        <v>149</v>
      </c>
      <c r="G306" t="str">
        <f>"001"</f>
        <v>001</v>
      </c>
      <c r="H306" t="str">
        <f>"2114"</f>
        <v>2114</v>
      </c>
      <c r="I306" s="3">
        <v>91045900</v>
      </c>
      <c r="J306" s="3">
        <v>77.959999999999994</v>
      </c>
      <c r="K306" s="3">
        <v>116785400</v>
      </c>
      <c r="L306" s="3">
        <v>0</v>
      </c>
      <c r="M306" s="3">
        <v>116785400</v>
      </c>
      <c r="N306" s="3">
        <v>0</v>
      </c>
      <c r="O306" s="3">
        <v>0</v>
      </c>
      <c r="P306" s="3">
        <v>50300</v>
      </c>
      <c r="Q306" s="3">
        <v>50300</v>
      </c>
      <c r="R306" s="3">
        <v>-233000</v>
      </c>
      <c r="S306" s="3">
        <v>0</v>
      </c>
      <c r="T306" s="3">
        <v>0</v>
      </c>
      <c r="U306" s="3">
        <v>0</v>
      </c>
      <c r="V306" s="3">
        <v>2008</v>
      </c>
      <c r="W306" s="3">
        <v>44718300</v>
      </c>
      <c r="X306" s="3">
        <v>116602700</v>
      </c>
      <c r="Y306" s="3">
        <v>71884400</v>
      </c>
      <c r="Z306" s="3">
        <v>102181800</v>
      </c>
      <c r="AA306" s="3">
        <v>14420900</v>
      </c>
      <c r="AB306" s="3">
        <v>14</v>
      </c>
    </row>
    <row r="307" spans="1:28" x14ac:dyDescent="0.35">
      <c r="A307">
        <v>2022</v>
      </c>
      <c r="B307" t="str">
        <f t="shared" si="35"/>
        <v>15</v>
      </c>
      <c r="C307" t="s">
        <v>148</v>
      </c>
      <c r="D307" t="s">
        <v>33</v>
      </c>
      <c r="E307" t="str">
        <f>"181"</f>
        <v>181</v>
      </c>
      <c r="F307" t="s">
        <v>149</v>
      </c>
      <c r="G307" t="str">
        <f>"002"</f>
        <v>002</v>
      </c>
      <c r="H307" t="str">
        <f>"2114"</f>
        <v>2114</v>
      </c>
      <c r="I307" s="3">
        <v>11538900</v>
      </c>
      <c r="J307" s="3">
        <v>77.959999999999994</v>
      </c>
      <c r="K307" s="3">
        <v>14801100</v>
      </c>
      <c r="L307" s="3">
        <v>0</v>
      </c>
      <c r="M307" s="3">
        <v>14801100</v>
      </c>
      <c r="N307" s="3">
        <v>0</v>
      </c>
      <c r="O307" s="3">
        <v>0</v>
      </c>
      <c r="P307" s="3">
        <v>0</v>
      </c>
      <c r="Q307" s="3">
        <v>0</v>
      </c>
      <c r="R307" s="3">
        <v>-32900</v>
      </c>
      <c r="S307" s="3">
        <v>0</v>
      </c>
      <c r="T307" s="3">
        <v>0</v>
      </c>
      <c r="U307" s="3">
        <v>0</v>
      </c>
      <c r="V307" s="3">
        <v>2018</v>
      </c>
      <c r="W307" s="3">
        <v>9649500</v>
      </c>
      <c r="X307" s="3">
        <v>14768200</v>
      </c>
      <c r="Y307" s="3">
        <v>5118700</v>
      </c>
      <c r="Z307" s="3">
        <v>14103600</v>
      </c>
      <c r="AA307" s="3">
        <v>664600</v>
      </c>
      <c r="AB307" s="3">
        <v>5</v>
      </c>
    </row>
    <row r="308" spans="1:28" x14ac:dyDescent="0.35">
      <c r="A308">
        <v>2022</v>
      </c>
      <c r="B308" t="str">
        <f t="shared" si="35"/>
        <v>15</v>
      </c>
      <c r="C308" t="s">
        <v>148</v>
      </c>
      <c r="D308" t="s">
        <v>35</v>
      </c>
      <c r="E308" t="str">
        <f>"281"</f>
        <v>281</v>
      </c>
      <c r="F308" t="s">
        <v>150</v>
      </c>
      <c r="G308" t="str">
        <f>"001"</f>
        <v>001</v>
      </c>
      <c r="H308" t="str">
        <f>"5642"</f>
        <v>5642</v>
      </c>
      <c r="I308" s="3">
        <v>12174200</v>
      </c>
      <c r="J308" s="3">
        <v>82.05</v>
      </c>
      <c r="K308" s="3">
        <v>14837500</v>
      </c>
      <c r="L308" s="3">
        <v>0</v>
      </c>
      <c r="M308" s="3">
        <v>14837500</v>
      </c>
      <c r="N308" s="3">
        <v>32800700</v>
      </c>
      <c r="O308" s="3">
        <v>32800700</v>
      </c>
      <c r="P308" s="3">
        <v>2928900</v>
      </c>
      <c r="Q308" s="3">
        <v>2928900</v>
      </c>
      <c r="R308" s="3">
        <v>62000</v>
      </c>
      <c r="S308" s="3">
        <v>0</v>
      </c>
      <c r="T308" s="3">
        <v>0</v>
      </c>
      <c r="U308" s="3">
        <v>0</v>
      </c>
      <c r="V308" s="3">
        <v>1991</v>
      </c>
      <c r="W308" s="3">
        <v>9634200</v>
      </c>
      <c r="X308" s="3">
        <v>50629100</v>
      </c>
      <c r="Y308" s="3">
        <v>40994900</v>
      </c>
      <c r="Z308" s="3">
        <v>46586200</v>
      </c>
      <c r="AA308" s="3">
        <v>4042900</v>
      </c>
      <c r="AB308" s="3">
        <v>9</v>
      </c>
    </row>
    <row r="309" spans="1:28" x14ac:dyDescent="0.35">
      <c r="A309">
        <v>2022</v>
      </c>
      <c r="B309" t="str">
        <f t="shared" si="35"/>
        <v>15</v>
      </c>
      <c r="C309" t="s">
        <v>148</v>
      </c>
      <c r="D309" t="s">
        <v>35</v>
      </c>
      <c r="E309" t="str">
        <f>"281"</f>
        <v>281</v>
      </c>
      <c r="F309" t="s">
        <v>150</v>
      </c>
      <c r="G309" t="str">
        <f>"002"</f>
        <v>002</v>
      </c>
      <c r="H309" t="str">
        <f>"5642"</f>
        <v>5642</v>
      </c>
      <c r="I309" s="3">
        <v>67689200</v>
      </c>
      <c r="J309" s="3">
        <v>82.05</v>
      </c>
      <c r="K309" s="3">
        <v>82497500</v>
      </c>
      <c r="L309" s="3">
        <v>0</v>
      </c>
      <c r="M309" s="3">
        <v>82497500</v>
      </c>
      <c r="N309" s="3">
        <v>2398900</v>
      </c>
      <c r="O309" s="3">
        <v>2398900</v>
      </c>
      <c r="P309" s="3">
        <v>1400</v>
      </c>
      <c r="Q309" s="3">
        <v>1400</v>
      </c>
      <c r="R309" s="3">
        <v>336700</v>
      </c>
      <c r="S309" s="3">
        <v>0</v>
      </c>
      <c r="T309" s="3">
        <v>0</v>
      </c>
      <c r="U309" s="3">
        <v>0</v>
      </c>
      <c r="V309" s="3">
        <v>1994</v>
      </c>
      <c r="W309" s="3">
        <v>16123000</v>
      </c>
      <c r="X309" s="3">
        <v>85234500</v>
      </c>
      <c r="Y309" s="3">
        <v>69111500</v>
      </c>
      <c r="Z309" s="3">
        <v>58366600</v>
      </c>
      <c r="AA309" s="3">
        <v>26867900</v>
      </c>
      <c r="AB309" s="3">
        <v>46</v>
      </c>
    </row>
    <row r="310" spans="1:28" x14ac:dyDescent="0.35">
      <c r="A310">
        <v>2022</v>
      </c>
      <c r="B310" t="str">
        <f t="shared" si="35"/>
        <v>15</v>
      </c>
      <c r="C310" t="s">
        <v>148</v>
      </c>
      <c r="D310" t="s">
        <v>35</v>
      </c>
      <c r="E310" t="str">
        <f>"281"</f>
        <v>281</v>
      </c>
      <c r="F310" t="s">
        <v>150</v>
      </c>
      <c r="G310" t="str">
        <f>"003"</f>
        <v>003</v>
      </c>
      <c r="H310" t="str">
        <f>"5642"</f>
        <v>5642</v>
      </c>
      <c r="I310" s="3">
        <v>3831500</v>
      </c>
      <c r="J310" s="3">
        <v>82.05</v>
      </c>
      <c r="K310" s="3">
        <v>4669700</v>
      </c>
      <c r="L310" s="3">
        <v>0</v>
      </c>
      <c r="M310" s="3">
        <v>4669700</v>
      </c>
      <c r="N310" s="3">
        <v>0</v>
      </c>
      <c r="O310" s="3">
        <v>0</v>
      </c>
      <c r="P310" s="3">
        <v>0</v>
      </c>
      <c r="Q310" s="3">
        <v>0</v>
      </c>
      <c r="R310" s="3">
        <v>18300</v>
      </c>
      <c r="S310" s="3">
        <v>0</v>
      </c>
      <c r="T310" s="3">
        <v>0</v>
      </c>
      <c r="U310" s="3">
        <v>0</v>
      </c>
      <c r="V310" s="3">
        <v>2008</v>
      </c>
      <c r="W310" s="3">
        <v>916900</v>
      </c>
      <c r="X310" s="3">
        <v>4688000</v>
      </c>
      <c r="Y310" s="3">
        <v>3771100</v>
      </c>
      <c r="Z310" s="3">
        <v>3937000</v>
      </c>
      <c r="AA310" s="3">
        <v>751000</v>
      </c>
      <c r="AB310" s="3">
        <v>19</v>
      </c>
    </row>
    <row r="311" spans="1:28" x14ac:dyDescent="0.35">
      <c r="A311">
        <v>2022</v>
      </c>
      <c r="B311" t="str">
        <f t="shared" si="35"/>
        <v>15</v>
      </c>
      <c r="C311" t="s">
        <v>148</v>
      </c>
      <c r="D311" t="s">
        <v>35</v>
      </c>
      <c r="E311" t="str">
        <f>"281"</f>
        <v>281</v>
      </c>
      <c r="F311" t="s">
        <v>150</v>
      </c>
      <c r="G311" t="str">
        <f>"004"</f>
        <v>004</v>
      </c>
      <c r="H311" t="str">
        <f>"5642"</f>
        <v>5642</v>
      </c>
      <c r="I311" s="3">
        <v>5501400</v>
      </c>
      <c r="J311" s="3">
        <v>82.05</v>
      </c>
      <c r="K311" s="3">
        <v>6704900</v>
      </c>
      <c r="L311" s="3">
        <v>0</v>
      </c>
      <c r="M311" s="3">
        <v>6704900</v>
      </c>
      <c r="N311" s="3">
        <v>0</v>
      </c>
      <c r="O311" s="3">
        <v>0</v>
      </c>
      <c r="P311" s="3">
        <v>0</v>
      </c>
      <c r="Q311" s="3">
        <v>0</v>
      </c>
      <c r="R311" s="3">
        <v>27300</v>
      </c>
      <c r="S311" s="3">
        <v>0</v>
      </c>
      <c r="T311" s="3">
        <v>0</v>
      </c>
      <c r="U311" s="3">
        <v>0</v>
      </c>
      <c r="V311" s="3">
        <v>2013</v>
      </c>
      <c r="W311" s="3">
        <v>415900</v>
      </c>
      <c r="X311" s="3">
        <v>6732200</v>
      </c>
      <c r="Y311" s="3">
        <v>6316300</v>
      </c>
      <c r="Z311" s="3">
        <v>4664400</v>
      </c>
      <c r="AA311" s="3">
        <v>2067800</v>
      </c>
      <c r="AB311" s="3">
        <v>44</v>
      </c>
    </row>
    <row r="312" spans="1:28" x14ac:dyDescent="0.35">
      <c r="A312">
        <v>2022</v>
      </c>
      <c r="B312" t="str">
        <f t="shared" si="35"/>
        <v>15</v>
      </c>
      <c r="C312" t="s">
        <v>148</v>
      </c>
      <c r="D312" t="s">
        <v>35</v>
      </c>
      <c r="E312" t="str">
        <f>"281"</f>
        <v>281</v>
      </c>
      <c r="F312" t="s">
        <v>150</v>
      </c>
      <c r="G312" t="str">
        <f>"005"</f>
        <v>005</v>
      </c>
      <c r="H312" t="str">
        <f>"5642"</f>
        <v>5642</v>
      </c>
      <c r="I312" s="3">
        <v>394000</v>
      </c>
      <c r="J312" s="3">
        <v>82.05</v>
      </c>
      <c r="K312" s="3">
        <v>480200</v>
      </c>
      <c r="L312" s="3">
        <v>0</v>
      </c>
      <c r="M312" s="3">
        <v>480200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2021</v>
      </c>
      <c r="W312" s="3">
        <v>0</v>
      </c>
      <c r="X312" s="3">
        <v>480200</v>
      </c>
      <c r="Y312" s="3">
        <v>480200</v>
      </c>
      <c r="Z312" s="3">
        <v>0</v>
      </c>
      <c r="AA312" s="3">
        <v>480200</v>
      </c>
      <c r="AB312" s="3">
        <v>100</v>
      </c>
    </row>
    <row r="313" spans="1:28" x14ac:dyDescent="0.35">
      <c r="A313">
        <v>2022</v>
      </c>
      <c r="B313" t="str">
        <f t="shared" ref="B313:B321" si="36">"16"</f>
        <v>16</v>
      </c>
      <c r="C313" t="s">
        <v>151</v>
      </c>
      <c r="D313" t="s">
        <v>33</v>
      </c>
      <c r="E313" t="str">
        <f>"181"</f>
        <v>181</v>
      </c>
      <c r="F313" t="s">
        <v>152</v>
      </c>
      <c r="G313" t="str">
        <f>"002"</f>
        <v>002</v>
      </c>
      <c r="H313" t="str">
        <f>"5397"</f>
        <v>5397</v>
      </c>
      <c r="I313" s="3">
        <v>1874900</v>
      </c>
      <c r="J313" s="3">
        <v>63.93</v>
      </c>
      <c r="K313" s="3">
        <v>2932700</v>
      </c>
      <c r="L313" s="3">
        <v>0</v>
      </c>
      <c r="M313" s="3">
        <v>2932700</v>
      </c>
      <c r="N313" s="3">
        <v>447100</v>
      </c>
      <c r="O313" s="3">
        <v>447100</v>
      </c>
      <c r="P313" s="3">
        <v>5500</v>
      </c>
      <c r="Q313" s="3">
        <v>5500</v>
      </c>
      <c r="R313" s="3">
        <v>-25600</v>
      </c>
      <c r="S313" s="3">
        <v>0</v>
      </c>
      <c r="T313" s="3">
        <v>0</v>
      </c>
      <c r="U313" s="3">
        <v>0</v>
      </c>
      <c r="V313" s="3">
        <v>1999</v>
      </c>
      <c r="W313" s="3">
        <v>312900</v>
      </c>
      <c r="X313" s="3">
        <v>3359700</v>
      </c>
      <c r="Y313" s="3">
        <v>3046800</v>
      </c>
      <c r="Z313" s="3">
        <v>2840500</v>
      </c>
      <c r="AA313" s="3">
        <v>519200</v>
      </c>
      <c r="AB313" s="3">
        <v>18</v>
      </c>
    </row>
    <row r="314" spans="1:28" x14ac:dyDescent="0.35">
      <c r="A314">
        <v>2022</v>
      </c>
      <c r="B314" t="str">
        <f t="shared" si="36"/>
        <v>16</v>
      </c>
      <c r="C314" t="s">
        <v>151</v>
      </c>
      <c r="D314" t="s">
        <v>33</v>
      </c>
      <c r="E314" t="str">
        <f>"181"</f>
        <v>181</v>
      </c>
      <c r="F314" t="s">
        <v>152</v>
      </c>
      <c r="G314" t="str">
        <f>"003"</f>
        <v>003</v>
      </c>
      <c r="H314" t="str">
        <f>"5397"</f>
        <v>5397</v>
      </c>
      <c r="I314" s="3">
        <v>1336900</v>
      </c>
      <c r="J314" s="3">
        <v>63.93</v>
      </c>
      <c r="K314" s="3">
        <v>2091200</v>
      </c>
      <c r="L314" s="3">
        <v>0</v>
      </c>
      <c r="M314" s="3">
        <v>2091200</v>
      </c>
      <c r="N314" s="3">
        <v>0</v>
      </c>
      <c r="O314" s="3">
        <v>0</v>
      </c>
      <c r="P314" s="3">
        <v>0</v>
      </c>
      <c r="Q314" s="3">
        <v>0</v>
      </c>
      <c r="R314" s="3">
        <v>-156000</v>
      </c>
      <c r="S314" s="3">
        <v>0</v>
      </c>
      <c r="T314" s="3">
        <v>0</v>
      </c>
      <c r="U314" s="3">
        <v>0</v>
      </c>
      <c r="V314" s="3">
        <v>2011</v>
      </c>
      <c r="W314" s="3">
        <v>53900</v>
      </c>
      <c r="X314" s="3">
        <v>1935200</v>
      </c>
      <c r="Y314" s="3">
        <v>1881300</v>
      </c>
      <c r="Z314" s="3">
        <v>1843500</v>
      </c>
      <c r="AA314" s="3">
        <v>91700</v>
      </c>
      <c r="AB314" s="3">
        <v>5</v>
      </c>
    </row>
    <row r="315" spans="1:28" x14ac:dyDescent="0.35">
      <c r="A315">
        <v>2022</v>
      </c>
      <c r="B315" t="str">
        <f t="shared" si="36"/>
        <v>16</v>
      </c>
      <c r="C315" t="s">
        <v>151</v>
      </c>
      <c r="D315" t="s">
        <v>35</v>
      </c>
      <c r="E315" t="str">
        <f t="shared" ref="E315:E321" si="37">"281"</f>
        <v>281</v>
      </c>
      <c r="F315" t="s">
        <v>153</v>
      </c>
      <c r="G315" t="str">
        <f>"007"</f>
        <v>007</v>
      </c>
      <c r="H315" t="str">
        <f t="shared" ref="H315:H321" si="38">"5663"</f>
        <v>5663</v>
      </c>
      <c r="I315" s="3">
        <v>17793900</v>
      </c>
      <c r="J315" s="3">
        <v>71.56</v>
      </c>
      <c r="K315" s="3">
        <v>24865700</v>
      </c>
      <c r="L315" s="3">
        <v>0</v>
      </c>
      <c r="M315" s="3">
        <v>24865700</v>
      </c>
      <c r="N315" s="3">
        <v>1752200</v>
      </c>
      <c r="O315" s="3">
        <v>1752200</v>
      </c>
      <c r="P315" s="3">
        <v>121700</v>
      </c>
      <c r="Q315" s="3">
        <v>121700</v>
      </c>
      <c r="R315" s="3">
        <v>-217800</v>
      </c>
      <c r="S315" s="3">
        <v>0</v>
      </c>
      <c r="T315" s="3">
        <v>0</v>
      </c>
      <c r="U315" s="3">
        <v>0</v>
      </c>
      <c r="V315" s="3">
        <v>1996</v>
      </c>
      <c r="W315" s="3">
        <v>7399500</v>
      </c>
      <c r="X315" s="3">
        <v>26521800</v>
      </c>
      <c r="Y315" s="3">
        <v>19122300</v>
      </c>
      <c r="Z315" s="3">
        <v>25258700</v>
      </c>
      <c r="AA315" s="3">
        <v>1263100</v>
      </c>
      <c r="AB315" s="3">
        <v>5</v>
      </c>
    </row>
    <row r="316" spans="1:28" x14ac:dyDescent="0.35">
      <c r="A316">
        <v>2022</v>
      </c>
      <c r="B316" t="str">
        <f t="shared" si="36"/>
        <v>16</v>
      </c>
      <c r="C316" t="s">
        <v>151</v>
      </c>
      <c r="D316" t="s">
        <v>35</v>
      </c>
      <c r="E316" t="str">
        <f t="shared" si="37"/>
        <v>281</v>
      </c>
      <c r="F316" t="s">
        <v>153</v>
      </c>
      <c r="G316" t="str">
        <f>"011"</f>
        <v>011</v>
      </c>
      <c r="H316" t="str">
        <f t="shared" si="38"/>
        <v>5663</v>
      </c>
      <c r="I316" s="3">
        <v>9404600</v>
      </c>
      <c r="J316" s="3">
        <v>71.56</v>
      </c>
      <c r="K316" s="3">
        <v>13142300</v>
      </c>
      <c r="L316" s="3">
        <v>0</v>
      </c>
      <c r="M316" s="3">
        <v>13142300</v>
      </c>
      <c r="N316" s="3">
        <v>0</v>
      </c>
      <c r="O316" s="3">
        <v>0</v>
      </c>
      <c r="P316" s="3">
        <v>0</v>
      </c>
      <c r="Q316" s="3">
        <v>0</v>
      </c>
      <c r="R316" s="3">
        <v>-113200</v>
      </c>
      <c r="S316" s="3">
        <v>0</v>
      </c>
      <c r="T316" s="3">
        <v>0</v>
      </c>
      <c r="U316" s="3">
        <v>0</v>
      </c>
      <c r="V316" s="3">
        <v>2008</v>
      </c>
      <c r="W316" s="3">
        <v>1937000</v>
      </c>
      <c r="X316" s="3">
        <v>13029100</v>
      </c>
      <c r="Y316" s="3">
        <v>11092100</v>
      </c>
      <c r="Z316" s="3">
        <v>10985600</v>
      </c>
      <c r="AA316" s="3">
        <v>2043500</v>
      </c>
      <c r="AB316" s="3">
        <v>19</v>
      </c>
    </row>
    <row r="317" spans="1:28" x14ac:dyDescent="0.35">
      <c r="A317">
        <v>2022</v>
      </c>
      <c r="B317" t="str">
        <f t="shared" si="36"/>
        <v>16</v>
      </c>
      <c r="C317" t="s">
        <v>151</v>
      </c>
      <c r="D317" t="s">
        <v>35</v>
      </c>
      <c r="E317" t="str">
        <f t="shared" si="37"/>
        <v>281</v>
      </c>
      <c r="F317" t="s">
        <v>153</v>
      </c>
      <c r="G317" t="str">
        <f>"013"</f>
        <v>013</v>
      </c>
      <c r="H317" t="str">
        <f t="shared" si="38"/>
        <v>5663</v>
      </c>
      <c r="I317" s="3">
        <v>15978200</v>
      </c>
      <c r="J317" s="3">
        <v>71.56</v>
      </c>
      <c r="K317" s="3">
        <v>22328400</v>
      </c>
      <c r="L317" s="3">
        <v>0</v>
      </c>
      <c r="M317" s="3">
        <v>22328400</v>
      </c>
      <c r="N317" s="3">
        <v>0</v>
      </c>
      <c r="O317" s="3">
        <v>0</v>
      </c>
      <c r="P317" s="3">
        <v>0</v>
      </c>
      <c r="Q317" s="3">
        <v>0</v>
      </c>
      <c r="R317" s="3">
        <v>-196000</v>
      </c>
      <c r="S317" s="3">
        <v>0</v>
      </c>
      <c r="T317" s="3">
        <v>0</v>
      </c>
      <c r="U317" s="3">
        <v>0</v>
      </c>
      <c r="V317" s="3">
        <v>2014</v>
      </c>
      <c r="W317" s="3">
        <v>2400400</v>
      </c>
      <c r="X317" s="3">
        <v>22132400</v>
      </c>
      <c r="Y317" s="3">
        <v>19732000</v>
      </c>
      <c r="Z317" s="3">
        <v>15273700</v>
      </c>
      <c r="AA317" s="3">
        <v>6858700</v>
      </c>
      <c r="AB317" s="3">
        <v>45</v>
      </c>
    </row>
    <row r="318" spans="1:28" x14ac:dyDescent="0.35">
      <c r="A318">
        <v>2022</v>
      </c>
      <c r="B318" t="str">
        <f t="shared" si="36"/>
        <v>16</v>
      </c>
      <c r="C318" t="s">
        <v>151</v>
      </c>
      <c r="D318" t="s">
        <v>35</v>
      </c>
      <c r="E318" t="str">
        <f t="shared" si="37"/>
        <v>281</v>
      </c>
      <c r="F318" t="s">
        <v>153</v>
      </c>
      <c r="G318" t="str">
        <f>"014"</f>
        <v>014</v>
      </c>
      <c r="H318" t="str">
        <f t="shared" si="38"/>
        <v>5663</v>
      </c>
      <c r="I318" s="3">
        <v>6056200</v>
      </c>
      <c r="J318" s="3">
        <v>71.56</v>
      </c>
      <c r="K318" s="3">
        <v>8463100</v>
      </c>
      <c r="L318" s="3">
        <v>0</v>
      </c>
      <c r="M318" s="3">
        <v>8463100</v>
      </c>
      <c r="N318" s="3">
        <v>0</v>
      </c>
      <c r="O318" s="3">
        <v>0</v>
      </c>
      <c r="P318" s="3">
        <v>0</v>
      </c>
      <c r="Q318" s="3">
        <v>0</v>
      </c>
      <c r="R318" s="3">
        <v>-4700</v>
      </c>
      <c r="S318" s="3">
        <v>0</v>
      </c>
      <c r="T318" s="3">
        <v>0</v>
      </c>
      <c r="U318" s="3">
        <v>0</v>
      </c>
      <c r="V318" s="3">
        <v>2019</v>
      </c>
      <c r="W318" s="3">
        <v>147700</v>
      </c>
      <c r="X318" s="3">
        <v>8458400</v>
      </c>
      <c r="Y318" s="3">
        <v>8310700</v>
      </c>
      <c r="Z318" s="3">
        <v>468100</v>
      </c>
      <c r="AA318" s="3">
        <v>7990300</v>
      </c>
      <c r="AB318" s="3">
        <v>1707</v>
      </c>
    </row>
    <row r="319" spans="1:28" x14ac:dyDescent="0.35">
      <c r="A319">
        <v>2022</v>
      </c>
      <c r="B319" t="str">
        <f t="shared" si="36"/>
        <v>16</v>
      </c>
      <c r="C319" t="s">
        <v>151</v>
      </c>
      <c r="D319" t="s">
        <v>35</v>
      </c>
      <c r="E319" t="str">
        <f t="shared" si="37"/>
        <v>281</v>
      </c>
      <c r="F319" t="s">
        <v>153</v>
      </c>
      <c r="G319" t="str">
        <f>"015"</f>
        <v>015</v>
      </c>
      <c r="H319" t="str">
        <f t="shared" si="38"/>
        <v>5663</v>
      </c>
      <c r="I319" s="3">
        <v>13033100</v>
      </c>
      <c r="J319" s="3">
        <v>71.56</v>
      </c>
      <c r="K319" s="3">
        <v>18212800</v>
      </c>
      <c r="L319" s="3">
        <v>0</v>
      </c>
      <c r="M319" s="3">
        <v>18212800</v>
      </c>
      <c r="N319" s="3">
        <v>0</v>
      </c>
      <c r="O319" s="3">
        <v>0</v>
      </c>
      <c r="P319" s="3">
        <v>0</v>
      </c>
      <c r="Q319" s="3">
        <v>0</v>
      </c>
      <c r="R319" s="3">
        <v>-158800</v>
      </c>
      <c r="S319" s="3">
        <v>0</v>
      </c>
      <c r="T319" s="3">
        <v>0</v>
      </c>
      <c r="U319" s="3">
        <v>0</v>
      </c>
      <c r="V319" s="3">
        <v>2020</v>
      </c>
      <c r="W319" s="3">
        <v>377900</v>
      </c>
      <c r="X319" s="3">
        <v>18054000</v>
      </c>
      <c r="Y319" s="3">
        <v>17676100</v>
      </c>
      <c r="Z319" s="3">
        <v>15833100</v>
      </c>
      <c r="AA319" s="3">
        <v>2220900</v>
      </c>
      <c r="AB319" s="3">
        <v>14</v>
      </c>
    </row>
    <row r="320" spans="1:28" x14ac:dyDescent="0.35">
      <c r="A320">
        <v>2022</v>
      </c>
      <c r="B320" t="str">
        <f t="shared" si="36"/>
        <v>16</v>
      </c>
      <c r="C320" t="s">
        <v>151</v>
      </c>
      <c r="D320" t="s">
        <v>35</v>
      </c>
      <c r="E320" t="str">
        <f t="shared" si="37"/>
        <v>281</v>
      </c>
      <c r="F320" t="s">
        <v>153</v>
      </c>
      <c r="G320" t="str">
        <f>"016"</f>
        <v>016</v>
      </c>
      <c r="H320" t="str">
        <f t="shared" si="38"/>
        <v>5663</v>
      </c>
      <c r="I320" s="3">
        <v>1484800</v>
      </c>
      <c r="J320" s="3">
        <v>71.56</v>
      </c>
      <c r="K320" s="3">
        <v>2074900</v>
      </c>
      <c r="L320" s="3">
        <v>0</v>
      </c>
      <c r="M320" s="3">
        <v>2074900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2021</v>
      </c>
      <c r="W320" s="3">
        <v>1954500</v>
      </c>
      <c r="X320" s="3">
        <v>2074900</v>
      </c>
      <c r="Y320" s="3">
        <v>120400</v>
      </c>
      <c r="Z320" s="3">
        <v>1954500</v>
      </c>
      <c r="AA320" s="3">
        <v>120400</v>
      </c>
      <c r="AB320" s="3">
        <v>6</v>
      </c>
    </row>
    <row r="321" spans="1:28" x14ac:dyDescent="0.35">
      <c r="A321">
        <v>2022</v>
      </c>
      <c r="B321" t="str">
        <f t="shared" si="36"/>
        <v>16</v>
      </c>
      <c r="C321" t="s">
        <v>151</v>
      </c>
      <c r="D321" t="s">
        <v>35</v>
      </c>
      <c r="E321" t="str">
        <f t="shared" si="37"/>
        <v>281</v>
      </c>
      <c r="F321" t="s">
        <v>153</v>
      </c>
      <c r="G321" t="str">
        <f>"017"</f>
        <v>017</v>
      </c>
      <c r="H321" t="str">
        <f t="shared" si="38"/>
        <v>5663</v>
      </c>
      <c r="I321" s="3">
        <v>146500</v>
      </c>
      <c r="J321" s="3">
        <v>71.56</v>
      </c>
      <c r="K321" s="3">
        <v>204700</v>
      </c>
      <c r="L321" s="3">
        <v>0</v>
      </c>
      <c r="M321" s="3">
        <v>204700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2021</v>
      </c>
      <c r="W321" s="3">
        <v>0</v>
      </c>
      <c r="X321" s="3">
        <v>204700</v>
      </c>
      <c r="Y321" s="3">
        <v>204700</v>
      </c>
      <c r="Z321" s="3">
        <v>0</v>
      </c>
      <c r="AA321" s="3">
        <v>204700</v>
      </c>
      <c r="AB321" s="3">
        <v>100</v>
      </c>
    </row>
    <row r="322" spans="1:28" x14ac:dyDescent="0.35">
      <c r="A322">
        <v>2022</v>
      </c>
      <c r="B322" t="str">
        <f t="shared" ref="B322:B335" si="39">"17"</f>
        <v>17</v>
      </c>
      <c r="C322" t="s">
        <v>154</v>
      </c>
      <c r="D322" t="s">
        <v>33</v>
      </c>
      <c r="E322" t="str">
        <f>"106"</f>
        <v>106</v>
      </c>
      <c r="F322" t="s">
        <v>155</v>
      </c>
      <c r="G322" t="str">
        <f>"002"</f>
        <v>002</v>
      </c>
      <c r="H322" t="str">
        <f>"0637"</f>
        <v>0637</v>
      </c>
      <c r="I322" s="3">
        <v>6689500</v>
      </c>
      <c r="J322" s="3">
        <v>88.93</v>
      </c>
      <c r="K322" s="3">
        <v>7522200</v>
      </c>
      <c r="L322" s="3">
        <v>0</v>
      </c>
      <c r="M322" s="3">
        <v>7522200</v>
      </c>
      <c r="N322" s="3">
        <v>2144700</v>
      </c>
      <c r="O322" s="3">
        <v>2144700</v>
      </c>
      <c r="P322" s="3">
        <v>123500</v>
      </c>
      <c r="Q322" s="3">
        <v>123500</v>
      </c>
      <c r="R322" s="3">
        <v>1128300</v>
      </c>
      <c r="S322" s="3">
        <v>0</v>
      </c>
      <c r="T322" s="3">
        <v>0</v>
      </c>
      <c r="U322" s="3">
        <v>0</v>
      </c>
      <c r="V322" s="3">
        <v>1996</v>
      </c>
      <c r="W322" s="3">
        <v>334900</v>
      </c>
      <c r="X322" s="3">
        <v>10918700</v>
      </c>
      <c r="Y322" s="3">
        <v>10583800</v>
      </c>
      <c r="Z322" s="3">
        <v>6761500</v>
      </c>
      <c r="AA322" s="3">
        <v>4157200</v>
      </c>
      <c r="AB322" s="3">
        <v>61</v>
      </c>
    </row>
    <row r="323" spans="1:28" x14ac:dyDescent="0.35">
      <c r="A323">
        <v>2022</v>
      </c>
      <c r="B323" t="str">
        <f t="shared" si="39"/>
        <v>17</v>
      </c>
      <c r="C323" t="s">
        <v>154</v>
      </c>
      <c r="D323" t="s">
        <v>33</v>
      </c>
      <c r="E323" t="str">
        <f>"106"</f>
        <v>106</v>
      </c>
      <c r="F323" t="s">
        <v>155</v>
      </c>
      <c r="G323" t="str">
        <f>"003"</f>
        <v>003</v>
      </c>
      <c r="H323" t="str">
        <f>"0637"</f>
        <v>0637</v>
      </c>
      <c r="I323" s="3">
        <v>1397600</v>
      </c>
      <c r="J323" s="3">
        <v>88.93</v>
      </c>
      <c r="K323" s="3">
        <v>1571600</v>
      </c>
      <c r="L323" s="3">
        <v>0</v>
      </c>
      <c r="M323" s="3">
        <v>1571600</v>
      </c>
      <c r="N323" s="3">
        <v>0</v>
      </c>
      <c r="O323" s="3">
        <v>0</v>
      </c>
      <c r="P323" s="3">
        <v>0</v>
      </c>
      <c r="Q323" s="3">
        <v>0</v>
      </c>
      <c r="R323" s="3">
        <v>-324500</v>
      </c>
      <c r="S323" s="3">
        <v>0</v>
      </c>
      <c r="T323" s="3">
        <v>0</v>
      </c>
      <c r="U323" s="3">
        <v>0</v>
      </c>
      <c r="V323" s="3">
        <v>2007</v>
      </c>
      <c r="W323" s="3">
        <v>1520500</v>
      </c>
      <c r="X323" s="3">
        <v>1247100</v>
      </c>
      <c r="Y323" s="3">
        <v>-273400</v>
      </c>
      <c r="Z323" s="3">
        <v>1634100</v>
      </c>
      <c r="AA323" s="3">
        <v>-387000</v>
      </c>
      <c r="AB323" s="3">
        <v>-24</v>
      </c>
    </row>
    <row r="324" spans="1:28" x14ac:dyDescent="0.35">
      <c r="A324">
        <v>2022</v>
      </c>
      <c r="B324" t="str">
        <f t="shared" si="39"/>
        <v>17</v>
      </c>
      <c r="C324" t="s">
        <v>154</v>
      </c>
      <c r="D324" t="s">
        <v>33</v>
      </c>
      <c r="E324" t="str">
        <f>"111"</f>
        <v>111</v>
      </c>
      <c r="F324" t="s">
        <v>156</v>
      </c>
      <c r="G324" t="str">
        <f>"003"</f>
        <v>003</v>
      </c>
      <c r="H324" t="str">
        <f>"1176"</f>
        <v>1176</v>
      </c>
      <c r="I324" s="3">
        <v>6699200</v>
      </c>
      <c r="J324" s="3">
        <v>96.55</v>
      </c>
      <c r="K324" s="3">
        <v>6938600</v>
      </c>
      <c r="L324" s="3">
        <v>0</v>
      </c>
      <c r="M324" s="3">
        <v>6938600</v>
      </c>
      <c r="N324" s="3">
        <v>645200</v>
      </c>
      <c r="O324" s="3">
        <v>645200</v>
      </c>
      <c r="P324" s="3">
        <v>26500</v>
      </c>
      <c r="Q324" s="3">
        <v>26500</v>
      </c>
      <c r="R324" s="3">
        <v>-807400</v>
      </c>
      <c r="S324" s="3">
        <v>0</v>
      </c>
      <c r="T324" s="3">
        <v>0</v>
      </c>
      <c r="U324" s="3">
        <v>1057300</v>
      </c>
      <c r="V324" s="3">
        <v>2002</v>
      </c>
      <c r="W324" s="3">
        <v>4436900</v>
      </c>
      <c r="X324" s="3">
        <v>7860200</v>
      </c>
      <c r="Y324" s="3">
        <v>3423300</v>
      </c>
      <c r="Z324" s="3">
        <v>8648700</v>
      </c>
      <c r="AA324" s="3">
        <v>-788500</v>
      </c>
      <c r="AB324" s="3">
        <v>-9</v>
      </c>
    </row>
    <row r="325" spans="1:28" x14ac:dyDescent="0.35">
      <c r="A325">
        <v>2022</v>
      </c>
      <c r="B325" t="str">
        <f t="shared" si="39"/>
        <v>17</v>
      </c>
      <c r="C325" t="s">
        <v>154</v>
      </c>
      <c r="D325" t="s">
        <v>33</v>
      </c>
      <c r="E325" t="str">
        <f>"111"</f>
        <v>111</v>
      </c>
      <c r="F325" t="s">
        <v>156</v>
      </c>
      <c r="G325" t="str">
        <f>"004"</f>
        <v>004</v>
      </c>
      <c r="H325" t="str">
        <f>"1176"</f>
        <v>1176</v>
      </c>
      <c r="I325" s="3">
        <v>2381300</v>
      </c>
      <c r="J325" s="3">
        <v>96.55</v>
      </c>
      <c r="K325" s="3">
        <v>2466400</v>
      </c>
      <c r="L325" s="3">
        <v>0</v>
      </c>
      <c r="M325" s="3">
        <v>2466400</v>
      </c>
      <c r="N325" s="3">
        <v>0</v>
      </c>
      <c r="O325" s="3">
        <v>0</v>
      </c>
      <c r="P325" s="3">
        <v>0</v>
      </c>
      <c r="Q325" s="3">
        <v>0</v>
      </c>
      <c r="R325" s="3">
        <v>-59200</v>
      </c>
      <c r="S325" s="3">
        <v>0</v>
      </c>
      <c r="T325" s="3">
        <v>0</v>
      </c>
      <c r="U325" s="3">
        <v>3893700</v>
      </c>
      <c r="V325" s="3">
        <v>2006</v>
      </c>
      <c r="W325" s="3">
        <v>1876600</v>
      </c>
      <c r="X325" s="3">
        <v>6300900</v>
      </c>
      <c r="Y325" s="3">
        <v>4424300</v>
      </c>
      <c r="Z325" s="3">
        <v>4161500</v>
      </c>
      <c r="AA325" s="3">
        <v>2139400</v>
      </c>
      <c r="AB325" s="3">
        <v>51</v>
      </c>
    </row>
    <row r="326" spans="1:28" x14ac:dyDescent="0.35">
      <c r="A326">
        <v>2022</v>
      </c>
      <c r="B326" t="str">
        <f t="shared" si="39"/>
        <v>17</v>
      </c>
      <c r="C326" t="s">
        <v>154</v>
      </c>
      <c r="D326" t="s">
        <v>33</v>
      </c>
      <c r="E326" t="str">
        <f>"111"</f>
        <v>111</v>
      </c>
      <c r="F326" t="s">
        <v>156</v>
      </c>
      <c r="G326" t="str">
        <f>"005"</f>
        <v>005</v>
      </c>
      <c r="H326" t="str">
        <f>"1176"</f>
        <v>1176</v>
      </c>
      <c r="I326" s="3">
        <v>3413800</v>
      </c>
      <c r="J326" s="3">
        <v>96.55</v>
      </c>
      <c r="K326" s="3">
        <v>3535800</v>
      </c>
      <c r="L326" s="3">
        <v>0</v>
      </c>
      <c r="M326" s="3">
        <v>3535800</v>
      </c>
      <c r="N326" s="3">
        <v>1609200</v>
      </c>
      <c r="O326" s="3">
        <v>1609200</v>
      </c>
      <c r="P326" s="3">
        <v>174900</v>
      </c>
      <c r="Q326" s="3">
        <v>174900</v>
      </c>
      <c r="R326" s="3">
        <v>0</v>
      </c>
      <c r="S326" s="3">
        <v>0</v>
      </c>
      <c r="T326" s="3">
        <v>0</v>
      </c>
      <c r="U326" s="3">
        <v>0</v>
      </c>
      <c r="V326" s="3">
        <v>2021</v>
      </c>
      <c r="W326" s="3">
        <v>4862100</v>
      </c>
      <c r="X326" s="3">
        <v>5319900</v>
      </c>
      <c r="Y326" s="3">
        <v>457800</v>
      </c>
      <c r="Z326" s="3">
        <v>4862100</v>
      </c>
      <c r="AA326" s="3">
        <v>457800</v>
      </c>
      <c r="AB326" s="3">
        <v>9</v>
      </c>
    </row>
    <row r="327" spans="1:28" x14ac:dyDescent="0.35">
      <c r="A327">
        <v>2022</v>
      </c>
      <c r="B327" t="str">
        <f t="shared" si="39"/>
        <v>17</v>
      </c>
      <c r="C327" t="s">
        <v>154</v>
      </c>
      <c r="D327" t="s">
        <v>33</v>
      </c>
      <c r="E327" t="str">
        <f>"121"</f>
        <v>121</v>
      </c>
      <c r="F327" t="s">
        <v>157</v>
      </c>
      <c r="G327" t="str">
        <f>"001"</f>
        <v>001</v>
      </c>
      <c r="H327" t="str">
        <f>"1645"</f>
        <v>1645</v>
      </c>
      <c r="I327" s="3">
        <v>1000</v>
      </c>
      <c r="J327" s="3">
        <v>69.23</v>
      </c>
      <c r="K327" s="3">
        <v>1400</v>
      </c>
      <c r="L327" s="3">
        <v>0</v>
      </c>
      <c r="M327" s="3">
        <v>1400</v>
      </c>
      <c r="N327" s="3">
        <v>0</v>
      </c>
      <c r="O327" s="3">
        <v>0</v>
      </c>
      <c r="P327" s="3">
        <v>0</v>
      </c>
      <c r="Q327" s="3">
        <v>0</v>
      </c>
      <c r="R327" s="3">
        <v>-1100</v>
      </c>
      <c r="S327" s="3">
        <v>0</v>
      </c>
      <c r="T327" s="3">
        <v>0</v>
      </c>
      <c r="U327" s="3">
        <v>4470100</v>
      </c>
      <c r="V327" s="3">
        <v>2007</v>
      </c>
      <c r="W327" s="3">
        <v>2499700</v>
      </c>
      <c r="X327" s="3">
        <v>4470400</v>
      </c>
      <c r="Y327" s="3">
        <v>1970700</v>
      </c>
      <c r="Z327" s="3">
        <v>4504700</v>
      </c>
      <c r="AA327" s="3">
        <v>-34300</v>
      </c>
      <c r="AB327" s="3">
        <v>-1</v>
      </c>
    </row>
    <row r="328" spans="1:28" x14ac:dyDescent="0.35">
      <c r="A328">
        <v>2022</v>
      </c>
      <c r="B328" t="str">
        <f t="shared" si="39"/>
        <v>17</v>
      </c>
      <c r="C328" t="s">
        <v>154</v>
      </c>
      <c r="D328" t="s">
        <v>33</v>
      </c>
      <c r="E328" t="str">
        <f>"121"</f>
        <v>121</v>
      </c>
      <c r="F328" t="s">
        <v>157</v>
      </c>
      <c r="G328" t="str">
        <f>"002"</f>
        <v>002</v>
      </c>
      <c r="H328" t="str">
        <f>"1645"</f>
        <v>1645</v>
      </c>
      <c r="I328" s="3">
        <v>4773100</v>
      </c>
      <c r="J328" s="3">
        <v>69.23</v>
      </c>
      <c r="K328" s="3">
        <v>6894600</v>
      </c>
      <c r="L328" s="3">
        <v>0</v>
      </c>
      <c r="M328" s="3">
        <v>6894600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2021</v>
      </c>
      <c r="W328" s="3">
        <v>4512200</v>
      </c>
      <c r="X328" s="3">
        <v>6894600</v>
      </c>
      <c r="Y328" s="3">
        <v>2382400</v>
      </c>
      <c r="Z328" s="3">
        <v>4512200</v>
      </c>
      <c r="AA328" s="3">
        <v>2382400</v>
      </c>
      <c r="AB328" s="3">
        <v>53</v>
      </c>
    </row>
    <row r="329" spans="1:28" x14ac:dyDescent="0.35">
      <c r="A329">
        <v>2022</v>
      </c>
      <c r="B329" t="str">
        <f t="shared" si="39"/>
        <v>17</v>
      </c>
      <c r="C329" t="s">
        <v>154</v>
      </c>
      <c r="D329" t="s">
        <v>33</v>
      </c>
      <c r="E329" t="str">
        <f>"141"</f>
        <v>141</v>
      </c>
      <c r="F329" t="s">
        <v>158</v>
      </c>
      <c r="G329" t="str">
        <f>"003"</f>
        <v>003</v>
      </c>
      <c r="H329" t="str">
        <f>"3444"</f>
        <v>3444</v>
      </c>
      <c r="I329" s="3">
        <v>3577300</v>
      </c>
      <c r="J329" s="3">
        <v>99.26</v>
      </c>
      <c r="K329" s="3">
        <v>3604000</v>
      </c>
      <c r="L329" s="3">
        <v>0</v>
      </c>
      <c r="M329" s="3">
        <v>3604000</v>
      </c>
      <c r="N329" s="3">
        <v>0</v>
      </c>
      <c r="O329" s="3">
        <v>0</v>
      </c>
      <c r="P329" s="3">
        <v>0</v>
      </c>
      <c r="Q329" s="3">
        <v>0</v>
      </c>
      <c r="R329" s="3">
        <v>53000</v>
      </c>
      <c r="S329" s="3">
        <v>0</v>
      </c>
      <c r="T329" s="3">
        <v>0</v>
      </c>
      <c r="U329" s="3">
        <v>0</v>
      </c>
      <c r="V329" s="3">
        <v>2005</v>
      </c>
      <c r="W329" s="3">
        <v>201200</v>
      </c>
      <c r="X329" s="3">
        <v>3657000</v>
      </c>
      <c r="Y329" s="3">
        <v>3455800</v>
      </c>
      <c r="Z329" s="3">
        <v>2952900</v>
      </c>
      <c r="AA329" s="3">
        <v>704100</v>
      </c>
      <c r="AB329" s="3">
        <v>24</v>
      </c>
    </row>
    <row r="330" spans="1:28" x14ac:dyDescent="0.35">
      <c r="A330">
        <v>2022</v>
      </c>
      <c r="B330" t="str">
        <f t="shared" si="39"/>
        <v>17</v>
      </c>
      <c r="C330" t="s">
        <v>154</v>
      </c>
      <c r="D330" t="s">
        <v>33</v>
      </c>
      <c r="E330" t="str">
        <f>"176"</f>
        <v>176</v>
      </c>
      <c r="F330" t="s">
        <v>159</v>
      </c>
      <c r="G330" t="str">
        <f>"001"</f>
        <v>001</v>
      </c>
      <c r="H330" t="str">
        <f>"0308"</f>
        <v>0308</v>
      </c>
      <c r="I330" s="3">
        <v>0</v>
      </c>
      <c r="J330" s="3">
        <v>71.84</v>
      </c>
      <c r="K330" s="3">
        <v>0</v>
      </c>
      <c r="L330" s="3">
        <v>2684600</v>
      </c>
      <c r="M330" s="3">
        <v>2684600</v>
      </c>
      <c r="N330" s="3">
        <v>125600</v>
      </c>
      <c r="O330" s="3">
        <v>125600</v>
      </c>
      <c r="P330" s="3">
        <v>2600</v>
      </c>
      <c r="Q330" s="3">
        <v>2600</v>
      </c>
      <c r="R330" s="3">
        <v>0</v>
      </c>
      <c r="S330" s="3">
        <v>0</v>
      </c>
      <c r="T330" s="3">
        <v>0</v>
      </c>
      <c r="U330" s="3">
        <v>0</v>
      </c>
      <c r="V330" s="3">
        <v>2006</v>
      </c>
      <c r="W330" s="3">
        <v>1614000</v>
      </c>
      <c r="X330" s="3">
        <v>2812800</v>
      </c>
      <c r="Y330" s="3">
        <v>1198800</v>
      </c>
      <c r="Z330" s="3">
        <v>2805800</v>
      </c>
      <c r="AA330" s="3">
        <v>7000</v>
      </c>
      <c r="AB330" s="3">
        <v>0</v>
      </c>
    </row>
    <row r="331" spans="1:28" x14ac:dyDescent="0.35">
      <c r="A331">
        <v>2022</v>
      </c>
      <c r="B331" t="str">
        <f t="shared" si="39"/>
        <v>17</v>
      </c>
      <c r="C331" t="s">
        <v>154</v>
      </c>
      <c r="D331" t="s">
        <v>35</v>
      </c>
      <c r="E331" t="str">
        <f>"251"</f>
        <v>251</v>
      </c>
      <c r="F331" t="s">
        <v>160</v>
      </c>
      <c r="G331" t="str">
        <f>"012"</f>
        <v>012</v>
      </c>
      <c r="H331" t="str">
        <f>"3444"</f>
        <v>3444</v>
      </c>
      <c r="I331" s="3">
        <v>26121400</v>
      </c>
      <c r="J331" s="3">
        <v>87.6</v>
      </c>
      <c r="K331" s="3">
        <v>29818900</v>
      </c>
      <c r="L331" s="3">
        <v>0</v>
      </c>
      <c r="M331" s="3">
        <v>29818900</v>
      </c>
      <c r="N331" s="3">
        <v>0</v>
      </c>
      <c r="O331" s="3">
        <v>0</v>
      </c>
      <c r="P331" s="3">
        <v>0</v>
      </c>
      <c r="Q331" s="3">
        <v>0</v>
      </c>
      <c r="R331" s="3">
        <v>-1880400</v>
      </c>
      <c r="S331" s="3">
        <v>0</v>
      </c>
      <c r="T331" s="3">
        <v>0</v>
      </c>
      <c r="U331" s="3">
        <v>0</v>
      </c>
      <c r="V331" s="3">
        <v>2003</v>
      </c>
      <c r="W331" s="3">
        <v>1671200</v>
      </c>
      <c r="X331" s="3">
        <v>27938500</v>
      </c>
      <c r="Y331" s="3">
        <v>26267300</v>
      </c>
      <c r="Z331" s="3">
        <v>26231700</v>
      </c>
      <c r="AA331" s="3">
        <v>1706800</v>
      </c>
      <c r="AB331" s="3">
        <v>7</v>
      </c>
    </row>
    <row r="332" spans="1:28" x14ac:dyDescent="0.35">
      <c r="A332">
        <v>2022</v>
      </c>
      <c r="B332" t="str">
        <f t="shared" si="39"/>
        <v>17</v>
      </c>
      <c r="C332" t="s">
        <v>154</v>
      </c>
      <c r="D332" t="s">
        <v>35</v>
      </c>
      <c r="E332" t="str">
        <f>"251"</f>
        <v>251</v>
      </c>
      <c r="F332" t="s">
        <v>160</v>
      </c>
      <c r="G332" t="str">
        <f>"013"</f>
        <v>013</v>
      </c>
      <c r="H332" t="str">
        <f>"3444"</f>
        <v>3444</v>
      </c>
      <c r="I332" s="3">
        <v>4643700</v>
      </c>
      <c r="J332" s="3">
        <v>87.6</v>
      </c>
      <c r="K332" s="3">
        <v>5301000</v>
      </c>
      <c r="L332" s="3">
        <v>0</v>
      </c>
      <c r="M332" s="3">
        <v>5301000</v>
      </c>
      <c r="N332" s="3">
        <v>0</v>
      </c>
      <c r="O332" s="3">
        <v>0</v>
      </c>
      <c r="P332" s="3">
        <v>0</v>
      </c>
      <c r="Q332" s="3">
        <v>0</v>
      </c>
      <c r="R332" s="3">
        <v>-284200</v>
      </c>
      <c r="S332" s="3">
        <v>0</v>
      </c>
      <c r="T332" s="3">
        <v>0</v>
      </c>
      <c r="U332" s="3">
        <v>0</v>
      </c>
      <c r="V332" s="3">
        <v>2004</v>
      </c>
      <c r="W332" s="3">
        <v>161900</v>
      </c>
      <c r="X332" s="3">
        <v>5016800</v>
      </c>
      <c r="Y332" s="3">
        <v>4854900</v>
      </c>
      <c r="Z332" s="3">
        <v>3756400</v>
      </c>
      <c r="AA332" s="3">
        <v>1260400</v>
      </c>
      <c r="AB332" s="3">
        <v>34</v>
      </c>
    </row>
    <row r="333" spans="1:28" x14ac:dyDescent="0.35">
      <c r="A333">
        <v>2022</v>
      </c>
      <c r="B333" t="str">
        <f t="shared" si="39"/>
        <v>17</v>
      </c>
      <c r="C333" t="s">
        <v>154</v>
      </c>
      <c r="D333" t="s">
        <v>35</v>
      </c>
      <c r="E333" t="str">
        <f>"251"</f>
        <v>251</v>
      </c>
      <c r="F333" t="s">
        <v>160</v>
      </c>
      <c r="G333" t="str">
        <f>"014"</f>
        <v>014</v>
      </c>
      <c r="H333" t="str">
        <f>"3444"</f>
        <v>3444</v>
      </c>
      <c r="I333" s="3">
        <v>13072000</v>
      </c>
      <c r="J333" s="3">
        <v>87.6</v>
      </c>
      <c r="K333" s="3">
        <v>14922400</v>
      </c>
      <c r="L333" s="3">
        <v>0</v>
      </c>
      <c r="M333" s="3">
        <v>14922400</v>
      </c>
      <c r="N333" s="3">
        <v>0</v>
      </c>
      <c r="O333" s="3">
        <v>0</v>
      </c>
      <c r="P333" s="3">
        <v>0</v>
      </c>
      <c r="Q333" s="3">
        <v>0</v>
      </c>
      <c r="R333" s="3">
        <v>-1742900</v>
      </c>
      <c r="S333" s="3">
        <v>0</v>
      </c>
      <c r="T333" s="3">
        <v>0</v>
      </c>
      <c r="U333" s="3">
        <v>0</v>
      </c>
      <c r="V333" s="3">
        <v>2004</v>
      </c>
      <c r="W333" s="3">
        <v>7958100</v>
      </c>
      <c r="X333" s="3">
        <v>13179500</v>
      </c>
      <c r="Y333" s="3">
        <v>5221400</v>
      </c>
      <c r="Z333" s="3">
        <v>14213100</v>
      </c>
      <c r="AA333" s="3">
        <v>-1033600</v>
      </c>
      <c r="AB333" s="3">
        <v>-7</v>
      </c>
    </row>
    <row r="334" spans="1:28" x14ac:dyDescent="0.35">
      <c r="A334">
        <v>2022</v>
      </c>
      <c r="B334" t="str">
        <f t="shared" si="39"/>
        <v>17</v>
      </c>
      <c r="C334" t="s">
        <v>154</v>
      </c>
      <c r="D334" t="s">
        <v>35</v>
      </c>
      <c r="E334" t="str">
        <f>"251"</f>
        <v>251</v>
      </c>
      <c r="F334" t="s">
        <v>160</v>
      </c>
      <c r="G334" t="str">
        <f>"015"</f>
        <v>015</v>
      </c>
      <c r="H334" t="str">
        <f>"3444"</f>
        <v>3444</v>
      </c>
      <c r="I334" s="3">
        <v>39635300</v>
      </c>
      <c r="J334" s="3">
        <v>87.6</v>
      </c>
      <c r="K334" s="3">
        <v>45245800</v>
      </c>
      <c r="L334" s="3">
        <v>0</v>
      </c>
      <c r="M334" s="3">
        <v>45245800</v>
      </c>
      <c r="N334" s="3">
        <v>0</v>
      </c>
      <c r="O334" s="3">
        <v>0</v>
      </c>
      <c r="P334" s="3">
        <v>0</v>
      </c>
      <c r="Q334" s="3">
        <v>0</v>
      </c>
      <c r="R334" s="3">
        <v>-1899700</v>
      </c>
      <c r="S334" s="3">
        <v>0</v>
      </c>
      <c r="T334" s="3">
        <v>0</v>
      </c>
      <c r="U334" s="3">
        <v>0</v>
      </c>
      <c r="V334" s="3">
        <v>2005</v>
      </c>
      <c r="W334" s="3">
        <v>22246100</v>
      </c>
      <c r="X334" s="3">
        <v>43346100</v>
      </c>
      <c r="Y334" s="3">
        <v>21100000</v>
      </c>
      <c r="Z334" s="3">
        <v>41106900</v>
      </c>
      <c r="AA334" s="3">
        <v>2239200</v>
      </c>
      <c r="AB334" s="3">
        <v>5</v>
      </c>
    </row>
    <row r="335" spans="1:28" x14ac:dyDescent="0.35">
      <c r="A335">
        <v>2022</v>
      </c>
      <c r="B335" t="str">
        <f t="shared" si="39"/>
        <v>17</v>
      </c>
      <c r="C335" t="s">
        <v>154</v>
      </c>
      <c r="D335" t="s">
        <v>35</v>
      </c>
      <c r="E335" t="str">
        <f>"251"</f>
        <v>251</v>
      </c>
      <c r="F335" t="s">
        <v>160</v>
      </c>
      <c r="G335" t="str">
        <f>"016"</f>
        <v>016</v>
      </c>
      <c r="H335" t="str">
        <f>"3444"</f>
        <v>3444</v>
      </c>
      <c r="I335" s="3">
        <v>6477600</v>
      </c>
      <c r="J335" s="3">
        <v>87.6</v>
      </c>
      <c r="K335" s="3">
        <v>7394500</v>
      </c>
      <c r="L335" s="3">
        <v>0</v>
      </c>
      <c r="M335" s="3">
        <v>7394500</v>
      </c>
      <c r="N335" s="3">
        <v>0</v>
      </c>
      <c r="O335" s="3">
        <v>0</v>
      </c>
      <c r="P335" s="3">
        <v>0</v>
      </c>
      <c r="Q335" s="3">
        <v>0</v>
      </c>
      <c r="R335" s="3">
        <v>-1274400</v>
      </c>
      <c r="S335" s="3">
        <v>0</v>
      </c>
      <c r="T335" s="3">
        <v>0</v>
      </c>
      <c r="U335" s="3">
        <v>0</v>
      </c>
      <c r="V335" s="3">
        <v>2019</v>
      </c>
      <c r="W335" s="3">
        <v>560100</v>
      </c>
      <c r="X335" s="3">
        <v>6120100</v>
      </c>
      <c r="Y335" s="3">
        <v>5560000</v>
      </c>
      <c r="Z335" s="3">
        <v>9241200</v>
      </c>
      <c r="AA335" s="3">
        <v>-3121100</v>
      </c>
      <c r="AB335" s="3">
        <v>-34</v>
      </c>
    </row>
    <row r="336" spans="1:28" x14ac:dyDescent="0.35">
      <c r="A336">
        <v>2022</v>
      </c>
      <c r="B336" t="str">
        <f t="shared" ref="B336:B349" si="40">"18"</f>
        <v>18</v>
      </c>
      <c r="C336" t="s">
        <v>87</v>
      </c>
      <c r="D336" t="s">
        <v>33</v>
      </c>
      <c r="E336" t="str">
        <f>"127"</f>
        <v>127</v>
      </c>
      <c r="F336" t="s">
        <v>161</v>
      </c>
      <c r="G336" t="str">
        <f>"001"</f>
        <v>001</v>
      </c>
      <c r="H336" t="str">
        <f>"1729"</f>
        <v>1729</v>
      </c>
      <c r="I336" s="3">
        <v>0</v>
      </c>
      <c r="J336" s="3">
        <v>69.819999999999993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1502900</v>
      </c>
      <c r="V336" s="3">
        <v>2000</v>
      </c>
      <c r="W336" s="3">
        <v>72800</v>
      </c>
      <c r="X336" s="3">
        <v>1502900</v>
      </c>
      <c r="Y336" s="3">
        <v>1430100</v>
      </c>
      <c r="Z336" s="3">
        <v>1502900</v>
      </c>
      <c r="AA336" s="3">
        <v>0</v>
      </c>
      <c r="AB336" s="3">
        <v>0</v>
      </c>
    </row>
    <row r="337" spans="1:28" x14ac:dyDescent="0.35">
      <c r="A337">
        <v>2022</v>
      </c>
      <c r="B337" t="str">
        <f t="shared" si="40"/>
        <v>18</v>
      </c>
      <c r="C337" t="s">
        <v>87</v>
      </c>
      <c r="D337" t="s">
        <v>33</v>
      </c>
      <c r="E337" t="str">
        <f>"127"</f>
        <v>127</v>
      </c>
      <c r="F337" t="s">
        <v>161</v>
      </c>
      <c r="G337" t="str">
        <f>"002"</f>
        <v>002</v>
      </c>
      <c r="H337" t="str">
        <f>"1729"</f>
        <v>1729</v>
      </c>
      <c r="I337" s="3">
        <v>649600</v>
      </c>
      <c r="J337" s="3">
        <v>69.819999999999993</v>
      </c>
      <c r="K337" s="3">
        <v>930400</v>
      </c>
      <c r="L337" s="3">
        <v>0</v>
      </c>
      <c r="M337" s="3">
        <v>930400</v>
      </c>
      <c r="N337" s="3">
        <v>7224300</v>
      </c>
      <c r="O337" s="3">
        <v>7224300</v>
      </c>
      <c r="P337" s="3">
        <v>196500</v>
      </c>
      <c r="Q337" s="3">
        <v>196500</v>
      </c>
      <c r="R337" s="3">
        <v>-100</v>
      </c>
      <c r="S337" s="3">
        <v>0</v>
      </c>
      <c r="T337" s="3">
        <v>0</v>
      </c>
      <c r="U337" s="3">
        <v>0</v>
      </c>
      <c r="V337" s="3">
        <v>2013</v>
      </c>
      <c r="W337" s="3">
        <v>1613300</v>
      </c>
      <c r="X337" s="3">
        <v>8351100</v>
      </c>
      <c r="Y337" s="3">
        <v>6737800</v>
      </c>
      <c r="Z337" s="3">
        <v>7555500</v>
      </c>
      <c r="AA337" s="3">
        <v>795600</v>
      </c>
      <c r="AB337" s="3">
        <v>11</v>
      </c>
    </row>
    <row r="338" spans="1:28" x14ac:dyDescent="0.35">
      <c r="A338">
        <v>2022</v>
      </c>
      <c r="B338" t="str">
        <f t="shared" si="40"/>
        <v>18</v>
      </c>
      <c r="C338" t="s">
        <v>87</v>
      </c>
      <c r="D338" t="s">
        <v>35</v>
      </c>
      <c r="E338" t="str">
        <f>"201"</f>
        <v>201</v>
      </c>
      <c r="F338" t="s">
        <v>162</v>
      </c>
      <c r="G338" t="str">
        <f>"002"</f>
        <v>002</v>
      </c>
      <c r="H338" t="str">
        <f>"0112"</f>
        <v>0112</v>
      </c>
      <c r="I338" s="3">
        <v>13027100</v>
      </c>
      <c r="J338" s="3">
        <v>100</v>
      </c>
      <c r="K338" s="3">
        <v>13027100</v>
      </c>
      <c r="L338" s="3">
        <v>0</v>
      </c>
      <c r="M338" s="3">
        <v>13027100</v>
      </c>
      <c r="N338" s="3">
        <v>0</v>
      </c>
      <c r="O338" s="3">
        <v>0</v>
      </c>
      <c r="P338" s="3">
        <v>0</v>
      </c>
      <c r="Q338" s="3">
        <v>0</v>
      </c>
      <c r="R338" s="3">
        <v>99000</v>
      </c>
      <c r="S338" s="3">
        <v>0</v>
      </c>
      <c r="T338" s="3">
        <v>0</v>
      </c>
      <c r="U338" s="3">
        <v>0</v>
      </c>
      <c r="V338" s="3">
        <v>2000</v>
      </c>
      <c r="W338" s="3">
        <v>1194900</v>
      </c>
      <c r="X338" s="3">
        <v>13126100</v>
      </c>
      <c r="Y338" s="3">
        <v>11931200</v>
      </c>
      <c r="Z338" s="3">
        <v>14267100</v>
      </c>
      <c r="AA338" s="3">
        <v>-1141000</v>
      </c>
      <c r="AB338" s="3">
        <v>-8</v>
      </c>
    </row>
    <row r="339" spans="1:28" x14ac:dyDescent="0.35">
      <c r="A339">
        <v>2022</v>
      </c>
      <c r="B339" t="str">
        <f t="shared" si="40"/>
        <v>18</v>
      </c>
      <c r="C339" t="s">
        <v>87</v>
      </c>
      <c r="D339" t="s">
        <v>35</v>
      </c>
      <c r="E339" t="str">
        <f>"201"</f>
        <v>201</v>
      </c>
      <c r="F339" t="s">
        <v>162</v>
      </c>
      <c r="G339" t="str">
        <f>"003"</f>
        <v>003</v>
      </c>
      <c r="H339" t="str">
        <f>"0112"</f>
        <v>0112</v>
      </c>
      <c r="I339" s="3">
        <v>271408400</v>
      </c>
      <c r="J339" s="3">
        <v>100</v>
      </c>
      <c r="K339" s="3">
        <v>271408400</v>
      </c>
      <c r="L339" s="3">
        <v>0</v>
      </c>
      <c r="M339" s="3">
        <v>271408400</v>
      </c>
      <c r="N339" s="3">
        <v>0</v>
      </c>
      <c r="O339" s="3">
        <v>0</v>
      </c>
      <c r="P339" s="3">
        <v>0</v>
      </c>
      <c r="Q339" s="3">
        <v>0</v>
      </c>
      <c r="R339" s="3">
        <v>1832100</v>
      </c>
      <c r="S339" s="3">
        <v>0</v>
      </c>
      <c r="T339" s="3">
        <v>0</v>
      </c>
      <c r="U339" s="3">
        <v>0</v>
      </c>
      <c r="V339" s="3">
        <v>2001</v>
      </c>
      <c r="W339" s="3">
        <v>4837300</v>
      </c>
      <c r="X339" s="3">
        <v>273240500</v>
      </c>
      <c r="Y339" s="3">
        <v>268403200</v>
      </c>
      <c r="Z339" s="3">
        <v>258680900</v>
      </c>
      <c r="AA339" s="3">
        <v>14559600</v>
      </c>
      <c r="AB339" s="3">
        <v>6</v>
      </c>
    </row>
    <row r="340" spans="1:28" x14ac:dyDescent="0.35">
      <c r="A340">
        <v>2022</v>
      </c>
      <c r="B340" t="str">
        <f t="shared" si="40"/>
        <v>18</v>
      </c>
      <c r="C340" t="s">
        <v>87</v>
      </c>
      <c r="D340" t="s">
        <v>35</v>
      </c>
      <c r="E340" t="str">
        <f>"201"</f>
        <v>201</v>
      </c>
      <c r="F340" t="s">
        <v>162</v>
      </c>
      <c r="G340" t="str">
        <f>"004"</f>
        <v>004</v>
      </c>
      <c r="H340" t="str">
        <f>"0112"</f>
        <v>0112</v>
      </c>
      <c r="I340" s="3">
        <v>5583300</v>
      </c>
      <c r="J340" s="3">
        <v>100</v>
      </c>
      <c r="K340" s="3">
        <v>5583300</v>
      </c>
      <c r="L340" s="3">
        <v>0</v>
      </c>
      <c r="M340" s="3">
        <v>5583300</v>
      </c>
      <c r="N340" s="3">
        <v>23074400</v>
      </c>
      <c r="O340" s="3">
        <v>23074400</v>
      </c>
      <c r="P340" s="3">
        <v>5669800</v>
      </c>
      <c r="Q340" s="3">
        <v>5669800</v>
      </c>
      <c r="R340" s="3">
        <v>16600</v>
      </c>
      <c r="S340" s="3">
        <v>0</v>
      </c>
      <c r="T340" s="3">
        <v>0</v>
      </c>
      <c r="U340" s="3">
        <v>0</v>
      </c>
      <c r="V340" s="3">
        <v>2008</v>
      </c>
      <c r="W340" s="3">
        <v>7665200</v>
      </c>
      <c r="X340" s="3">
        <v>34344100</v>
      </c>
      <c r="Y340" s="3">
        <v>26678900</v>
      </c>
      <c r="Z340" s="3">
        <v>28736600</v>
      </c>
      <c r="AA340" s="3">
        <v>5607500</v>
      </c>
      <c r="AB340" s="3">
        <v>20</v>
      </c>
    </row>
    <row r="341" spans="1:28" x14ac:dyDescent="0.35">
      <c r="A341">
        <v>2022</v>
      </c>
      <c r="B341" t="str">
        <f t="shared" si="40"/>
        <v>18</v>
      </c>
      <c r="C341" t="s">
        <v>87</v>
      </c>
      <c r="D341" t="s">
        <v>35</v>
      </c>
      <c r="E341" t="str">
        <f>"201"</f>
        <v>201</v>
      </c>
      <c r="F341" t="s">
        <v>162</v>
      </c>
      <c r="G341" t="str">
        <f>"004"</f>
        <v>004</v>
      </c>
      <c r="H341" t="str">
        <f>"1729"</f>
        <v>1729</v>
      </c>
      <c r="I341" s="3">
        <v>1116200</v>
      </c>
      <c r="J341" s="3">
        <v>100</v>
      </c>
      <c r="K341" s="3">
        <v>1116200</v>
      </c>
      <c r="L341" s="3">
        <v>116200</v>
      </c>
      <c r="M341" s="3">
        <v>116200</v>
      </c>
      <c r="N341" s="3">
        <v>0</v>
      </c>
      <c r="O341" s="3">
        <v>0</v>
      </c>
      <c r="P341" s="3">
        <v>0</v>
      </c>
      <c r="Q341" s="3">
        <v>0</v>
      </c>
      <c r="R341" s="3">
        <v>900</v>
      </c>
      <c r="S341" s="3">
        <v>0</v>
      </c>
      <c r="T341" s="3">
        <v>0</v>
      </c>
      <c r="U341" s="3">
        <v>0</v>
      </c>
      <c r="V341" s="3">
        <v>2008</v>
      </c>
      <c r="W341" s="3">
        <v>26300</v>
      </c>
      <c r="X341" s="3">
        <v>117100</v>
      </c>
      <c r="Y341" s="3">
        <v>90800</v>
      </c>
      <c r="Z341" s="3">
        <v>127300</v>
      </c>
      <c r="AA341" s="3">
        <v>-10200</v>
      </c>
      <c r="AB341" s="3">
        <v>-8</v>
      </c>
    </row>
    <row r="342" spans="1:28" x14ac:dyDescent="0.35">
      <c r="A342">
        <v>2022</v>
      </c>
      <c r="B342" t="str">
        <f t="shared" si="40"/>
        <v>18</v>
      </c>
      <c r="C342" t="s">
        <v>87</v>
      </c>
      <c r="D342" t="s">
        <v>35</v>
      </c>
      <c r="E342" t="str">
        <f>"202"</f>
        <v>202</v>
      </c>
      <c r="F342" t="s">
        <v>163</v>
      </c>
      <c r="G342" t="str">
        <f>"004"</f>
        <v>004</v>
      </c>
      <c r="H342" t="str">
        <f>"0217"</f>
        <v>0217</v>
      </c>
      <c r="I342" s="3">
        <v>794900</v>
      </c>
      <c r="J342" s="3">
        <v>69.260000000000005</v>
      </c>
      <c r="K342" s="3">
        <v>1147700</v>
      </c>
      <c r="L342" s="3">
        <v>0</v>
      </c>
      <c r="M342" s="3">
        <v>1147700</v>
      </c>
      <c r="N342" s="3">
        <v>15294500</v>
      </c>
      <c r="O342" s="3">
        <v>15294500</v>
      </c>
      <c r="P342" s="3">
        <v>3134100</v>
      </c>
      <c r="Q342" s="3">
        <v>3134100</v>
      </c>
      <c r="R342" s="3">
        <v>-11000</v>
      </c>
      <c r="S342" s="3">
        <v>0</v>
      </c>
      <c r="T342" s="3">
        <v>0</v>
      </c>
      <c r="U342" s="3">
        <v>0</v>
      </c>
      <c r="V342" s="3">
        <v>2005</v>
      </c>
      <c r="W342" s="3">
        <v>3955700</v>
      </c>
      <c r="X342" s="3">
        <v>19565300</v>
      </c>
      <c r="Y342" s="3">
        <v>15609600</v>
      </c>
      <c r="Z342" s="3">
        <v>19708400</v>
      </c>
      <c r="AA342" s="3">
        <v>-143100</v>
      </c>
      <c r="AB342" s="3">
        <v>-1</v>
      </c>
    </row>
    <row r="343" spans="1:28" x14ac:dyDescent="0.35">
      <c r="A343">
        <v>2022</v>
      </c>
      <c r="B343" t="str">
        <f t="shared" si="40"/>
        <v>18</v>
      </c>
      <c r="C343" t="s">
        <v>87</v>
      </c>
      <c r="D343" t="s">
        <v>35</v>
      </c>
      <c r="E343" t="str">
        <f t="shared" ref="E343:E349" si="41">"221"</f>
        <v>221</v>
      </c>
      <c r="F343" t="s">
        <v>87</v>
      </c>
      <c r="G343" t="str">
        <f>"008"</f>
        <v>008</v>
      </c>
      <c r="H343" t="str">
        <f t="shared" ref="H343:H349" si="42">"1554"</f>
        <v>1554</v>
      </c>
      <c r="I343" s="3">
        <v>76488800</v>
      </c>
      <c r="J343" s="3">
        <v>93.69</v>
      </c>
      <c r="K343" s="3">
        <v>81640300</v>
      </c>
      <c r="L343" s="3">
        <v>0</v>
      </c>
      <c r="M343" s="3">
        <v>81640300</v>
      </c>
      <c r="N343" s="3">
        <v>176900</v>
      </c>
      <c r="O343" s="3">
        <v>176900</v>
      </c>
      <c r="P343" s="3">
        <v>600</v>
      </c>
      <c r="Q343" s="3">
        <v>600</v>
      </c>
      <c r="R343" s="3">
        <v>2821300</v>
      </c>
      <c r="S343" s="3">
        <v>0</v>
      </c>
      <c r="T343" s="3">
        <v>0</v>
      </c>
      <c r="U343" s="3">
        <v>8083300</v>
      </c>
      <c r="V343" s="3">
        <v>2002</v>
      </c>
      <c r="W343" s="3">
        <v>12418400</v>
      </c>
      <c r="X343" s="3">
        <v>92722400</v>
      </c>
      <c r="Y343" s="3">
        <v>80304000</v>
      </c>
      <c r="Z343" s="3">
        <v>78206700</v>
      </c>
      <c r="AA343" s="3">
        <v>14515700</v>
      </c>
      <c r="AB343" s="3">
        <v>19</v>
      </c>
    </row>
    <row r="344" spans="1:28" x14ac:dyDescent="0.35">
      <c r="A344">
        <v>2022</v>
      </c>
      <c r="B344" t="str">
        <f t="shared" si="40"/>
        <v>18</v>
      </c>
      <c r="C344" t="s">
        <v>87</v>
      </c>
      <c r="D344" t="s">
        <v>35</v>
      </c>
      <c r="E344" t="str">
        <f t="shared" si="41"/>
        <v>221</v>
      </c>
      <c r="F344" t="s">
        <v>87</v>
      </c>
      <c r="G344" t="str">
        <f>"009"</f>
        <v>009</v>
      </c>
      <c r="H344" t="str">
        <f t="shared" si="42"/>
        <v>1554</v>
      </c>
      <c r="I344" s="3">
        <v>27671700</v>
      </c>
      <c r="J344" s="3">
        <v>93.69</v>
      </c>
      <c r="K344" s="3">
        <v>29535400</v>
      </c>
      <c r="L344" s="3">
        <v>0</v>
      </c>
      <c r="M344" s="3">
        <v>29535400</v>
      </c>
      <c r="N344" s="3">
        <v>5111000</v>
      </c>
      <c r="O344" s="3">
        <v>5111000</v>
      </c>
      <c r="P344" s="3">
        <v>930100</v>
      </c>
      <c r="Q344" s="3">
        <v>930100</v>
      </c>
      <c r="R344" s="3">
        <v>1173100</v>
      </c>
      <c r="S344" s="3">
        <v>0</v>
      </c>
      <c r="T344" s="3">
        <v>0</v>
      </c>
      <c r="U344" s="3">
        <v>0</v>
      </c>
      <c r="V344" s="3">
        <v>2008</v>
      </c>
      <c r="W344" s="3">
        <v>13594700</v>
      </c>
      <c r="X344" s="3">
        <v>36749600</v>
      </c>
      <c r="Y344" s="3">
        <v>23154900</v>
      </c>
      <c r="Z344" s="3">
        <v>31241200</v>
      </c>
      <c r="AA344" s="3">
        <v>5508400</v>
      </c>
      <c r="AB344" s="3">
        <v>18</v>
      </c>
    </row>
    <row r="345" spans="1:28" x14ac:dyDescent="0.35">
      <c r="A345">
        <v>2022</v>
      </c>
      <c r="B345" t="str">
        <f t="shared" si="40"/>
        <v>18</v>
      </c>
      <c r="C345" t="s">
        <v>87</v>
      </c>
      <c r="D345" t="s">
        <v>35</v>
      </c>
      <c r="E345" t="str">
        <f t="shared" si="41"/>
        <v>221</v>
      </c>
      <c r="F345" t="s">
        <v>87</v>
      </c>
      <c r="G345" t="str">
        <f>"010"</f>
        <v>010</v>
      </c>
      <c r="H345" t="str">
        <f t="shared" si="42"/>
        <v>1554</v>
      </c>
      <c r="I345" s="3">
        <v>41699800</v>
      </c>
      <c r="J345" s="3">
        <v>93.69</v>
      </c>
      <c r="K345" s="3">
        <v>44508300</v>
      </c>
      <c r="L345" s="3">
        <v>0</v>
      </c>
      <c r="M345" s="3">
        <v>44508300</v>
      </c>
      <c r="N345" s="3">
        <v>0</v>
      </c>
      <c r="O345" s="3">
        <v>0</v>
      </c>
      <c r="P345" s="3">
        <v>0</v>
      </c>
      <c r="Q345" s="3">
        <v>0</v>
      </c>
      <c r="R345" s="3">
        <v>2750100</v>
      </c>
      <c r="S345" s="3">
        <v>0</v>
      </c>
      <c r="T345" s="3">
        <v>0</v>
      </c>
      <c r="U345" s="3">
        <v>0</v>
      </c>
      <c r="V345" s="3">
        <v>2015</v>
      </c>
      <c r="W345" s="3">
        <v>9794200</v>
      </c>
      <c r="X345" s="3">
        <v>47258400</v>
      </c>
      <c r="Y345" s="3">
        <v>37464200</v>
      </c>
      <c r="Z345" s="3">
        <v>39756300</v>
      </c>
      <c r="AA345" s="3">
        <v>7502100</v>
      </c>
      <c r="AB345" s="3">
        <v>19</v>
      </c>
    </row>
    <row r="346" spans="1:28" x14ac:dyDescent="0.35">
      <c r="A346">
        <v>2022</v>
      </c>
      <c r="B346" t="str">
        <f t="shared" si="40"/>
        <v>18</v>
      </c>
      <c r="C346" t="s">
        <v>87</v>
      </c>
      <c r="D346" t="s">
        <v>35</v>
      </c>
      <c r="E346" t="str">
        <f t="shared" si="41"/>
        <v>221</v>
      </c>
      <c r="F346" t="s">
        <v>87</v>
      </c>
      <c r="G346" t="str">
        <f>"011"</f>
        <v>011</v>
      </c>
      <c r="H346" t="str">
        <f t="shared" si="42"/>
        <v>1554</v>
      </c>
      <c r="I346" s="3">
        <v>38377700</v>
      </c>
      <c r="J346" s="3">
        <v>93.69</v>
      </c>
      <c r="K346" s="3">
        <v>40962400</v>
      </c>
      <c r="L346" s="3">
        <v>0</v>
      </c>
      <c r="M346" s="3">
        <v>40962400</v>
      </c>
      <c r="N346" s="3">
        <v>0</v>
      </c>
      <c r="O346" s="3">
        <v>0</v>
      </c>
      <c r="P346" s="3">
        <v>0</v>
      </c>
      <c r="Q346" s="3">
        <v>0</v>
      </c>
      <c r="R346" s="3">
        <v>-338800</v>
      </c>
      <c r="S346" s="3">
        <v>0</v>
      </c>
      <c r="T346" s="3">
        <v>0</v>
      </c>
      <c r="U346" s="3">
        <v>0</v>
      </c>
      <c r="V346" s="3">
        <v>2015</v>
      </c>
      <c r="W346" s="3">
        <v>16625200</v>
      </c>
      <c r="X346" s="3">
        <v>40623600</v>
      </c>
      <c r="Y346" s="3">
        <v>23998400</v>
      </c>
      <c r="Z346" s="3">
        <v>34062300</v>
      </c>
      <c r="AA346" s="3">
        <v>6561300</v>
      </c>
      <c r="AB346" s="3">
        <v>19</v>
      </c>
    </row>
    <row r="347" spans="1:28" x14ac:dyDescent="0.35">
      <c r="A347">
        <v>2022</v>
      </c>
      <c r="B347" t="str">
        <f t="shared" si="40"/>
        <v>18</v>
      </c>
      <c r="C347" t="s">
        <v>87</v>
      </c>
      <c r="D347" t="s">
        <v>35</v>
      </c>
      <c r="E347" t="str">
        <f t="shared" si="41"/>
        <v>221</v>
      </c>
      <c r="F347" t="s">
        <v>87</v>
      </c>
      <c r="G347" t="str">
        <f>"012"</f>
        <v>012</v>
      </c>
      <c r="H347" t="str">
        <f t="shared" si="42"/>
        <v>1554</v>
      </c>
      <c r="I347" s="3">
        <v>28560300</v>
      </c>
      <c r="J347" s="3">
        <v>93.69</v>
      </c>
      <c r="K347" s="3">
        <v>30483800</v>
      </c>
      <c r="L347" s="3">
        <v>0</v>
      </c>
      <c r="M347" s="3">
        <v>30483800</v>
      </c>
      <c r="N347" s="3">
        <v>0</v>
      </c>
      <c r="O347" s="3">
        <v>0</v>
      </c>
      <c r="P347" s="3">
        <v>0</v>
      </c>
      <c r="Q347" s="3">
        <v>0</v>
      </c>
      <c r="R347" s="3">
        <v>2781400</v>
      </c>
      <c r="S347" s="3">
        <v>0</v>
      </c>
      <c r="T347" s="3">
        <v>0</v>
      </c>
      <c r="U347" s="3">
        <v>0</v>
      </c>
      <c r="V347" s="3">
        <v>2017</v>
      </c>
      <c r="W347" s="3">
        <v>22281500</v>
      </c>
      <c r="X347" s="3">
        <v>33265200</v>
      </c>
      <c r="Y347" s="3">
        <v>10983700</v>
      </c>
      <c r="Z347" s="3">
        <v>25050100</v>
      </c>
      <c r="AA347" s="3">
        <v>8215100</v>
      </c>
      <c r="AB347" s="3">
        <v>33</v>
      </c>
    </row>
    <row r="348" spans="1:28" x14ac:dyDescent="0.35">
      <c r="A348">
        <v>2022</v>
      </c>
      <c r="B348" t="str">
        <f t="shared" si="40"/>
        <v>18</v>
      </c>
      <c r="C348" t="s">
        <v>87</v>
      </c>
      <c r="D348" t="s">
        <v>35</v>
      </c>
      <c r="E348" t="str">
        <f t="shared" si="41"/>
        <v>221</v>
      </c>
      <c r="F348" t="s">
        <v>87</v>
      </c>
      <c r="G348" t="str">
        <f>"013"</f>
        <v>013</v>
      </c>
      <c r="H348" t="str">
        <f t="shared" si="42"/>
        <v>1554</v>
      </c>
      <c r="I348" s="3">
        <v>10107100</v>
      </c>
      <c r="J348" s="3">
        <v>93.69</v>
      </c>
      <c r="K348" s="3">
        <v>10787800</v>
      </c>
      <c r="L348" s="3">
        <v>0</v>
      </c>
      <c r="M348" s="3">
        <v>10787800</v>
      </c>
      <c r="N348" s="3">
        <v>5190200</v>
      </c>
      <c r="O348" s="3">
        <v>5190200</v>
      </c>
      <c r="P348" s="3">
        <v>103700</v>
      </c>
      <c r="Q348" s="3">
        <v>103700</v>
      </c>
      <c r="R348" s="3">
        <v>495500</v>
      </c>
      <c r="S348" s="3">
        <v>0</v>
      </c>
      <c r="T348" s="3">
        <v>0</v>
      </c>
      <c r="U348" s="3">
        <v>0</v>
      </c>
      <c r="V348" s="3">
        <v>2019</v>
      </c>
      <c r="W348" s="3">
        <v>3028900</v>
      </c>
      <c r="X348" s="3">
        <v>16577200</v>
      </c>
      <c r="Y348" s="3">
        <v>13548300</v>
      </c>
      <c r="Z348" s="3">
        <v>14423200</v>
      </c>
      <c r="AA348" s="3">
        <v>2154000</v>
      </c>
      <c r="AB348" s="3">
        <v>15</v>
      </c>
    </row>
    <row r="349" spans="1:28" x14ac:dyDescent="0.35">
      <c r="A349">
        <v>2022</v>
      </c>
      <c r="B349" t="str">
        <f t="shared" si="40"/>
        <v>18</v>
      </c>
      <c r="C349" t="s">
        <v>87</v>
      </c>
      <c r="D349" t="s">
        <v>35</v>
      </c>
      <c r="E349" t="str">
        <f t="shared" si="41"/>
        <v>221</v>
      </c>
      <c r="F349" t="s">
        <v>87</v>
      </c>
      <c r="G349" t="str">
        <f>"014"</f>
        <v>014</v>
      </c>
      <c r="H349" t="str">
        <f t="shared" si="42"/>
        <v>1554</v>
      </c>
      <c r="I349" s="3">
        <v>15943900</v>
      </c>
      <c r="J349" s="3">
        <v>93.69</v>
      </c>
      <c r="K349" s="3">
        <v>17017700</v>
      </c>
      <c r="L349" s="3">
        <v>0</v>
      </c>
      <c r="M349" s="3">
        <v>17017700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2021</v>
      </c>
      <c r="W349" s="3">
        <v>1935400</v>
      </c>
      <c r="X349" s="3">
        <v>17017700</v>
      </c>
      <c r="Y349" s="3">
        <v>15082300</v>
      </c>
      <c r="Z349" s="3">
        <v>1935400</v>
      </c>
      <c r="AA349" s="3">
        <v>15082300</v>
      </c>
      <c r="AB349" s="3">
        <v>779</v>
      </c>
    </row>
    <row r="350" spans="1:28" x14ac:dyDescent="0.35">
      <c r="A350">
        <v>2022</v>
      </c>
      <c r="B350" t="str">
        <f>"19"</f>
        <v>19</v>
      </c>
      <c r="C350" t="s">
        <v>164</v>
      </c>
      <c r="D350" t="s">
        <v>31</v>
      </c>
      <c r="E350" t="str">
        <f>"010"</f>
        <v>010</v>
      </c>
      <c r="F350" t="s">
        <v>164</v>
      </c>
      <c r="G350" t="str">
        <f>"001R"</f>
        <v>001R</v>
      </c>
      <c r="H350" t="str">
        <f>"1855"</f>
        <v>1855</v>
      </c>
      <c r="I350" s="3">
        <v>9977300</v>
      </c>
      <c r="J350" s="3">
        <v>71.38</v>
      </c>
      <c r="K350" s="3">
        <v>13977700</v>
      </c>
      <c r="L350" s="3">
        <v>0</v>
      </c>
      <c r="M350" s="3">
        <v>13977700</v>
      </c>
      <c r="N350" s="3">
        <v>4666400</v>
      </c>
      <c r="O350" s="3">
        <v>4666400</v>
      </c>
      <c r="P350" s="3">
        <v>564900</v>
      </c>
      <c r="Q350" s="3">
        <v>564900</v>
      </c>
      <c r="R350" s="3">
        <v>-178700</v>
      </c>
      <c r="S350" s="3">
        <v>0</v>
      </c>
      <c r="T350" s="3">
        <v>0</v>
      </c>
      <c r="U350" s="3">
        <v>0</v>
      </c>
      <c r="V350" s="3">
        <v>2013</v>
      </c>
      <c r="W350" s="3">
        <v>11400400</v>
      </c>
      <c r="X350" s="3">
        <v>19030300</v>
      </c>
      <c r="Y350" s="3">
        <v>7629900</v>
      </c>
      <c r="Z350" s="3">
        <v>17136500</v>
      </c>
      <c r="AA350" s="3">
        <v>1893800</v>
      </c>
      <c r="AB350" s="3">
        <v>11</v>
      </c>
    </row>
    <row r="351" spans="1:28" x14ac:dyDescent="0.35">
      <c r="A351">
        <v>2022</v>
      </c>
      <c r="B351" t="str">
        <f t="shared" ref="B351:B382" si="43">"20"</f>
        <v>20</v>
      </c>
      <c r="C351" t="s">
        <v>165</v>
      </c>
      <c r="D351" t="s">
        <v>33</v>
      </c>
      <c r="E351" t="str">
        <f>"111"</f>
        <v>111</v>
      </c>
      <c r="F351" t="s">
        <v>166</v>
      </c>
      <c r="G351" t="str">
        <f>"001"</f>
        <v>001</v>
      </c>
      <c r="H351" t="str">
        <f>"0910"</f>
        <v>0910</v>
      </c>
      <c r="I351" s="3">
        <v>3983200</v>
      </c>
      <c r="J351" s="3">
        <v>83.84</v>
      </c>
      <c r="K351" s="3">
        <v>4751000</v>
      </c>
      <c r="L351" s="3">
        <v>0</v>
      </c>
      <c r="M351" s="3">
        <v>4751000</v>
      </c>
      <c r="N351" s="3">
        <v>1026700</v>
      </c>
      <c r="O351" s="3">
        <v>1026700</v>
      </c>
      <c r="P351" s="3">
        <v>15700</v>
      </c>
      <c r="Q351" s="3">
        <v>15700</v>
      </c>
      <c r="R351" s="3">
        <v>0</v>
      </c>
      <c r="S351" s="3">
        <v>0</v>
      </c>
      <c r="T351" s="3">
        <v>0</v>
      </c>
      <c r="U351" s="3">
        <v>0</v>
      </c>
      <c r="V351" s="3">
        <v>2011</v>
      </c>
      <c r="W351" s="3">
        <v>1763300</v>
      </c>
      <c r="X351" s="3">
        <v>5793400</v>
      </c>
      <c r="Y351" s="3">
        <v>4030100</v>
      </c>
      <c r="Z351" s="3">
        <v>3929400</v>
      </c>
      <c r="AA351" s="3">
        <v>1864000</v>
      </c>
      <c r="AB351" s="3">
        <v>47</v>
      </c>
    </row>
    <row r="352" spans="1:28" x14ac:dyDescent="0.35">
      <c r="A352">
        <v>2022</v>
      </c>
      <c r="B352" t="str">
        <f t="shared" si="43"/>
        <v>20</v>
      </c>
      <c r="C352" t="s">
        <v>165</v>
      </c>
      <c r="D352" t="s">
        <v>33</v>
      </c>
      <c r="E352" t="str">
        <f>"126"</f>
        <v>126</v>
      </c>
      <c r="F352" t="s">
        <v>167</v>
      </c>
      <c r="G352" t="str">
        <f>"001"</f>
        <v>001</v>
      </c>
      <c r="H352" t="str">
        <f>"4872"</f>
        <v>4872</v>
      </c>
      <c r="I352" s="3">
        <v>132600</v>
      </c>
      <c r="J352" s="3">
        <v>84.19</v>
      </c>
      <c r="K352" s="3">
        <v>157500</v>
      </c>
      <c r="L352" s="3">
        <v>0</v>
      </c>
      <c r="M352" s="3">
        <v>157500</v>
      </c>
      <c r="N352" s="3">
        <v>0</v>
      </c>
      <c r="O352" s="3">
        <v>0</v>
      </c>
      <c r="P352" s="3">
        <v>0</v>
      </c>
      <c r="Q352" s="3">
        <v>0</v>
      </c>
      <c r="R352" s="3">
        <v>-100</v>
      </c>
      <c r="S352" s="3">
        <v>0</v>
      </c>
      <c r="T352" s="3">
        <v>0</v>
      </c>
      <c r="U352" s="3">
        <v>0</v>
      </c>
      <c r="V352" s="3">
        <v>1997</v>
      </c>
      <c r="W352" s="3">
        <v>88400</v>
      </c>
      <c r="X352" s="3">
        <v>157400</v>
      </c>
      <c r="Y352" s="3">
        <v>69000</v>
      </c>
      <c r="Z352" s="3">
        <v>141100</v>
      </c>
      <c r="AA352" s="3">
        <v>16300</v>
      </c>
      <c r="AB352" s="3">
        <v>12</v>
      </c>
    </row>
    <row r="353" spans="1:28" x14ac:dyDescent="0.35">
      <c r="A353">
        <v>2022</v>
      </c>
      <c r="B353" t="str">
        <f t="shared" si="43"/>
        <v>20</v>
      </c>
      <c r="C353" t="s">
        <v>165</v>
      </c>
      <c r="D353" t="s">
        <v>33</v>
      </c>
      <c r="E353" t="str">
        <f>"126"</f>
        <v>126</v>
      </c>
      <c r="F353" t="s">
        <v>167</v>
      </c>
      <c r="G353" t="str">
        <f>"001"</f>
        <v>001</v>
      </c>
      <c r="H353" t="str">
        <f>"3325"</f>
        <v>3325</v>
      </c>
      <c r="I353" s="3">
        <v>4406300</v>
      </c>
      <c r="J353" s="3">
        <v>84.19</v>
      </c>
      <c r="K353" s="3">
        <v>5233800</v>
      </c>
      <c r="L353" s="3">
        <v>0</v>
      </c>
      <c r="M353" s="3">
        <v>5233800</v>
      </c>
      <c r="N353" s="3">
        <v>370700</v>
      </c>
      <c r="O353" s="3">
        <v>370700</v>
      </c>
      <c r="P353" s="3">
        <v>0</v>
      </c>
      <c r="Q353" s="3">
        <v>0</v>
      </c>
      <c r="R353" s="3">
        <v>-2900</v>
      </c>
      <c r="S353" s="3">
        <v>0</v>
      </c>
      <c r="T353" s="3">
        <v>0</v>
      </c>
      <c r="U353" s="3">
        <v>0</v>
      </c>
      <c r="V353" s="3">
        <v>1997</v>
      </c>
      <c r="W353" s="3">
        <v>663000</v>
      </c>
      <c r="X353" s="3">
        <v>5601600</v>
      </c>
      <c r="Y353" s="3">
        <v>4938600</v>
      </c>
      <c r="Z353" s="3">
        <v>4938600</v>
      </c>
      <c r="AA353" s="3">
        <v>663000</v>
      </c>
      <c r="AB353" s="3">
        <v>13</v>
      </c>
    </row>
    <row r="354" spans="1:28" x14ac:dyDescent="0.35">
      <c r="A354">
        <v>2022</v>
      </c>
      <c r="B354" t="str">
        <f t="shared" si="43"/>
        <v>20</v>
      </c>
      <c r="C354" t="s">
        <v>165</v>
      </c>
      <c r="D354" t="s">
        <v>33</v>
      </c>
      <c r="E354" t="str">
        <f>"161"</f>
        <v>161</v>
      </c>
      <c r="F354" t="s">
        <v>168</v>
      </c>
      <c r="G354" t="str">
        <f>"002"</f>
        <v>002</v>
      </c>
      <c r="H354" t="str">
        <f>"3983"</f>
        <v>3983</v>
      </c>
      <c r="I354" s="3">
        <v>3367000</v>
      </c>
      <c r="J354" s="3">
        <v>74.790000000000006</v>
      </c>
      <c r="K354" s="3">
        <v>4501900</v>
      </c>
      <c r="L354" s="3">
        <v>0</v>
      </c>
      <c r="M354" s="3">
        <v>4501900</v>
      </c>
      <c r="N354" s="3">
        <v>338600</v>
      </c>
      <c r="O354" s="3">
        <v>338600</v>
      </c>
      <c r="P354" s="3">
        <v>19100</v>
      </c>
      <c r="Q354" s="3">
        <v>19100</v>
      </c>
      <c r="R354" s="3">
        <v>0</v>
      </c>
      <c r="S354" s="3">
        <v>0</v>
      </c>
      <c r="T354" s="3">
        <v>0</v>
      </c>
      <c r="U354" s="3">
        <v>0</v>
      </c>
      <c r="V354" s="3">
        <v>2008</v>
      </c>
      <c r="W354" s="3">
        <v>4175100</v>
      </c>
      <c r="X354" s="3">
        <v>4859600</v>
      </c>
      <c r="Y354" s="3">
        <v>684500</v>
      </c>
      <c r="Z354" s="3">
        <v>4348500</v>
      </c>
      <c r="AA354" s="3">
        <v>511100</v>
      </c>
      <c r="AB354" s="3">
        <v>12</v>
      </c>
    </row>
    <row r="355" spans="1:28" x14ac:dyDescent="0.35">
      <c r="A355">
        <v>2022</v>
      </c>
      <c r="B355" t="str">
        <f t="shared" si="43"/>
        <v>20</v>
      </c>
      <c r="C355" t="s">
        <v>165</v>
      </c>
      <c r="D355" t="s">
        <v>33</v>
      </c>
      <c r="E355" t="str">
        <f>"165"</f>
        <v>165</v>
      </c>
      <c r="F355" t="s">
        <v>169</v>
      </c>
      <c r="G355" t="str">
        <f>"001"</f>
        <v>001</v>
      </c>
      <c r="H355" t="str">
        <f>"4025"</f>
        <v>4025</v>
      </c>
      <c r="I355" s="3">
        <v>10989800</v>
      </c>
      <c r="J355" s="3">
        <v>100</v>
      </c>
      <c r="K355" s="3">
        <v>10989800</v>
      </c>
      <c r="L355" s="3">
        <v>11300100</v>
      </c>
      <c r="M355" s="3">
        <v>11300100</v>
      </c>
      <c r="N355" s="3">
        <v>1015000</v>
      </c>
      <c r="O355" s="3">
        <v>1015000</v>
      </c>
      <c r="P355" s="3">
        <v>79600</v>
      </c>
      <c r="Q355" s="3">
        <v>79600</v>
      </c>
      <c r="R355" s="3">
        <v>-26400</v>
      </c>
      <c r="S355" s="3">
        <v>0</v>
      </c>
      <c r="T355" s="3">
        <v>0</v>
      </c>
      <c r="U355" s="3">
        <v>0</v>
      </c>
      <c r="V355" s="3">
        <v>1995</v>
      </c>
      <c r="W355" s="3">
        <v>1707500</v>
      </c>
      <c r="X355" s="3">
        <v>12368300</v>
      </c>
      <c r="Y355" s="3">
        <v>10660800</v>
      </c>
      <c r="Z355" s="3">
        <v>11976700</v>
      </c>
      <c r="AA355" s="3">
        <v>391600</v>
      </c>
      <c r="AB355" s="3">
        <v>3</v>
      </c>
    </row>
    <row r="356" spans="1:28" x14ac:dyDescent="0.35">
      <c r="A356">
        <v>2022</v>
      </c>
      <c r="B356" t="str">
        <f t="shared" si="43"/>
        <v>20</v>
      </c>
      <c r="C356" t="s">
        <v>165</v>
      </c>
      <c r="D356" t="s">
        <v>33</v>
      </c>
      <c r="E356" t="str">
        <f>"165"</f>
        <v>165</v>
      </c>
      <c r="F356" t="s">
        <v>169</v>
      </c>
      <c r="G356" t="str">
        <f>"002"</f>
        <v>002</v>
      </c>
      <c r="H356" t="str">
        <f>"4025"</f>
        <v>4025</v>
      </c>
      <c r="I356" s="3">
        <v>4200800</v>
      </c>
      <c r="J356" s="3">
        <v>100</v>
      </c>
      <c r="K356" s="3">
        <v>4200800</v>
      </c>
      <c r="L356" s="3">
        <v>4104500</v>
      </c>
      <c r="M356" s="3">
        <v>4104500</v>
      </c>
      <c r="N356" s="3">
        <v>0</v>
      </c>
      <c r="O356" s="3">
        <v>0</v>
      </c>
      <c r="P356" s="3">
        <v>0</v>
      </c>
      <c r="Q356" s="3">
        <v>0</v>
      </c>
      <c r="R356" s="3">
        <v>-9600</v>
      </c>
      <c r="S356" s="3">
        <v>0</v>
      </c>
      <c r="T356" s="3">
        <v>0</v>
      </c>
      <c r="U356" s="3">
        <v>0</v>
      </c>
      <c r="V356" s="3">
        <v>1997</v>
      </c>
      <c r="W356" s="3">
        <v>888200</v>
      </c>
      <c r="X356" s="3">
        <v>4094900</v>
      </c>
      <c r="Y356" s="3">
        <v>3206700</v>
      </c>
      <c r="Z356" s="3">
        <v>3965000</v>
      </c>
      <c r="AA356" s="3">
        <v>129900</v>
      </c>
      <c r="AB356" s="3">
        <v>3</v>
      </c>
    </row>
    <row r="357" spans="1:28" x14ac:dyDescent="0.35">
      <c r="A357">
        <v>2022</v>
      </c>
      <c r="B357" t="str">
        <f t="shared" si="43"/>
        <v>20</v>
      </c>
      <c r="C357" t="s">
        <v>165</v>
      </c>
      <c r="D357" t="s">
        <v>33</v>
      </c>
      <c r="E357" t="str">
        <f>"176"</f>
        <v>176</v>
      </c>
      <c r="F357" t="s">
        <v>170</v>
      </c>
      <c r="G357" t="str">
        <f>"001"</f>
        <v>001</v>
      </c>
      <c r="H357" t="str">
        <f>"4956"</f>
        <v>4956</v>
      </c>
      <c r="I357" s="3">
        <v>3566000</v>
      </c>
      <c r="J357" s="3">
        <v>72.91</v>
      </c>
      <c r="K357" s="3">
        <v>4891000</v>
      </c>
      <c r="L357" s="3">
        <v>0</v>
      </c>
      <c r="M357" s="3">
        <v>4891000</v>
      </c>
      <c r="N357" s="3">
        <v>0</v>
      </c>
      <c r="O357" s="3">
        <v>0</v>
      </c>
      <c r="P357" s="3">
        <v>0</v>
      </c>
      <c r="Q357" s="3">
        <v>0</v>
      </c>
      <c r="R357" s="3">
        <v>-2700</v>
      </c>
      <c r="S357" s="3">
        <v>0</v>
      </c>
      <c r="T357" s="3">
        <v>0</v>
      </c>
      <c r="U357" s="3">
        <v>0</v>
      </c>
      <c r="V357" s="3">
        <v>2011</v>
      </c>
      <c r="W357" s="3">
        <v>3464400</v>
      </c>
      <c r="X357" s="3">
        <v>4888300</v>
      </c>
      <c r="Y357" s="3">
        <v>1423900</v>
      </c>
      <c r="Z357" s="3">
        <v>4389500</v>
      </c>
      <c r="AA357" s="3">
        <v>498800</v>
      </c>
      <c r="AB357" s="3">
        <v>11</v>
      </c>
    </row>
    <row r="358" spans="1:28" x14ac:dyDescent="0.35">
      <c r="A358">
        <v>2022</v>
      </c>
      <c r="B358" t="str">
        <f t="shared" si="43"/>
        <v>20</v>
      </c>
      <c r="C358" t="s">
        <v>165</v>
      </c>
      <c r="D358" t="s">
        <v>33</v>
      </c>
      <c r="E358" t="str">
        <f>"176"</f>
        <v>176</v>
      </c>
      <c r="F358" t="s">
        <v>170</v>
      </c>
      <c r="G358" t="str">
        <f>"002"</f>
        <v>002</v>
      </c>
      <c r="H358" t="str">
        <f>"4956"</f>
        <v>4956</v>
      </c>
      <c r="I358" s="3">
        <v>2205000</v>
      </c>
      <c r="J358" s="3">
        <v>72.91</v>
      </c>
      <c r="K358" s="3">
        <v>3024300</v>
      </c>
      <c r="L358" s="3">
        <v>0</v>
      </c>
      <c r="M358" s="3">
        <v>3024300</v>
      </c>
      <c r="N358" s="3">
        <v>1485700</v>
      </c>
      <c r="O358" s="3">
        <v>1485700</v>
      </c>
      <c r="P358" s="3">
        <v>550300</v>
      </c>
      <c r="Q358" s="3">
        <v>550300</v>
      </c>
      <c r="R358" s="3">
        <v>-1600</v>
      </c>
      <c r="S358" s="3">
        <v>0</v>
      </c>
      <c r="T358" s="3">
        <v>0</v>
      </c>
      <c r="U358" s="3">
        <v>0</v>
      </c>
      <c r="V358" s="3">
        <v>2019</v>
      </c>
      <c r="W358" s="3">
        <v>3650800</v>
      </c>
      <c r="X358" s="3">
        <v>5058700</v>
      </c>
      <c r="Y358" s="3">
        <v>1407900</v>
      </c>
      <c r="Z358" s="3">
        <v>4604900</v>
      </c>
      <c r="AA358" s="3">
        <v>453800</v>
      </c>
      <c r="AB358" s="3">
        <v>10</v>
      </c>
    </row>
    <row r="359" spans="1:28" x14ac:dyDescent="0.35">
      <c r="A359">
        <v>2022</v>
      </c>
      <c r="B359" t="str">
        <f t="shared" si="43"/>
        <v>20</v>
      </c>
      <c r="C359" t="s">
        <v>165</v>
      </c>
      <c r="D359" t="s">
        <v>35</v>
      </c>
      <c r="E359" t="str">
        <f t="shared" ref="E359:E370" si="44">"226"</f>
        <v>226</v>
      </c>
      <c r="F359" t="s">
        <v>165</v>
      </c>
      <c r="G359" t="str">
        <f>"010"</f>
        <v>010</v>
      </c>
      <c r="H359" t="str">
        <f t="shared" ref="H359:H370" si="45">"1862"</f>
        <v>1862</v>
      </c>
      <c r="I359" s="3">
        <v>66720700</v>
      </c>
      <c r="J359" s="3">
        <v>83.93</v>
      </c>
      <c r="K359" s="3">
        <v>79495700</v>
      </c>
      <c r="L359" s="3">
        <v>0</v>
      </c>
      <c r="M359" s="3">
        <v>79495700</v>
      </c>
      <c r="N359" s="3">
        <v>2446700</v>
      </c>
      <c r="O359" s="3">
        <v>2446700</v>
      </c>
      <c r="P359" s="3">
        <v>18600</v>
      </c>
      <c r="Q359" s="3">
        <v>18600</v>
      </c>
      <c r="R359" s="3">
        <v>70000</v>
      </c>
      <c r="S359" s="3">
        <v>0</v>
      </c>
      <c r="T359" s="3">
        <v>0</v>
      </c>
      <c r="U359" s="3">
        <v>0</v>
      </c>
      <c r="V359" s="3">
        <v>2004</v>
      </c>
      <c r="W359" s="3">
        <v>2030600</v>
      </c>
      <c r="X359" s="3">
        <v>82031000</v>
      </c>
      <c r="Y359" s="3">
        <v>80000400</v>
      </c>
      <c r="Z359" s="3">
        <v>74799800</v>
      </c>
      <c r="AA359" s="3">
        <v>7231200</v>
      </c>
      <c r="AB359" s="3">
        <v>10</v>
      </c>
    </row>
    <row r="360" spans="1:28" x14ac:dyDescent="0.35">
      <c r="A360">
        <v>2022</v>
      </c>
      <c r="B360" t="str">
        <f t="shared" si="43"/>
        <v>20</v>
      </c>
      <c r="C360" t="s">
        <v>165</v>
      </c>
      <c r="D360" t="s">
        <v>35</v>
      </c>
      <c r="E360" t="str">
        <f t="shared" si="44"/>
        <v>226</v>
      </c>
      <c r="F360" t="s">
        <v>165</v>
      </c>
      <c r="G360" t="str">
        <f>"013"</f>
        <v>013</v>
      </c>
      <c r="H360" t="str">
        <f t="shared" si="45"/>
        <v>1862</v>
      </c>
      <c r="I360" s="3">
        <v>6141600</v>
      </c>
      <c r="J360" s="3">
        <v>83.93</v>
      </c>
      <c r="K360" s="3">
        <v>7317500</v>
      </c>
      <c r="L360" s="3">
        <v>0</v>
      </c>
      <c r="M360" s="3">
        <v>7317500</v>
      </c>
      <c r="N360" s="3">
        <v>0</v>
      </c>
      <c r="O360" s="3">
        <v>0</v>
      </c>
      <c r="P360" s="3">
        <v>0</v>
      </c>
      <c r="Q360" s="3">
        <v>0</v>
      </c>
      <c r="R360" s="3">
        <v>6600</v>
      </c>
      <c r="S360" s="3">
        <v>0</v>
      </c>
      <c r="T360" s="3">
        <v>0</v>
      </c>
      <c r="U360" s="3">
        <v>0</v>
      </c>
      <c r="V360" s="3">
        <v>2010</v>
      </c>
      <c r="W360" s="3">
        <v>2732500</v>
      </c>
      <c r="X360" s="3">
        <v>7324100</v>
      </c>
      <c r="Y360" s="3">
        <v>4591600</v>
      </c>
      <c r="Z360" s="3">
        <v>6843800</v>
      </c>
      <c r="AA360" s="3">
        <v>480300</v>
      </c>
      <c r="AB360" s="3">
        <v>7</v>
      </c>
    </row>
    <row r="361" spans="1:28" x14ac:dyDescent="0.35">
      <c r="A361">
        <v>2022</v>
      </c>
      <c r="B361" t="str">
        <f t="shared" si="43"/>
        <v>20</v>
      </c>
      <c r="C361" t="s">
        <v>165</v>
      </c>
      <c r="D361" t="s">
        <v>35</v>
      </c>
      <c r="E361" t="str">
        <f t="shared" si="44"/>
        <v>226</v>
      </c>
      <c r="F361" t="s">
        <v>165</v>
      </c>
      <c r="G361" t="str">
        <f>"014"</f>
        <v>014</v>
      </c>
      <c r="H361" t="str">
        <f t="shared" si="45"/>
        <v>1862</v>
      </c>
      <c r="I361" s="3">
        <v>7312700</v>
      </c>
      <c r="J361" s="3">
        <v>83.93</v>
      </c>
      <c r="K361" s="3">
        <v>8712900</v>
      </c>
      <c r="L361" s="3">
        <v>0</v>
      </c>
      <c r="M361" s="3">
        <v>8712900</v>
      </c>
      <c r="N361" s="3">
        <v>0</v>
      </c>
      <c r="O361" s="3">
        <v>0</v>
      </c>
      <c r="P361" s="3">
        <v>0</v>
      </c>
      <c r="Q361" s="3">
        <v>0</v>
      </c>
      <c r="R361" s="3">
        <v>7600</v>
      </c>
      <c r="S361" s="3">
        <v>0</v>
      </c>
      <c r="T361" s="3">
        <v>0</v>
      </c>
      <c r="U361" s="3">
        <v>0</v>
      </c>
      <c r="V361" s="3">
        <v>2011</v>
      </c>
      <c r="W361" s="3">
        <v>529000</v>
      </c>
      <c r="X361" s="3">
        <v>8720500</v>
      </c>
      <c r="Y361" s="3">
        <v>8191500</v>
      </c>
      <c r="Z361" s="3">
        <v>7895200</v>
      </c>
      <c r="AA361" s="3">
        <v>825300</v>
      </c>
      <c r="AB361" s="3">
        <v>10</v>
      </c>
    </row>
    <row r="362" spans="1:28" x14ac:dyDescent="0.35">
      <c r="A362">
        <v>2022</v>
      </c>
      <c r="B362" t="str">
        <f t="shared" si="43"/>
        <v>20</v>
      </c>
      <c r="C362" t="s">
        <v>165</v>
      </c>
      <c r="D362" t="s">
        <v>35</v>
      </c>
      <c r="E362" t="str">
        <f t="shared" si="44"/>
        <v>226</v>
      </c>
      <c r="F362" t="s">
        <v>165</v>
      </c>
      <c r="G362" t="str">
        <f>"015"</f>
        <v>015</v>
      </c>
      <c r="H362" t="str">
        <f t="shared" si="45"/>
        <v>1862</v>
      </c>
      <c r="I362" s="3">
        <v>842900</v>
      </c>
      <c r="J362" s="3">
        <v>83.93</v>
      </c>
      <c r="K362" s="3">
        <v>1004300</v>
      </c>
      <c r="L362" s="3">
        <v>0</v>
      </c>
      <c r="M362" s="3">
        <v>1004300</v>
      </c>
      <c r="N362" s="3">
        <v>0</v>
      </c>
      <c r="O362" s="3">
        <v>0</v>
      </c>
      <c r="P362" s="3">
        <v>0</v>
      </c>
      <c r="Q362" s="3">
        <v>0</v>
      </c>
      <c r="R362" s="3">
        <v>800</v>
      </c>
      <c r="S362" s="3">
        <v>0</v>
      </c>
      <c r="T362" s="3">
        <v>0</v>
      </c>
      <c r="U362" s="3">
        <v>0</v>
      </c>
      <c r="V362" s="3">
        <v>2011</v>
      </c>
      <c r="W362" s="3">
        <v>196200</v>
      </c>
      <c r="X362" s="3">
        <v>1005100</v>
      </c>
      <c r="Y362" s="3">
        <v>808900</v>
      </c>
      <c r="Z362" s="3">
        <v>908900</v>
      </c>
      <c r="AA362" s="3">
        <v>96200</v>
      </c>
      <c r="AB362" s="3">
        <v>11</v>
      </c>
    </row>
    <row r="363" spans="1:28" x14ac:dyDescent="0.35">
      <c r="A363">
        <v>2022</v>
      </c>
      <c r="B363" t="str">
        <f t="shared" si="43"/>
        <v>20</v>
      </c>
      <c r="C363" t="s">
        <v>165</v>
      </c>
      <c r="D363" t="s">
        <v>35</v>
      </c>
      <c r="E363" t="str">
        <f t="shared" si="44"/>
        <v>226</v>
      </c>
      <c r="F363" t="s">
        <v>165</v>
      </c>
      <c r="G363" t="str">
        <f>"017"</f>
        <v>017</v>
      </c>
      <c r="H363" t="str">
        <f t="shared" si="45"/>
        <v>1862</v>
      </c>
      <c r="I363" s="3">
        <v>0</v>
      </c>
      <c r="J363" s="3">
        <v>83.93</v>
      </c>
      <c r="K363" s="3">
        <v>0</v>
      </c>
      <c r="L363" s="3">
        <v>0</v>
      </c>
      <c r="M363" s="3">
        <v>0</v>
      </c>
      <c r="N363" s="3">
        <v>5718400</v>
      </c>
      <c r="O363" s="3">
        <v>5718400</v>
      </c>
      <c r="P363" s="3">
        <v>2541400</v>
      </c>
      <c r="Q363" s="3">
        <v>2541400</v>
      </c>
      <c r="R363" s="3">
        <v>0</v>
      </c>
      <c r="S363" s="3">
        <v>0</v>
      </c>
      <c r="T363" s="3">
        <v>0</v>
      </c>
      <c r="U363" s="3">
        <v>0</v>
      </c>
      <c r="V363" s="3">
        <v>2012</v>
      </c>
      <c r="W363" s="3">
        <v>1385700</v>
      </c>
      <c r="X363" s="3">
        <v>8259800</v>
      </c>
      <c r="Y363" s="3">
        <v>6874100</v>
      </c>
      <c r="Z363" s="3">
        <v>7405600</v>
      </c>
      <c r="AA363" s="3">
        <v>854200</v>
      </c>
      <c r="AB363" s="3">
        <v>12</v>
      </c>
    </row>
    <row r="364" spans="1:28" x14ac:dyDescent="0.35">
      <c r="A364">
        <v>2022</v>
      </c>
      <c r="B364" t="str">
        <f t="shared" si="43"/>
        <v>20</v>
      </c>
      <c r="C364" t="s">
        <v>165</v>
      </c>
      <c r="D364" t="s">
        <v>35</v>
      </c>
      <c r="E364" t="str">
        <f t="shared" si="44"/>
        <v>226</v>
      </c>
      <c r="F364" t="s">
        <v>165</v>
      </c>
      <c r="G364" t="str">
        <f>"018"</f>
        <v>018</v>
      </c>
      <c r="H364" t="str">
        <f t="shared" si="45"/>
        <v>1862</v>
      </c>
      <c r="I364" s="3">
        <v>12799600</v>
      </c>
      <c r="J364" s="3">
        <v>83.93</v>
      </c>
      <c r="K364" s="3">
        <v>15250300</v>
      </c>
      <c r="L364" s="3">
        <v>0</v>
      </c>
      <c r="M364" s="3">
        <v>15250300</v>
      </c>
      <c r="N364" s="3">
        <v>0</v>
      </c>
      <c r="O364" s="3">
        <v>0</v>
      </c>
      <c r="P364" s="3">
        <v>0</v>
      </c>
      <c r="Q364" s="3">
        <v>0</v>
      </c>
      <c r="R364" s="3">
        <v>13600</v>
      </c>
      <c r="S364" s="3">
        <v>0</v>
      </c>
      <c r="T364" s="3">
        <v>0</v>
      </c>
      <c r="U364" s="3">
        <v>0</v>
      </c>
      <c r="V364" s="3">
        <v>2014</v>
      </c>
      <c r="W364" s="3">
        <v>3789200</v>
      </c>
      <c r="X364" s="3">
        <v>15263900</v>
      </c>
      <c r="Y364" s="3">
        <v>11474700</v>
      </c>
      <c r="Z364" s="3">
        <v>14020800</v>
      </c>
      <c r="AA364" s="3">
        <v>1243100</v>
      </c>
      <c r="AB364" s="3">
        <v>9</v>
      </c>
    </row>
    <row r="365" spans="1:28" x14ac:dyDescent="0.35">
      <c r="A365">
        <v>2022</v>
      </c>
      <c r="B365" t="str">
        <f t="shared" si="43"/>
        <v>20</v>
      </c>
      <c r="C365" t="s">
        <v>165</v>
      </c>
      <c r="D365" t="s">
        <v>35</v>
      </c>
      <c r="E365" t="str">
        <f t="shared" si="44"/>
        <v>226</v>
      </c>
      <c r="F365" t="s">
        <v>165</v>
      </c>
      <c r="G365" t="str">
        <f>"019"</f>
        <v>019</v>
      </c>
      <c r="H365" t="str">
        <f t="shared" si="45"/>
        <v>1862</v>
      </c>
      <c r="I365" s="3">
        <v>1605000</v>
      </c>
      <c r="J365" s="3">
        <v>83.93</v>
      </c>
      <c r="K365" s="3">
        <v>1912300</v>
      </c>
      <c r="L365" s="3">
        <v>0</v>
      </c>
      <c r="M365" s="3">
        <v>1912300</v>
      </c>
      <c r="N365" s="3">
        <v>0</v>
      </c>
      <c r="O365" s="3">
        <v>0</v>
      </c>
      <c r="P365" s="3">
        <v>0</v>
      </c>
      <c r="Q365" s="3">
        <v>0</v>
      </c>
      <c r="R365" s="3">
        <v>1700</v>
      </c>
      <c r="S365" s="3">
        <v>0</v>
      </c>
      <c r="T365" s="3">
        <v>0</v>
      </c>
      <c r="U365" s="3">
        <v>0</v>
      </c>
      <c r="V365" s="3">
        <v>2015</v>
      </c>
      <c r="W365" s="3">
        <v>759800</v>
      </c>
      <c r="X365" s="3">
        <v>1914000</v>
      </c>
      <c r="Y365" s="3">
        <v>1154200</v>
      </c>
      <c r="Z365" s="3">
        <v>1733000</v>
      </c>
      <c r="AA365" s="3">
        <v>181000</v>
      </c>
      <c r="AB365" s="3">
        <v>10</v>
      </c>
    </row>
    <row r="366" spans="1:28" x14ac:dyDescent="0.35">
      <c r="A366">
        <v>2022</v>
      </c>
      <c r="B366" t="str">
        <f t="shared" si="43"/>
        <v>20</v>
      </c>
      <c r="C366" t="s">
        <v>165</v>
      </c>
      <c r="D366" t="s">
        <v>35</v>
      </c>
      <c r="E366" t="str">
        <f t="shared" si="44"/>
        <v>226</v>
      </c>
      <c r="F366" t="s">
        <v>165</v>
      </c>
      <c r="G366" t="str">
        <f>"020"</f>
        <v>020</v>
      </c>
      <c r="H366" t="str">
        <f t="shared" si="45"/>
        <v>1862</v>
      </c>
      <c r="I366" s="3">
        <v>858000</v>
      </c>
      <c r="J366" s="3">
        <v>83.93</v>
      </c>
      <c r="K366" s="3">
        <v>1022300</v>
      </c>
      <c r="L366" s="3">
        <v>0</v>
      </c>
      <c r="M366" s="3">
        <v>1022300</v>
      </c>
      <c r="N366" s="3">
        <v>0</v>
      </c>
      <c r="O366" s="3">
        <v>0</v>
      </c>
      <c r="P366" s="3">
        <v>0</v>
      </c>
      <c r="Q366" s="3">
        <v>0</v>
      </c>
      <c r="R366" s="3">
        <v>900</v>
      </c>
      <c r="S366" s="3">
        <v>0</v>
      </c>
      <c r="T366" s="3">
        <v>0</v>
      </c>
      <c r="U366" s="3">
        <v>0</v>
      </c>
      <c r="V366" s="3">
        <v>2017</v>
      </c>
      <c r="W366" s="3">
        <v>0</v>
      </c>
      <c r="X366" s="3">
        <v>1023200</v>
      </c>
      <c r="Y366" s="3">
        <v>1023200</v>
      </c>
      <c r="Z366" s="3">
        <v>927300</v>
      </c>
      <c r="AA366" s="3">
        <v>95900</v>
      </c>
      <c r="AB366" s="3">
        <v>10</v>
      </c>
    </row>
    <row r="367" spans="1:28" x14ac:dyDescent="0.35">
      <c r="A367">
        <v>2022</v>
      </c>
      <c r="B367" t="str">
        <f t="shared" si="43"/>
        <v>20</v>
      </c>
      <c r="C367" t="s">
        <v>165</v>
      </c>
      <c r="D367" t="s">
        <v>35</v>
      </c>
      <c r="E367" t="str">
        <f t="shared" si="44"/>
        <v>226</v>
      </c>
      <c r="F367" t="s">
        <v>165</v>
      </c>
      <c r="G367" t="str">
        <f>"021"</f>
        <v>021</v>
      </c>
      <c r="H367" t="str">
        <f t="shared" si="45"/>
        <v>1862</v>
      </c>
      <c r="I367" s="3">
        <v>1800700</v>
      </c>
      <c r="J367" s="3">
        <v>83.93</v>
      </c>
      <c r="K367" s="3">
        <v>2145500</v>
      </c>
      <c r="L367" s="3">
        <v>0</v>
      </c>
      <c r="M367" s="3">
        <v>2145500</v>
      </c>
      <c r="N367" s="3">
        <v>0</v>
      </c>
      <c r="O367" s="3">
        <v>0</v>
      </c>
      <c r="P367" s="3">
        <v>0</v>
      </c>
      <c r="Q367" s="3">
        <v>0</v>
      </c>
      <c r="R367" s="3">
        <v>1900</v>
      </c>
      <c r="S367" s="3">
        <v>0</v>
      </c>
      <c r="T367" s="3">
        <v>0</v>
      </c>
      <c r="U367" s="3">
        <v>0</v>
      </c>
      <c r="V367" s="3">
        <v>2017</v>
      </c>
      <c r="W367" s="3">
        <v>2156400</v>
      </c>
      <c r="X367" s="3">
        <v>2147400</v>
      </c>
      <c r="Y367" s="3">
        <v>-9000</v>
      </c>
      <c r="Z367" s="3">
        <v>1946800</v>
      </c>
      <c r="AA367" s="3">
        <v>200600</v>
      </c>
      <c r="AB367" s="3">
        <v>10</v>
      </c>
    </row>
    <row r="368" spans="1:28" x14ac:dyDescent="0.35">
      <c r="A368">
        <v>2022</v>
      </c>
      <c r="B368" t="str">
        <f t="shared" si="43"/>
        <v>20</v>
      </c>
      <c r="C368" t="s">
        <v>165</v>
      </c>
      <c r="D368" t="s">
        <v>35</v>
      </c>
      <c r="E368" t="str">
        <f t="shared" si="44"/>
        <v>226</v>
      </c>
      <c r="F368" t="s">
        <v>165</v>
      </c>
      <c r="G368" t="str">
        <f>"022"</f>
        <v>022</v>
      </c>
      <c r="H368" t="str">
        <f t="shared" si="45"/>
        <v>1862</v>
      </c>
      <c r="I368" s="3">
        <v>11790300</v>
      </c>
      <c r="J368" s="3">
        <v>83.93</v>
      </c>
      <c r="K368" s="3">
        <v>14047800</v>
      </c>
      <c r="L368" s="3">
        <v>0</v>
      </c>
      <c r="M368" s="3">
        <v>14047800</v>
      </c>
      <c r="N368" s="3">
        <v>0</v>
      </c>
      <c r="O368" s="3">
        <v>0</v>
      </c>
      <c r="P368" s="3">
        <v>0</v>
      </c>
      <c r="Q368" s="3">
        <v>0</v>
      </c>
      <c r="R368" s="3">
        <v>12400</v>
      </c>
      <c r="S368" s="3">
        <v>0</v>
      </c>
      <c r="T368" s="3">
        <v>0</v>
      </c>
      <c r="U368" s="3">
        <v>0</v>
      </c>
      <c r="V368" s="3">
        <v>2017</v>
      </c>
      <c r="W368" s="3">
        <v>1517700</v>
      </c>
      <c r="X368" s="3">
        <v>14060200</v>
      </c>
      <c r="Y368" s="3">
        <v>12542500</v>
      </c>
      <c r="Z368" s="3">
        <v>12745400</v>
      </c>
      <c r="AA368" s="3">
        <v>1314800</v>
      </c>
      <c r="AB368" s="3">
        <v>10</v>
      </c>
    </row>
    <row r="369" spans="1:28" x14ac:dyDescent="0.35">
      <c r="A369">
        <v>2022</v>
      </c>
      <c r="B369" t="str">
        <f t="shared" si="43"/>
        <v>20</v>
      </c>
      <c r="C369" t="s">
        <v>165</v>
      </c>
      <c r="D369" t="s">
        <v>35</v>
      </c>
      <c r="E369" t="str">
        <f t="shared" si="44"/>
        <v>226</v>
      </c>
      <c r="F369" t="s">
        <v>165</v>
      </c>
      <c r="G369" t="str">
        <f>"023"</f>
        <v>023</v>
      </c>
      <c r="H369" t="str">
        <f t="shared" si="45"/>
        <v>1862</v>
      </c>
      <c r="I369" s="3">
        <v>297500</v>
      </c>
      <c r="J369" s="3">
        <v>83.93</v>
      </c>
      <c r="K369" s="3">
        <v>354500</v>
      </c>
      <c r="L369" s="3">
        <v>0</v>
      </c>
      <c r="M369" s="3">
        <v>354500</v>
      </c>
      <c r="N369" s="3">
        <v>7235100</v>
      </c>
      <c r="O369" s="3">
        <v>7235100</v>
      </c>
      <c r="P369" s="3">
        <v>324400</v>
      </c>
      <c r="Q369" s="3">
        <v>324400</v>
      </c>
      <c r="R369" s="3">
        <v>300</v>
      </c>
      <c r="S369" s="3">
        <v>0</v>
      </c>
      <c r="T369" s="3">
        <v>0</v>
      </c>
      <c r="U369" s="3">
        <v>0</v>
      </c>
      <c r="V369" s="3">
        <v>2018</v>
      </c>
      <c r="W369" s="3">
        <v>5248100</v>
      </c>
      <c r="X369" s="3">
        <v>7914300</v>
      </c>
      <c r="Y369" s="3">
        <v>2666200</v>
      </c>
      <c r="Z369" s="3">
        <v>7583200</v>
      </c>
      <c r="AA369" s="3">
        <v>331100</v>
      </c>
      <c r="AB369" s="3">
        <v>4</v>
      </c>
    </row>
    <row r="370" spans="1:28" x14ac:dyDescent="0.35">
      <c r="A370">
        <v>2022</v>
      </c>
      <c r="B370" t="str">
        <f t="shared" si="43"/>
        <v>20</v>
      </c>
      <c r="C370" t="s">
        <v>165</v>
      </c>
      <c r="D370" t="s">
        <v>35</v>
      </c>
      <c r="E370" t="str">
        <f t="shared" si="44"/>
        <v>226</v>
      </c>
      <c r="F370" t="s">
        <v>165</v>
      </c>
      <c r="G370" t="str">
        <f>"024"</f>
        <v>024</v>
      </c>
      <c r="H370" t="str">
        <f t="shared" si="45"/>
        <v>1862</v>
      </c>
      <c r="I370" s="3">
        <v>13263300</v>
      </c>
      <c r="J370" s="3">
        <v>83.93</v>
      </c>
      <c r="K370" s="3">
        <v>15802800</v>
      </c>
      <c r="L370" s="3">
        <v>0</v>
      </c>
      <c r="M370" s="3">
        <v>15802800</v>
      </c>
      <c r="N370" s="3">
        <v>0</v>
      </c>
      <c r="O370" s="3">
        <v>0</v>
      </c>
      <c r="P370" s="3">
        <v>0</v>
      </c>
      <c r="Q370" s="3">
        <v>0</v>
      </c>
      <c r="R370" s="3">
        <v>14000</v>
      </c>
      <c r="S370" s="3">
        <v>0</v>
      </c>
      <c r="T370" s="3">
        <v>0</v>
      </c>
      <c r="U370" s="3">
        <v>0</v>
      </c>
      <c r="V370" s="3">
        <v>2018</v>
      </c>
      <c r="W370" s="3">
        <v>411500</v>
      </c>
      <c r="X370" s="3">
        <v>15816800</v>
      </c>
      <c r="Y370" s="3">
        <v>15405300</v>
      </c>
      <c r="Z370" s="3">
        <v>14474600</v>
      </c>
      <c r="AA370" s="3">
        <v>1342200</v>
      </c>
      <c r="AB370" s="3">
        <v>9</v>
      </c>
    </row>
    <row r="371" spans="1:28" x14ac:dyDescent="0.35">
      <c r="A371">
        <v>2022</v>
      </c>
      <c r="B371" t="str">
        <f t="shared" si="43"/>
        <v>20</v>
      </c>
      <c r="C371" t="s">
        <v>165</v>
      </c>
      <c r="D371" t="s">
        <v>35</v>
      </c>
      <c r="E371" t="str">
        <f t="shared" ref="E371:E379" si="46">"276"</f>
        <v>276</v>
      </c>
      <c r="F371" t="s">
        <v>171</v>
      </c>
      <c r="G371" t="str">
        <f>"005"</f>
        <v>005</v>
      </c>
      <c r="H371" t="str">
        <f t="shared" ref="H371:H379" si="47">"4872"</f>
        <v>4872</v>
      </c>
      <c r="I371" s="3">
        <v>4757200</v>
      </c>
      <c r="J371" s="3">
        <v>93.69</v>
      </c>
      <c r="K371" s="3">
        <v>5077600</v>
      </c>
      <c r="L371" s="3">
        <v>0</v>
      </c>
      <c r="M371" s="3">
        <v>5077600</v>
      </c>
      <c r="N371" s="3">
        <v>4869300</v>
      </c>
      <c r="O371" s="3">
        <v>4869300</v>
      </c>
      <c r="P371" s="3">
        <v>72000</v>
      </c>
      <c r="Q371" s="3">
        <v>72000</v>
      </c>
      <c r="R371" s="3">
        <v>65600</v>
      </c>
      <c r="S371" s="3">
        <v>0</v>
      </c>
      <c r="T371" s="3">
        <v>0</v>
      </c>
      <c r="U371" s="3">
        <v>0</v>
      </c>
      <c r="V371" s="3">
        <v>2000</v>
      </c>
      <c r="W371" s="3">
        <v>239300</v>
      </c>
      <c r="X371" s="3">
        <v>10084500</v>
      </c>
      <c r="Y371" s="3">
        <v>9845200</v>
      </c>
      <c r="Z371" s="3">
        <v>7551600</v>
      </c>
      <c r="AA371" s="3">
        <v>2532900</v>
      </c>
      <c r="AB371" s="3">
        <v>34</v>
      </c>
    </row>
    <row r="372" spans="1:28" x14ac:dyDescent="0.35">
      <c r="A372">
        <v>2022</v>
      </c>
      <c r="B372" t="str">
        <f t="shared" si="43"/>
        <v>20</v>
      </c>
      <c r="C372" t="s">
        <v>165</v>
      </c>
      <c r="D372" t="s">
        <v>35</v>
      </c>
      <c r="E372" t="str">
        <f t="shared" si="46"/>
        <v>276</v>
      </c>
      <c r="F372" t="s">
        <v>171</v>
      </c>
      <c r="G372" t="str">
        <f>"006"</f>
        <v>006</v>
      </c>
      <c r="H372" t="str">
        <f t="shared" si="47"/>
        <v>4872</v>
      </c>
      <c r="I372" s="3">
        <v>41198300</v>
      </c>
      <c r="J372" s="3">
        <v>93.69</v>
      </c>
      <c r="K372" s="3">
        <v>43973000</v>
      </c>
      <c r="L372" s="3">
        <v>0</v>
      </c>
      <c r="M372" s="3">
        <v>43973000</v>
      </c>
      <c r="N372" s="3">
        <v>0</v>
      </c>
      <c r="O372" s="3">
        <v>0</v>
      </c>
      <c r="P372" s="3">
        <v>0</v>
      </c>
      <c r="Q372" s="3">
        <v>0</v>
      </c>
      <c r="R372" s="3">
        <v>545600</v>
      </c>
      <c r="S372" s="3">
        <v>0</v>
      </c>
      <c r="T372" s="3">
        <v>0</v>
      </c>
      <c r="U372" s="3">
        <v>0</v>
      </c>
      <c r="V372" s="3">
        <v>2005</v>
      </c>
      <c r="W372" s="3">
        <v>25263300</v>
      </c>
      <c r="X372" s="3">
        <v>44518600</v>
      </c>
      <c r="Y372" s="3">
        <v>19255300</v>
      </c>
      <c r="Z372" s="3">
        <v>39306700</v>
      </c>
      <c r="AA372" s="3">
        <v>5211900</v>
      </c>
      <c r="AB372" s="3">
        <v>13</v>
      </c>
    </row>
    <row r="373" spans="1:28" x14ac:dyDescent="0.35">
      <c r="A373">
        <v>2022</v>
      </c>
      <c r="B373" t="str">
        <f t="shared" si="43"/>
        <v>20</v>
      </c>
      <c r="C373" t="s">
        <v>165</v>
      </c>
      <c r="D373" t="s">
        <v>35</v>
      </c>
      <c r="E373" t="str">
        <f t="shared" si="46"/>
        <v>276</v>
      </c>
      <c r="F373" t="s">
        <v>171</v>
      </c>
      <c r="G373" t="str">
        <f>"007"</f>
        <v>007</v>
      </c>
      <c r="H373" t="str">
        <f t="shared" si="47"/>
        <v>4872</v>
      </c>
      <c r="I373" s="3">
        <v>6433000</v>
      </c>
      <c r="J373" s="3">
        <v>93.69</v>
      </c>
      <c r="K373" s="3">
        <v>6866300</v>
      </c>
      <c r="L373" s="3">
        <v>0</v>
      </c>
      <c r="M373" s="3">
        <v>6866300</v>
      </c>
      <c r="N373" s="3">
        <v>0</v>
      </c>
      <c r="O373" s="3">
        <v>0</v>
      </c>
      <c r="P373" s="3">
        <v>0</v>
      </c>
      <c r="Q373" s="3">
        <v>0</v>
      </c>
      <c r="R373" s="3">
        <v>87200</v>
      </c>
      <c r="S373" s="3">
        <v>0</v>
      </c>
      <c r="T373" s="3">
        <v>0</v>
      </c>
      <c r="U373" s="3">
        <v>0</v>
      </c>
      <c r="V373" s="3">
        <v>2007</v>
      </c>
      <c r="W373" s="3">
        <v>845600</v>
      </c>
      <c r="X373" s="3">
        <v>6953500</v>
      </c>
      <c r="Y373" s="3">
        <v>6107900</v>
      </c>
      <c r="Z373" s="3">
        <v>6283100</v>
      </c>
      <c r="AA373" s="3">
        <v>670400</v>
      </c>
      <c r="AB373" s="3">
        <v>11</v>
      </c>
    </row>
    <row r="374" spans="1:28" x14ac:dyDescent="0.35">
      <c r="A374">
        <v>2022</v>
      </c>
      <c r="B374" t="str">
        <f t="shared" si="43"/>
        <v>20</v>
      </c>
      <c r="C374" t="s">
        <v>165</v>
      </c>
      <c r="D374" t="s">
        <v>35</v>
      </c>
      <c r="E374" t="str">
        <f t="shared" si="46"/>
        <v>276</v>
      </c>
      <c r="F374" t="s">
        <v>171</v>
      </c>
      <c r="G374" t="str">
        <f>"009"</f>
        <v>009</v>
      </c>
      <c r="H374" t="str">
        <f t="shared" si="47"/>
        <v>4872</v>
      </c>
      <c r="I374" s="3">
        <v>4833000</v>
      </c>
      <c r="J374" s="3">
        <v>93.69</v>
      </c>
      <c r="K374" s="3">
        <v>5158500</v>
      </c>
      <c r="L374" s="3">
        <v>0</v>
      </c>
      <c r="M374" s="3">
        <v>5158500</v>
      </c>
      <c r="N374" s="3">
        <v>0</v>
      </c>
      <c r="O374" s="3">
        <v>0</v>
      </c>
      <c r="P374" s="3">
        <v>0</v>
      </c>
      <c r="Q374" s="3">
        <v>0</v>
      </c>
      <c r="R374" s="3">
        <v>66700</v>
      </c>
      <c r="S374" s="3">
        <v>0</v>
      </c>
      <c r="T374" s="3">
        <v>0</v>
      </c>
      <c r="U374" s="3">
        <v>0</v>
      </c>
      <c r="V374" s="3">
        <v>2009</v>
      </c>
      <c r="W374" s="3">
        <v>7100</v>
      </c>
      <c r="X374" s="3">
        <v>5225200</v>
      </c>
      <c r="Y374" s="3">
        <v>5218100</v>
      </c>
      <c r="Z374" s="3">
        <v>4804300</v>
      </c>
      <c r="AA374" s="3">
        <v>420900</v>
      </c>
      <c r="AB374" s="3">
        <v>9</v>
      </c>
    </row>
    <row r="375" spans="1:28" x14ac:dyDescent="0.35">
      <c r="A375">
        <v>2022</v>
      </c>
      <c r="B375" t="str">
        <f t="shared" si="43"/>
        <v>20</v>
      </c>
      <c r="C375" t="s">
        <v>165</v>
      </c>
      <c r="D375" t="s">
        <v>35</v>
      </c>
      <c r="E375" t="str">
        <f t="shared" si="46"/>
        <v>276</v>
      </c>
      <c r="F375" t="s">
        <v>171</v>
      </c>
      <c r="G375" t="str">
        <f>"010"</f>
        <v>010</v>
      </c>
      <c r="H375" t="str">
        <f t="shared" si="47"/>
        <v>4872</v>
      </c>
      <c r="I375" s="3">
        <v>8507300</v>
      </c>
      <c r="J375" s="3">
        <v>93.69</v>
      </c>
      <c r="K375" s="3">
        <v>9080300</v>
      </c>
      <c r="L375" s="3">
        <v>0</v>
      </c>
      <c r="M375" s="3">
        <v>9080300</v>
      </c>
      <c r="N375" s="3">
        <v>0</v>
      </c>
      <c r="O375" s="3">
        <v>0</v>
      </c>
      <c r="P375" s="3">
        <v>0</v>
      </c>
      <c r="Q375" s="3">
        <v>0</v>
      </c>
      <c r="R375" s="3">
        <v>117500</v>
      </c>
      <c r="S375" s="3">
        <v>0</v>
      </c>
      <c r="T375" s="3">
        <v>0</v>
      </c>
      <c r="U375" s="3">
        <v>0</v>
      </c>
      <c r="V375" s="3">
        <v>2009</v>
      </c>
      <c r="W375" s="3">
        <v>34400</v>
      </c>
      <c r="X375" s="3">
        <v>9197800</v>
      </c>
      <c r="Y375" s="3">
        <v>9163400</v>
      </c>
      <c r="Z375" s="3">
        <v>8466000</v>
      </c>
      <c r="AA375" s="3">
        <v>731800</v>
      </c>
      <c r="AB375" s="3">
        <v>9</v>
      </c>
    </row>
    <row r="376" spans="1:28" x14ac:dyDescent="0.35">
      <c r="A376">
        <v>2022</v>
      </c>
      <c r="B376" t="str">
        <f t="shared" si="43"/>
        <v>20</v>
      </c>
      <c r="C376" t="s">
        <v>165</v>
      </c>
      <c r="D376" t="s">
        <v>35</v>
      </c>
      <c r="E376" t="str">
        <f t="shared" si="46"/>
        <v>276</v>
      </c>
      <c r="F376" t="s">
        <v>171</v>
      </c>
      <c r="G376" t="str">
        <f>"011"</f>
        <v>011</v>
      </c>
      <c r="H376" t="str">
        <f t="shared" si="47"/>
        <v>4872</v>
      </c>
      <c r="I376" s="3">
        <v>7791700</v>
      </c>
      <c r="J376" s="3">
        <v>93.69</v>
      </c>
      <c r="K376" s="3">
        <v>8316500</v>
      </c>
      <c r="L376" s="3">
        <v>0</v>
      </c>
      <c r="M376" s="3">
        <v>8316500</v>
      </c>
      <c r="N376" s="3">
        <v>0</v>
      </c>
      <c r="O376" s="3">
        <v>0</v>
      </c>
      <c r="P376" s="3">
        <v>0</v>
      </c>
      <c r="Q376" s="3">
        <v>0</v>
      </c>
      <c r="R376" s="3">
        <v>110600</v>
      </c>
      <c r="S376" s="3">
        <v>0</v>
      </c>
      <c r="T376" s="3">
        <v>0</v>
      </c>
      <c r="U376" s="3">
        <v>259000</v>
      </c>
      <c r="V376" s="3">
        <v>2009</v>
      </c>
      <c r="W376" s="3">
        <v>6384300</v>
      </c>
      <c r="X376" s="3">
        <v>8686100</v>
      </c>
      <c r="Y376" s="3">
        <v>2301800</v>
      </c>
      <c r="Z376" s="3">
        <v>8228700</v>
      </c>
      <c r="AA376" s="3">
        <v>457400</v>
      </c>
      <c r="AB376" s="3">
        <v>6</v>
      </c>
    </row>
    <row r="377" spans="1:28" x14ac:dyDescent="0.35">
      <c r="A377">
        <v>2022</v>
      </c>
      <c r="B377" t="str">
        <f t="shared" si="43"/>
        <v>20</v>
      </c>
      <c r="C377" t="s">
        <v>165</v>
      </c>
      <c r="D377" t="s">
        <v>35</v>
      </c>
      <c r="E377" t="str">
        <f t="shared" si="46"/>
        <v>276</v>
      </c>
      <c r="F377" t="s">
        <v>171</v>
      </c>
      <c r="G377" t="str">
        <f>"012"</f>
        <v>012</v>
      </c>
      <c r="H377" t="str">
        <f t="shared" si="47"/>
        <v>4872</v>
      </c>
      <c r="I377" s="3">
        <v>340600</v>
      </c>
      <c r="J377" s="3">
        <v>93.69</v>
      </c>
      <c r="K377" s="3">
        <v>363500</v>
      </c>
      <c r="L377" s="3">
        <v>0</v>
      </c>
      <c r="M377" s="3">
        <v>363500</v>
      </c>
      <c r="N377" s="3">
        <v>3701600</v>
      </c>
      <c r="O377" s="3">
        <v>3701600</v>
      </c>
      <c r="P377" s="3">
        <v>81500</v>
      </c>
      <c r="Q377" s="3">
        <v>81500</v>
      </c>
      <c r="R377" s="3">
        <v>4700</v>
      </c>
      <c r="S377" s="3">
        <v>0</v>
      </c>
      <c r="T377" s="3">
        <v>0</v>
      </c>
      <c r="U377" s="3">
        <v>0</v>
      </c>
      <c r="V377" s="3">
        <v>2014</v>
      </c>
      <c r="W377" s="3">
        <v>727100</v>
      </c>
      <c r="X377" s="3">
        <v>4151300</v>
      </c>
      <c r="Y377" s="3">
        <v>3424200</v>
      </c>
      <c r="Z377" s="3">
        <v>5106600</v>
      </c>
      <c r="AA377" s="3">
        <v>-955300</v>
      </c>
      <c r="AB377" s="3">
        <v>-19</v>
      </c>
    </row>
    <row r="378" spans="1:28" x14ac:dyDescent="0.35">
      <c r="A378">
        <v>2022</v>
      </c>
      <c r="B378" t="str">
        <f t="shared" si="43"/>
        <v>20</v>
      </c>
      <c r="C378" t="s">
        <v>165</v>
      </c>
      <c r="D378" t="s">
        <v>35</v>
      </c>
      <c r="E378" t="str">
        <f t="shared" si="46"/>
        <v>276</v>
      </c>
      <c r="F378" t="s">
        <v>171</v>
      </c>
      <c r="G378" t="str">
        <f>"014"</f>
        <v>014</v>
      </c>
      <c r="H378" t="str">
        <f t="shared" si="47"/>
        <v>4872</v>
      </c>
      <c r="I378" s="3">
        <v>11967000</v>
      </c>
      <c r="J378" s="3">
        <v>93.69</v>
      </c>
      <c r="K378" s="3">
        <v>12773000</v>
      </c>
      <c r="L378" s="3">
        <v>0</v>
      </c>
      <c r="M378" s="3">
        <v>12773000</v>
      </c>
      <c r="N378" s="3">
        <v>0</v>
      </c>
      <c r="O378" s="3">
        <v>0</v>
      </c>
      <c r="P378" s="3">
        <v>0</v>
      </c>
      <c r="Q378" s="3">
        <v>0</v>
      </c>
      <c r="R378" s="3">
        <v>163900</v>
      </c>
      <c r="S378" s="3">
        <v>0</v>
      </c>
      <c r="T378" s="3">
        <v>0</v>
      </c>
      <c r="U378" s="3">
        <v>0</v>
      </c>
      <c r="V378" s="3">
        <v>2016</v>
      </c>
      <c r="W378" s="3">
        <v>0</v>
      </c>
      <c r="X378" s="3">
        <v>12936900</v>
      </c>
      <c r="Y378" s="3">
        <v>12936900</v>
      </c>
      <c r="Z378" s="3">
        <v>11804200</v>
      </c>
      <c r="AA378" s="3">
        <v>1132700</v>
      </c>
      <c r="AB378" s="3">
        <v>10</v>
      </c>
    </row>
    <row r="379" spans="1:28" x14ac:dyDescent="0.35">
      <c r="A379">
        <v>2022</v>
      </c>
      <c r="B379" t="str">
        <f t="shared" si="43"/>
        <v>20</v>
      </c>
      <c r="C379" t="s">
        <v>165</v>
      </c>
      <c r="D379" t="s">
        <v>35</v>
      </c>
      <c r="E379" t="str">
        <f t="shared" si="46"/>
        <v>276</v>
      </c>
      <c r="F379" t="s">
        <v>171</v>
      </c>
      <c r="G379" t="str">
        <f>"015"</f>
        <v>015</v>
      </c>
      <c r="H379" t="str">
        <f t="shared" si="47"/>
        <v>4872</v>
      </c>
      <c r="I379" s="3">
        <v>1793400</v>
      </c>
      <c r="J379" s="3">
        <v>93.69</v>
      </c>
      <c r="K379" s="3">
        <v>1914200</v>
      </c>
      <c r="L379" s="3">
        <v>0</v>
      </c>
      <c r="M379" s="3">
        <v>1914200</v>
      </c>
      <c r="N379" s="3">
        <v>0</v>
      </c>
      <c r="O379" s="3">
        <v>0</v>
      </c>
      <c r="P379" s="3">
        <v>0</v>
      </c>
      <c r="Q379" s="3">
        <v>0</v>
      </c>
      <c r="R379" s="3">
        <v>24500</v>
      </c>
      <c r="S379" s="3">
        <v>0</v>
      </c>
      <c r="T379" s="3">
        <v>0</v>
      </c>
      <c r="U379" s="3">
        <v>0</v>
      </c>
      <c r="V379" s="3">
        <v>2017</v>
      </c>
      <c r="W379" s="3">
        <v>259000</v>
      </c>
      <c r="X379" s="3">
        <v>1938700</v>
      </c>
      <c r="Y379" s="3">
        <v>1679700</v>
      </c>
      <c r="Z379" s="3">
        <v>1769800</v>
      </c>
      <c r="AA379" s="3">
        <v>168900</v>
      </c>
      <c r="AB379" s="3">
        <v>10</v>
      </c>
    </row>
    <row r="380" spans="1:28" x14ac:dyDescent="0.35">
      <c r="A380">
        <v>2022</v>
      </c>
      <c r="B380" t="str">
        <f t="shared" si="43"/>
        <v>20</v>
      </c>
      <c r="C380" t="s">
        <v>165</v>
      </c>
      <c r="D380" t="s">
        <v>35</v>
      </c>
      <c r="E380" t="str">
        <f>"292"</f>
        <v>292</v>
      </c>
      <c r="F380" t="s">
        <v>147</v>
      </c>
      <c r="G380" t="str">
        <f>"003"</f>
        <v>003</v>
      </c>
      <c r="H380" t="str">
        <f>"6216"</f>
        <v>6216</v>
      </c>
      <c r="I380" s="3">
        <v>13668100</v>
      </c>
      <c r="J380" s="3">
        <v>100</v>
      </c>
      <c r="K380" s="3">
        <v>13668100</v>
      </c>
      <c r="L380" s="3">
        <v>0</v>
      </c>
      <c r="M380" s="3">
        <v>13668100</v>
      </c>
      <c r="N380" s="3">
        <v>1028900</v>
      </c>
      <c r="O380" s="3">
        <v>1028900</v>
      </c>
      <c r="P380" s="3">
        <v>0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3">
        <v>2005</v>
      </c>
      <c r="W380" s="3">
        <v>10263700</v>
      </c>
      <c r="X380" s="3">
        <v>14697000</v>
      </c>
      <c r="Y380" s="3">
        <v>4433300</v>
      </c>
      <c r="Z380" s="3">
        <v>14981600</v>
      </c>
      <c r="AA380" s="3">
        <v>-284600</v>
      </c>
      <c r="AB380" s="3">
        <v>-2</v>
      </c>
    </row>
    <row r="381" spans="1:28" x14ac:dyDescent="0.35">
      <c r="A381">
        <v>2022</v>
      </c>
      <c r="B381" t="str">
        <f t="shared" si="43"/>
        <v>20</v>
      </c>
      <c r="C381" t="s">
        <v>165</v>
      </c>
      <c r="D381" t="s">
        <v>35</v>
      </c>
      <c r="E381" t="str">
        <f>"292"</f>
        <v>292</v>
      </c>
      <c r="F381" t="s">
        <v>147</v>
      </c>
      <c r="G381" t="str">
        <f>"006"</f>
        <v>006</v>
      </c>
      <c r="H381" t="str">
        <f>"6216"</f>
        <v>6216</v>
      </c>
      <c r="I381" s="3">
        <v>5034600</v>
      </c>
      <c r="J381" s="3">
        <v>100</v>
      </c>
      <c r="K381" s="3">
        <v>5034600</v>
      </c>
      <c r="L381" s="3">
        <v>0</v>
      </c>
      <c r="M381" s="3">
        <v>5034600</v>
      </c>
      <c r="N381" s="3">
        <v>0</v>
      </c>
      <c r="O381" s="3">
        <v>0</v>
      </c>
      <c r="P381" s="3">
        <v>0</v>
      </c>
      <c r="Q381" s="3">
        <v>0</v>
      </c>
      <c r="R381" s="3">
        <v>0</v>
      </c>
      <c r="S381" s="3">
        <v>0</v>
      </c>
      <c r="T381" s="3">
        <v>0</v>
      </c>
      <c r="U381" s="3">
        <v>3071800</v>
      </c>
      <c r="V381" s="3">
        <v>2012</v>
      </c>
      <c r="W381" s="3">
        <v>9154600</v>
      </c>
      <c r="X381" s="3">
        <v>8106400</v>
      </c>
      <c r="Y381" s="3">
        <v>-1048200</v>
      </c>
      <c r="Z381" s="3">
        <v>8042400</v>
      </c>
      <c r="AA381" s="3">
        <v>64000</v>
      </c>
      <c r="AB381" s="3">
        <v>1</v>
      </c>
    </row>
    <row r="382" spans="1:28" x14ac:dyDescent="0.35">
      <c r="A382">
        <v>2022</v>
      </c>
      <c r="B382" t="str">
        <f t="shared" si="43"/>
        <v>20</v>
      </c>
      <c r="C382" t="s">
        <v>165</v>
      </c>
      <c r="D382" t="s">
        <v>35</v>
      </c>
      <c r="E382" t="str">
        <f>"292"</f>
        <v>292</v>
      </c>
      <c r="F382" t="s">
        <v>147</v>
      </c>
      <c r="G382" t="str">
        <f>"008"</f>
        <v>008</v>
      </c>
      <c r="H382" t="str">
        <f>"6216"</f>
        <v>6216</v>
      </c>
      <c r="I382" s="3">
        <v>12303500</v>
      </c>
      <c r="J382" s="3">
        <v>100</v>
      </c>
      <c r="K382" s="3">
        <v>12303500</v>
      </c>
      <c r="L382" s="3">
        <v>0</v>
      </c>
      <c r="M382" s="3">
        <v>12303500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2018</v>
      </c>
      <c r="W382" s="3">
        <v>5047900</v>
      </c>
      <c r="X382" s="3">
        <v>12303500</v>
      </c>
      <c r="Y382" s="3">
        <v>7255600</v>
      </c>
      <c r="Z382" s="3">
        <v>9384400</v>
      </c>
      <c r="AA382" s="3">
        <v>2919100</v>
      </c>
      <c r="AB382" s="3">
        <v>31</v>
      </c>
    </row>
    <row r="383" spans="1:28" x14ac:dyDescent="0.35">
      <c r="A383">
        <v>2022</v>
      </c>
      <c r="B383" t="str">
        <f>"21"</f>
        <v>21</v>
      </c>
      <c r="C383" t="s">
        <v>172</v>
      </c>
      <c r="D383" t="s">
        <v>35</v>
      </c>
      <c r="E383" t="str">
        <f>"211"</f>
        <v>211</v>
      </c>
      <c r="F383" t="s">
        <v>173</v>
      </c>
      <c r="G383" t="str">
        <f>"001"</f>
        <v>001</v>
      </c>
      <c r="H383" t="str">
        <f>"1218"</f>
        <v>1218</v>
      </c>
      <c r="I383" s="3">
        <v>2018700</v>
      </c>
      <c r="J383" s="3">
        <v>100</v>
      </c>
      <c r="K383" s="3">
        <v>2018700</v>
      </c>
      <c r="L383" s="3">
        <v>0</v>
      </c>
      <c r="M383" s="3">
        <v>2018700</v>
      </c>
      <c r="N383" s="3">
        <v>2609500</v>
      </c>
      <c r="O383" s="3">
        <v>2609500</v>
      </c>
      <c r="P383" s="3">
        <v>87000</v>
      </c>
      <c r="Q383" s="3">
        <v>87000</v>
      </c>
      <c r="R383" s="3">
        <v>-400</v>
      </c>
      <c r="S383" s="3">
        <v>0</v>
      </c>
      <c r="T383" s="3">
        <v>0</v>
      </c>
      <c r="U383" s="3">
        <v>0</v>
      </c>
      <c r="V383" s="3">
        <v>2002</v>
      </c>
      <c r="W383" s="3">
        <v>1551000</v>
      </c>
      <c r="X383" s="3">
        <v>4714800</v>
      </c>
      <c r="Y383" s="3">
        <v>3163800</v>
      </c>
      <c r="Z383" s="3">
        <v>4472000</v>
      </c>
      <c r="AA383" s="3">
        <v>242800</v>
      </c>
      <c r="AB383" s="3">
        <v>5</v>
      </c>
    </row>
    <row r="384" spans="1:28" x14ac:dyDescent="0.35">
      <c r="A384">
        <v>2022</v>
      </c>
      <c r="B384" t="str">
        <f t="shared" ref="B384:B403" si="48">"22"</f>
        <v>22</v>
      </c>
      <c r="C384" t="s">
        <v>174</v>
      </c>
      <c r="D384" t="s">
        <v>33</v>
      </c>
      <c r="E384" t="str">
        <f>"116"</f>
        <v>116</v>
      </c>
      <c r="F384" t="s">
        <v>175</v>
      </c>
      <c r="G384" t="str">
        <f>"001"</f>
        <v>001</v>
      </c>
      <c r="H384" t="str">
        <f>"1246"</f>
        <v>1246</v>
      </c>
      <c r="I384" s="3">
        <v>3734800</v>
      </c>
      <c r="J384" s="3">
        <v>94.29</v>
      </c>
      <c r="K384" s="3">
        <v>3961000</v>
      </c>
      <c r="L384" s="3">
        <v>0</v>
      </c>
      <c r="M384" s="3">
        <v>3961000</v>
      </c>
      <c r="N384" s="3">
        <v>738600</v>
      </c>
      <c r="O384" s="3">
        <v>738600</v>
      </c>
      <c r="P384" s="3">
        <v>24400</v>
      </c>
      <c r="Q384" s="3">
        <v>24400</v>
      </c>
      <c r="R384" s="3">
        <v>653900</v>
      </c>
      <c r="S384" s="3">
        <v>0</v>
      </c>
      <c r="T384" s="3">
        <v>0</v>
      </c>
      <c r="U384" s="3">
        <v>0</v>
      </c>
      <c r="V384" s="3">
        <v>2014</v>
      </c>
      <c r="W384" s="3">
        <v>1550700</v>
      </c>
      <c r="X384" s="3">
        <v>5377900</v>
      </c>
      <c r="Y384" s="3">
        <v>3827200</v>
      </c>
      <c r="Z384" s="3">
        <v>2875600</v>
      </c>
      <c r="AA384" s="3">
        <v>2502300</v>
      </c>
      <c r="AB384" s="3">
        <v>87</v>
      </c>
    </row>
    <row r="385" spans="1:28" x14ac:dyDescent="0.35">
      <c r="A385">
        <v>2022</v>
      </c>
      <c r="B385" t="str">
        <f t="shared" si="48"/>
        <v>22</v>
      </c>
      <c r="C385" t="s">
        <v>174</v>
      </c>
      <c r="D385" t="s">
        <v>33</v>
      </c>
      <c r="E385" t="str">
        <f>"151"</f>
        <v>151</v>
      </c>
      <c r="F385" t="s">
        <v>176</v>
      </c>
      <c r="G385" t="str">
        <f>"001"</f>
        <v>001</v>
      </c>
      <c r="H385" t="str">
        <f>"2646"</f>
        <v>2646</v>
      </c>
      <c r="I385" s="3">
        <v>1959500</v>
      </c>
      <c r="J385" s="3">
        <v>76.239999999999995</v>
      </c>
      <c r="K385" s="3">
        <v>2570200</v>
      </c>
      <c r="L385" s="3">
        <v>0</v>
      </c>
      <c r="M385" s="3">
        <v>2570200</v>
      </c>
      <c r="N385" s="3">
        <v>400500</v>
      </c>
      <c r="O385" s="3">
        <v>400500</v>
      </c>
      <c r="P385" s="3">
        <v>886200</v>
      </c>
      <c r="Q385" s="3">
        <v>886200</v>
      </c>
      <c r="R385" s="3">
        <v>0</v>
      </c>
      <c r="S385" s="3">
        <v>0</v>
      </c>
      <c r="T385" s="3">
        <v>0</v>
      </c>
      <c r="U385" s="3">
        <v>0</v>
      </c>
      <c r="V385" s="3">
        <v>2014</v>
      </c>
      <c r="W385" s="3">
        <v>1968700</v>
      </c>
      <c r="X385" s="3">
        <v>3856900</v>
      </c>
      <c r="Y385" s="3">
        <v>1888200</v>
      </c>
      <c r="Z385" s="3">
        <v>2899800</v>
      </c>
      <c r="AA385" s="3">
        <v>957100</v>
      </c>
      <c r="AB385" s="3">
        <v>33</v>
      </c>
    </row>
    <row r="386" spans="1:28" x14ac:dyDescent="0.35">
      <c r="A386">
        <v>2022</v>
      </c>
      <c r="B386" t="str">
        <f t="shared" si="48"/>
        <v>22</v>
      </c>
      <c r="C386" t="s">
        <v>174</v>
      </c>
      <c r="D386" t="s">
        <v>33</v>
      </c>
      <c r="E386" t="str">
        <f>"153"</f>
        <v>153</v>
      </c>
      <c r="F386" t="s">
        <v>177</v>
      </c>
      <c r="G386" t="str">
        <f>"003"</f>
        <v>003</v>
      </c>
      <c r="H386" t="str">
        <f>"3850"</f>
        <v>3850</v>
      </c>
      <c r="I386" s="3">
        <v>3324800</v>
      </c>
      <c r="J386" s="3">
        <v>77.87</v>
      </c>
      <c r="K386" s="3">
        <v>4269700</v>
      </c>
      <c r="L386" s="3">
        <v>0</v>
      </c>
      <c r="M386" s="3">
        <v>4269700</v>
      </c>
      <c r="N386" s="3">
        <v>0</v>
      </c>
      <c r="O386" s="3">
        <v>0</v>
      </c>
      <c r="P386" s="3">
        <v>0</v>
      </c>
      <c r="Q386" s="3">
        <v>0</v>
      </c>
      <c r="R386" s="3">
        <v>31800</v>
      </c>
      <c r="S386" s="3">
        <v>0</v>
      </c>
      <c r="T386" s="3">
        <v>0</v>
      </c>
      <c r="U386" s="3">
        <v>0</v>
      </c>
      <c r="V386" s="3">
        <v>1997</v>
      </c>
      <c r="W386" s="3">
        <v>2039400</v>
      </c>
      <c r="X386" s="3">
        <v>4301500</v>
      </c>
      <c r="Y386" s="3">
        <v>2262100</v>
      </c>
      <c r="Z386" s="3">
        <v>4031000</v>
      </c>
      <c r="AA386" s="3">
        <v>270500</v>
      </c>
      <c r="AB386" s="3">
        <v>7</v>
      </c>
    </row>
    <row r="387" spans="1:28" x14ac:dyDescent="0.35">
      <c r="A387">
        <v>2022</v>
      </c>
      <c r="B387" t="str">
        <f t="shared" si="48"/>
        <v>22</v>
      </c>
      <c r="C387" t="s">
        <v>174</v>
      </c>
      <c r="D387" t="s">
        <v>33</v>
      </c>
      <c r="E387" t="str">
        <f>"172"</f>
        <v>172</v>
      </c>
      <c r="F387" t="s">
        <v>178</v>
      </c>
      <c r="G387" t="str">
        <f>"001"</f>
        <v>001</v>
      </c>
      <c r="H387" t="str">
        <f>"4529"</f>
        <v>4529</v>
      </c>
      <c r="I387" s="3">
        <v>3207300</v>
      </c>
      <c r="J387" s="3">
        <v>78.2</v>
      </c>
      <c r="K387" s="3">
        <v>4101400</v>
      </c>
      <c r="L387" s="3">
        <v>0</v>
      </c>
      <c r="M387" s="3">
        <v>4101400</v>
      </c>
      <c r="N387" s="3">
        <v>0</v>
      </c>
      <c r="O387" s="3">
        <v>0</v>
      </c>
      <c r="P387" s="3">
        <v>0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  <c r="V387" s="3">
        <v>2021</v>
      </c>
      <c r="W387" s="3">
        <v>3793300</v>
      </c>
      <c r="X387" s="3">
        <v>4101400</v>
      </c>
      <c r="Y387" s="3">
        <v>308100</v>
      </c>
      <c r="Z387" s="3">
        <v>3793300</v>
      </c>
      <c r="AA387" s="3">
        <v>308100</v>
      </c>
      <c r="AB387" s="3">
        <v>8</v>
      </c>
    </row>
    <row r="388" spans="1:28" x14ac:dyDescent="0.35">
      <c r="A388">
        <v>2022</v>
      </c>
      <c r="B388" t="str">
        <f t="shared" si="48"/>
        <v>22</v>
      </c>
      <c r="C388" t="s">
        <v>174</v>
      </c>
      <c r="D388" t="s">
        <v>35</v>
      </c>
      <c r="E388" t="str">
        <f>"206"</f>
        <v>206</v>
      </c>
      <c r="F388" t="s">
        <v>179</v>
      </c>
      <c r="G388" t="str">
        <f>"004"</f>
        <v>004</v>
      </c>
      <c r="H388" t="str">
        <f>"0609"</f>
        <v>0609</v>
      </c>
      <c r="I388" s="3">
        <v>341100</v>
      </c>
      <c r="J388" s="3">
        <v>71.27</v>
      </c>
      <c r="K388" s="3">
        <v>478600</v>
      </c>
      <c r="L388" s="3">
        <v>0</v>
      </c>
      <c r="M388" s="3">
        <v>478600</v>
      </c>
      <c r="N388" s="3">
        <v>2233200</v>
      </c>
      <c r="O388" s="3">
        <v>2233200</v>
      </c>
      <c r="P388" s="3">
        <v>0</v>
      </c>
      <c r="Q388" s="3">
        <v>0</v>
      </c>
      <c r="R388" s="3">
        <v>1800</v>
      </c>
      <c r="S388" s="3">
        <v>0</v>
      </c>
      <c r="T388" s="3">
        <v>0</v>
      </c>
      <c r="U388" s="3">
        <v>6516900</v>
      </c>
      <c r="V388" s="3">
        <v>2005</v>
      </c>
      <c r="W388" s="3">
        <v>5090300</v>
      </c>
      <c r="X388" s="3">
        <v>9230500</v>
      </c>
      <c r="Y388" s="3">
        <v>4140200</v>
      </c>
      <c r="Z388" s="3">
        <v>9064600</v>
      </c>
      <c r="AA388" s="3">
        <v>165900</v>
      </c>
      <c r="AB388" s="3">
        <v>2</v>
      </c>
    </row>
    <row r="389" spans="1:28" x14ac:dyDescent="0.35">
      <c r="A389">
        <v>2022</v>
      </c>
      <c r="B389" t="str">
        <f t="shared" si="48"/>
        <v>22</v>
      </c>
      <c r="C389" t="s">
        <v>174</v>
      </c>
      <c r="D389" t="s">
        <v>35</v>
      </c>
      <c r="E389" t="str">
        <f>"206"</f>
        <v>206</v>
      </c>
      <c r="F389" t="s">
        <v>179</v>
      </c>
      <c r="G389" t="str">
        <f>"005"</f>
        <v>005</v>
      </c>
      <c r="H389" t="str">
        <f>"0609"</f>
        <v>0609</v>
      </c>
      <c r="I389" s="3">
        <v>5511800</v>
      </c>
      <c r="J389" s="3">
        <v>71.27</v>
      </c>
      <c r="K389" s="3">
        <v>7733700</v>
      </c>
      <c r="L389" s="3">
        <v>0</v>
      </c>
      <c r="M389" s="3">
        <v>7733700</v>
      </c>
      <c r="N389" s="3">
        <v>5939000</v>
      </c>
      <c r="O389" s="3">
        <v>5939000</v>
      </c>
      <c r="P389" s="3">
        <v>559300</v>
      </c>
      <c r="Q389" s="3">
        <v>559300</v>
      </c>
      <c r="R389" s="3">
        <v>24900</v>
      </c>
      <c r="S389" s="3">
        <v>0</v>
      </c>
      <c r="T389" s="3">
        <v>0</v>
      </c>
      <c r="U389" s="3">
        <v>0</v>
      </c>
      <c r="V389" s="3">
        <v>2020</v>
      </c>
      <c r="W389" s="3">
        <v>11816900</v>
      </c>
      <c r="X389" s="3">
        <v>14256900</v>
      </c>
      <c r="Y389" s="3">
        <v>2440000</v>
      </c>
      <c r="Z389" s="3">
        <v>11804100</v>
      </c>
      <c r="AA389" s="3">
        <v>2452800</v>
      </c>
      <c r="AB389" s="3">
        <v>21</v>
      </c>
    </row>
    <row r="390" spans="1:28" x14ac:dyDescent="0.35">
      <c r="A390">
        <v>2022</v>
      </c>
      <c r="B390" t="str">
        <f t="shared" si="48"/>
        <v>22</v>
      </c>
      <c r="C390" t="s">
        <v>174</v>
      </c>
      <c r="D390" t="s">
        <v>35</v>
      </c>
      <c r="E390" t="str">
        <f>"211"</f>
        <v>211</v>
      </c>
      <c r="F390" t="s">
        <v>180</v>
      </c>
      <c r="G390" t="str">
        <f>"002"</f>
        <v>002</v>
      </c>
      <c r="H390" t="str">
        <f>"1246"</f>
        <v>1246</v>
      </c>
      <c r="I390" s="3">
        <v>7517100</v>
      </c>
      <c r="J390" s="3">
        <v>82.54</v>
      </c>
      <c r="K390" s="3">
        <v>9107200</v>
      </c>
      <c r="L390" s="3">
        <v>0</v>
      </c>
      <c r="M390" s="3">
        <v>9107200</v>
      </c>
      <c r="N390" s="3">
        <v>0</v>
      </c>
      <c r="O390" s="3">
        <v>0</v>
      </c>
      <c r="P390" s="3">
        <v>0</v>
      </c>
      <c r="Q390" s="3">
        <v>0</v>
      </c>
      <c r="R390" s="3">
        <v>-3100</v>
      </c>
      <c r="S390" s="3">
        <v>0</v>
      </c>
      <c r="T390" s="3">
        <v>0</v>
      </c>
      <c r="U390" s="3">
        <v>1808900</v>
      </c>
      <c r="V390" s="3">
        <v>1999</v>
      </c>
      <c r="W390" s="3">
        <v>1703000</v>
      </c>
      <c r="X390" s="3">
        <v>10913000</v>
      </c>
      <c r="Y390" s="3">
        <v>9210000</v>
      </c>
      <c r="Z390" s="3">
        <v>8945600</v>
      </c>
      <c r="AA390" s="3">
        <v>1967400</v>
      </c>
      <c r="AB390" s="3">
        <v>22</v>
      </c>
    </row>
    <row r="391" spans="1:28" x14ac:dyDescent="0.35">
      <c r="A391">
        <v>2022</v>
      </c>
      <c r="B391" t="str">
        <f t="shared" si="48"/>
        <v>22</v>
      </c>
      <c r="C391" t="s">
        <v>174</v>
      </c>
      <c r="D391" t="s">
        <v>35</v>
      </c>
      <c r="E391" t="str">
        <f>"211"</f>
        <v>211</v>
      </c>
      <c r="F391" t="s">
        <v>180</v>
      </c>
      <c r="G391" t="str">
        <f>"003"</f>
        <v>003</v>
      </c>
      <c r="H391" t="str">
        <f>"1246"</f>
        <v>1246</v>
      </c>
      <c r="I391" s="3">
        <v>1203400</v>
      </c>
      <c r="J391" s="3">
        <v>82.54</v>
      </c>
      <c r="K391" s="3">
        <v>1458000</v>
      </c>
      <c r="L391" s="3">
        <v>0</v>
      </c>
      <c r="M391" s="3">
        <v>1458000</v>
      </c>
      <c r="N391" s="3">
        <v>3610800</v>
      </c>
      <c r="O391" s="3">
        <v>3610800</v>
      </c>
      <c r="P391" s="3">
        <v>58700</v>
      </c>
      <c r="Q391" s="3">
        <v>58700</v>
      </c>
      <c r="R391" s="3">
        <v>-500</v>
      </c>
      <c r="S391" s="3">
        <v>0</v>
      </c>
      <c r="T391" s="3">
        <v>0</v>
      </c>
      <c r="U391" s="3">
        <v>0</v>
      </c>
      <c r="V391" s="3">
        <v>2012</v>
      </c>
      <c r="W391" s="3">
        <v>2303400</v>
      </c>
      <c r="X391" s="3">
        <v>5127000</v>
      </c>
      <c r="Y391" s="3">
        <v>2823600</v>
      </c>
      <c r="Z391" s="3">
        <v>4729300</v>
      </c>
      <c r="AA391" s="3">
        <v>397700</v>
      </c>
      <c r="AB391" s="3">
        <v>8</v>
      </c>
    </row>
    <row r="392" spans="1:28" x14ac:dyDescent="0.35">
      <c r="A392">
        <v>2022</v>
      </c>
      <c r="B392" t="str">
        <f t="shared" si="48"/>
        <v>22</v>
      </c>
      <c r="C392" t="s">
        <v>174</v>
      </c>
      <c r="D392" t="s">
        <v>35</v>
      </c>
      <c r="E392" t="str">
        <f>"211"</f>
        <v>211</v>
      </c>
      <c r="F392" t="s">
        <v>180</v>
      </c>
      <c r="G392" t="str">
        <f>"004"</f>
        <v>004</v>
      </c>
      <c r="H392" t="str">
        <f>"1246"</f>
        <v>1246</v>
      </c>
      <c r="I392" s="3">
        <v>8085500</v>
      </c>
      <c r="J392" s="3">
        <v>82.54</v>
      </c>
      <c r="K392" s="3">
        <v>9795900</v>
      </c>
      <c r="L392" s="3">
        <v>0</v>
      </c>
      <c r="M392" s="3">
        <v>9795900</v>
      </c>
      <c r="N392" s="3">
        <v>2312100</v>
      </c>
      <c r="O392" s="3">
        <v>2312100</v>
      </c>
      <c r="P392" s="3">
        <v>29400</v>
      </c>
      <c r="Q392" s="3">
        <v>29400</v>
      </c>
      <c r="R392" s="3">
        <v>-3000</v>
      </c>
      <c r="S392" s="3">
        <v>0</v>
      </c>
      <c r="T392" s="3">
        <v>0</v>
      </c>
      <c r="U392" s="3">
        <v>0</v>
      </c>
      <c r="V392" s="3">
        <v>2019</v>
      </c>
      <c r="W392" s="3">
        <v>5965000</v>
      </c>
      <c r="X392" s="3">
        <v>12134400</v>
      </c>
      <c r="Y392" s="3">
        <v>6169400</v>
      </c>
      <c r="Z392" s="3">
        <v>9683500</v>
      </c>
      <c r="AA392" s="3">
        <v>2450900</v>
      </c>
      <c r="AB392" s="3">
        <v>25</v>
      </c>
    </row>
    <row r="393" spans="1:28" x14ac:dyDescent="0.35">
      <c r="A393">
        <v>2022</v>
      </c>
      <c r="B393" t="str">
        <f t="shared" si="48"/>
        <v>22</v>
      </c>
      <c r="C393" t="s">
        <v>174</v>
      </c>
      <c r="D393" t="s">
        <v>35</v>
      </c>
      <c r="E393" t="str">
        <f>"226"</f>
        <v>226</v>
      </c>
      <c r="F393" t="s">
        <v>181</v>
      </c>
      <c r="G393" t="str">
        <f>"004"</f>
        <v>004</v>
      </c>
      <c r="H393" t="str">
        <f>"1813"</f>
        <v>1813</v>
      </c>
      <c r="I393" s="3">
        <v>1065700</v>
      </c>
      <c r="J393" s="3">
        <v>85.54</v>
      </c>
      <c r="K393" s="3">
        <v>1245800</v>
      </c>
      <c r="L393" s="3">
        <v>0</v>
      </c>
      <c r="M393" s="3">
        <v>1245800</v>
      </c>
      <c r="N393" s="3">
        <v>0</v>
      </c>
      <c r="O393" s="3">
        <v>0</v>
      </c>
      <c r="P393" s="3">
        <v>0</v>
      </c>
      <c r="Q393" s="3">
        <v>0</v>
      </c>
      <c r="R393" s="3">
        <v>19500</v>
      </c>
      <c r="S393" s="3">
        <v>0</v>
      </c>
      <c r="T393" s="3">
        <v>0</v>
      </c>
      <c r="U393" s="3">
        <v>0</v>
      </c>
      <c r="V393" s="3">
        <v>2002</v>
      </c>
      <c r="W393" s="3">
        <v>32200</v>
      </c>
      <c r="X393" s="3">
        <v>1265300</v>
      </c>
      <c r="Y393" s="3">
        <v>1233100</v>
      </c>
      <c r="Z393" s="3">
        <v>1020600</v>
      </c>
      <c r="AA393" s="3">
        <v>244700</v>
      </c>
      <c r="AB393" s="3">
        <v>24</v>
      </c>
    </row>
    <row r="394" spans="1:28" x14ac:dyDescent="0.35">
      <c r="A394">
        <v>2022</v>
      </c>
      <c r="B394" t="str">
        <f t="shared" si="48"/>
        <v>22</v>
      </c>
      <c r="C394" t="s">
        <v>174</v>
      </c>
      <c r="D394" t="s">
        <v>35</v>
      </c>
      <c r="E394" t="str">
        <f>"226"</f>
        <v>226</v>
      </c>
      <c r="F394" t="s">
        <v>181</v>
      </c>
      <c r="G394" t="str">
        <f>"005"</f>
        <v>005</v>
      </c>
      <c r="H394" t="str">
        <f>"1813"</f>
        <v>1813</v>
      </c>
      <c r="I394" s="3">
        <v>6026400</v>
      </c>
      <c r="J394" s="3">
        <v>85.54</v>
      </c>
      <c r="K394" s="3">
        <v>7045100</v>
      </c>
      <c r="L394" s="3">
        <v>0</v>
      </c>
      <c r="M394" s="3">
        <v>7045100</v>
      </c>
      <c r="N394" s="3">
        <v>140100</v>
      </c>
      <c r="O394" s="3">
        <v>140100</v>
      </c>
      <c r="P394" s="3">
        <v>4500</v>
      </c>
      <c r="Q394" s="3">
        <v>4500</v>
      </c>
      <c r="R394" s="3">
        <v>443600</v>
      </c>
      <c r="S394" s="3">
        <v>0</v>
      </c>
      <c r="T394" s="3">
        <v>0</v>
      </c>
      <c r="U394" s="3">
        <v>3341700</v>
      </c>
      <c r="V394" s="3">
        <v>2005</v>
      </c>
      <c r="W394" s="3">
        <v>6958900</v>
      </c>
      <c r="X394" s="3">
        <v>10975000</v>
      </c>
      <c r="Y394" s="3">
        <v>4016100</v>
      </c>
      <c r="Z394" s="3">
        <v>5815800</v>
      </c>
      <c r="AA394" s="3">
        <v>5159200</v>
      </c>
      <c r="AB394" s="3">
        <v>89</v>
      </c>
    </row>
    <row r="395" spans="1:28" x14ac:dyDescent="0.35">
      <c r="A395">
        <v>2022</v>
      </c>
      <c r="B395" t="str">
        <f t="shared" si="48"/>
        <v>22</v>
      </c>
      <c r="C395" t="s">
        <v>174</v>
      </c>
      <c r="D395" t="s">
        <v>35</v>
      </c>
      <c r="E395" t="str">
        <f>"226"</f>
        <v>226</v>
      </c>
      <c r="F395" t="s">
        <v>181</v>
      </c>
      <c r="G395" t="str">
        <f>"006"</f>
        <v>006</v>
      </c>
      <c r="H395" t="str">
        <f>"1813"</f>
        <v>1813</v>
      </c>
      <c r="I395" s="3">
        <v>10401900</v>
      </c>
      <c r="J395" s="3">
        <v>85.54</v>
      </c>
      <c r="K395" s="3">
        <v>12160300</v>
      </c>
      <c r="L395" s="3">
        <v>0</v>
      </c>
      <c r="M395" s="3">
        <v>12160300</v>
      </c>
      <c r="N395" s="3">
        <v>0</v>
      </c>
      <c r="O395" s="3">
        <v>0</v>
      </c>
      <c r="P395" s="3">
        <v>0</v>
      </c>
      <c r="Q395" s="3">
        <v>0</v>
      </c>
      <c r="R395" s="3">
        <v>-146400</v>
      </c>
      <c r="S395" s="3">
        <v>0</v>
      </c>
      <c r="T395" s="3">
        <v>0</v>
      </c>
      <c r="U395" s="3">
        <v>0</v>
      </c>
      <c r="V395" s="3">
        <v>2017</v>
      </c>
      <c r="W395" s="3">
        <v>6436600</v>
      </c>
      <c r="X395" s="3">
        <v>12013900</v>
      </c>
      <c r="Y395" s="3">
        <v>5577300</v>
      </c>
      <c r="Z395" s="3">
        <v>14842800</v>
      </c>
      <c r="AA395" s="3">
        <v>-2828900</v>
      </c>
      <c r="AB395" s="3">
        <v>-19</v>
      </c>
    </row>
    <row r="396" spans="1:28" x14ac:dyDescent="0.35">
      <c r="A396">
        <v>2022</v>
      </c>
      <c r="B396" t="str">
        <f t="shared" si="48"/>
        <v>22</v>
      </c>
      <c r="C396" t="s">
        <v>174</v>
      </c>
      <c r="D396" t="s">
        <v>35</v>
      </c>
      <c r="E396" t="str">
        <f>"246"</f>
        <v>246</v>
      </c>
      <c r="F396" t="s">
        <v>182</v>
      </c>
      <c r="G396" t="str">
        <f>"003"</f>
        <v>003</v>
      </c>
      <c r="H396" t="str">
        <f>"2912"</f>
        <v>2912</v>
      </c>
      <c r="I396" s="3">
        <v>7722500</v>
      </c>
      <c r="J396" s="3">
        <v>100</v>
      </c>
      <c r="K396" s="3">
        <v>7722500</v>
      </c>
      <c r="L396" s="3">
        <v>0</v>
      </c>
      <c r="M396" s="3">
        <v>7722500</v>
      </c>
      <c r="N396" s="3">
        <v>2398000</v>
      </c>
      <c r="O396" s="3">
        <v>2398000</v>
      </c>
      <c r="P396" s="3">
        <v>269900</v>
      </c>
      <c r="Q396" s="3">
        <v>269900</v>
      </c>
      <c r="R396" s="3">
        <v>75400</v>
      </c>
      <c r="S396" s="3">
        <v>0</v>
      </c>
      <c r="T396" s="3">
        <v>0</v>
      </c>
      <c r="U396" s="3">
        <v>0</v>
      </c>
      <c r="V396" s="3">
        <v>2006</v>
      </c>
      <c r="W396" s="3">
        <v>424500</v>
      </c>
      <c r="X396" s="3">
        <v>10465800</v>
      </c>
      <c r="Y396" s="3">
        <v>10041300</v>
      </c>
      <c r="Z396" s="3">
        <v>9812700</v>
      </c>
      <c r="AA396" s="3">
        <v>653100</v>
      </c>
      <c r="AB396" s="3">
        <v>7</v>
      </c>
    </row>
    <row r="397" spans="1:28" x14ac:dyDescent="0.35">
      <c r="A397">
        <v>2022</v>
      </c>
      <c r="B397" t="str">
        <f t="shared" si="48"/>
        <v>22</v>
      </c>
      <c r="C397" t="s">
        <v>174</v>
      </c>
      <c r="D397" t="s">
        <v>35</v>
      </c>
      <c r="E397" t="str">
        <f>"246"</f>
        <v>246</v>
      </c>
      <c r="F397" t="s">
        <v>182</v>
      </c>
      <c r="G397" t="str">
        <f>"004"</f>
        <v>004</v>
      </c>
      <c r="H397" t="str">
        <f>"2912"</f>
        <v>2912</v>
      </c>
      <c r="I397" s="3">
        <v>5446700</v>
      </c>
      <c r="J397" s="3">
        <v>100</v>
      </c>
      <c r="K397" s="3">
        <v>5446700</v>
      </c>
      <c r="L397" s="3">
        <v>0</v>
      </c>
      <c r="M397" s="3">
        <v>5446700</v>
      </c>
      <c r="N397" s="3">
        <v>0</v>
      </c>
      <c r="O397" s="3">
        <v>0</v>
      </c>
      <c r="P397" s="3">
        <v>0</v>
      </c>
      <c r="Q397" s="3">
        <v>0</v>
      </c>
      <c r="R397" s="3">
        <v>5700</v>
      </c>
      <c r="S397" s="3">
        <v>0</v>
      </c>
      <c r="T397" s="3">
        <v>0</v>
      </c>
      <c r="U397" s="3">
        <v>0</v>
      </c>
      <c r="V397" s="3">
        <v>2006</v>
      </c>
      <c r="W397" s="3">
        <v>2414400</v>
      </c>
      <c r="X397" s="3">
        <v>5452400</v>
      </c>
      <c r="Y397" s="3">
        <v>3038000</v>
      </c>
      <c r="Z397" s="3">
        <v>6327900</v>
      </c>
      <c r="AA397" s="3">
        <v>-875500</v>
      </c>
      <c r="AB397" s="3">
        <v>-14</v>
      </c>
    </row>
    <row r="398" spans="1:28" x14ac:dyDescent="0.35">
      <c r="A398">
        <v>2022</v>
      </c>
      <c r="B398" t="str">
        <f t="shared" si="48"/>
        <v>22</v>
      </c>
      <c r="C398" t="s">
        <v>174</v>
      </c>
      <c r="D398" t="s">
        <v>35</v>
      </c>
      <c r="E398" t="str">
        <f>"246"</f>
        <v>246</v>
      </c>
      <c r="F398" t="s">
        <v>182</v>
      </c>
      <c r="G398" t="str">
        <f>"005"</f>
        <v>005</v>
      </c>
      <c r="H398" t="str">
        <f>"2912"</f>
        <v>2912</v>
      </c>
      <c r="I398" s="3">
        <v>1996000</v>
      </c>
      <c r="J398" s="3">
        <v>100</v>
      </c>
      <c r="K398" s="3">
        <v>1996000</v>
      </c>
      <c r="L398" s="3">
        <v>0</v>
      </c>
      <c r="M398" s="3">
        <v>1996000</v>
      </c>
      <c r="N398" s="3">
        <v>0</v>
      </c>
      <c r="O398" s="3">
        <v>0</v>
      </c>
      <c r="P398" s="3">
        <v>0</v>
      </c>
      <c r="Q398" s="3">
        <v>0</v>
      </c>
      <c r="R398" s="3">
        <v>2000</v>
      </c>
      <c r="S398" s="3">
        <v>0</v>
      </c>
      <c r="T398" s="3">
        <v>0</v>
      </c>
      <c r="U398" s="3">
        <v>0</v>
      </c>
      <c r="V398" s="3">
        <v>2018</v>
      </c>
      <c r="W398" s="3">
        <v>0</v>
      </c>
      <c r="X398" s="3">
        <v>1998000</v>
      </c>
      <c r="Y398" s="3">
        <v>1998000</v>
      </c>
      <c r="Z398" s="3">
        <v>2297700</v>
      </c>
      <c r="AA398" s="3">
        <v>-299700</v>
      </c>
      <c r="AB398" s="3">
        <v>-13</v>
      </c>
    </row>
    <row r="399" spans="1:28" x14ac:dyDescent="0.35">
      <c r="A399">
        <v>2022</v>
      </c>
      <c r="B399" t="str">
        <f t="shared" si="48"/>
        <v>22</v>
      </c>
      <c r="C399" t="s">
        <v>174</v>
      </c>
      <c r="D399" t="s">
        <v>35</v>
      </c>
      <c r="E399" t="str">
        <f>"246"</f>
        <v>246</v>
      </c>
      <c r="F399" t="s">
        <v>182</v>
      </c>
      <c r="G399" t="str">
        <f>"006"</f>
        <v>006</v>
      </c>
      <c r="H399" t="str">
        <f>"2912"</f>
        <v>2912</v>
      </c>
      <c r="I399" s="3">
        <v>4046800</v>
      </c>
      <c r="J399" s="3">
        <v>100</v>
      </c>
      <c r="K399" s="3">
        <v>4046800</v>
      </c>
      <c r="L399" s="3">
        <v>0</v>
      </c>
      <c r="M399" s="3">
        <v>4046800</v>
      </c>
      <c r="N399" s="3">
        <v>0</v>
      </c>
      <c r="O399" s="3">
        <v>0</v>
      </c>
      <c r="P399" s="3">
        <v>0</v>
      </c>
      <c r="Q399" s="3">
        <v>0</v>
      </c>
      <c r="R399" s="3">
        <v>2400</v>
      </c>
      <c r="S399" s="3">
        <v>0</v>
      </c>
      <c r="T399" s="3">
        <v>0</v>
      </c>
      <c r="U399" s="3">
        <v>0</v>
      </c>
      <c r="V399" s="3">
        <v>2020</v>
      </c>
      <c r="W399" s="3">
        <v>0</v>
      </c>
      <c r="X399" s="3">
        <v>4049200</v>
      </c>
      <c r="Y399" s="3">
        <v>4049200</v>
      </c>
      <c r="Z399" s="3">
        <v>2623400</v>
      </c>
      <c r="AA399" s="3">
        <v>1425800</v>
      </c>
      <c r="AB399" s="3">
        <v>54</v>
      </c>
    </row>
    <row r="400" spans="1:28" x14ac:dyDescent="0.35">
      <c r="A400">
        <v>2022</v>
      </c>
      <c r="B400" t="str">
        <f t="shared" si="48"/>
        <v>22</v>
      </c>
      <c r="C400" t="s">
        <v>174</v>
      </c>
      <c r="D400" t="s">
        <v>35</v>
      </c>
      <c r="E400" t="str">
        <f>"246"</f>
        <v>246</v>
      </c>
      <c r="F400" t="s">
        <v>182</v>
      </c>
      <c r="G400" t="str">
        <f>"007"</f>
        <v>007</v>
      </c>
      <c r="H400" t="str">
        <f>"2912"</f>
        <v>2912</v>
      </c>
      <c r="I400" s="3">
        <v>1759000</v>
      </c>
      <c r="J400" s="3">
        <v>100</v>
      </c>
      <c r="K400" s="3">
        <v>1759000</v>
      </c>
      <c r="L400" s="3">
        <v>0</v>
      </c>
      <c r="M400" s="3">
        <v>1759000</v>
      </c>
      <c r="N400" s="3">
        <v>275000</v>
      </c>
      <c r="O400" s="3">
        <v>275000</v>
      </c>
      <c r="P400" s="3">
        <v>0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3">
        <v>2021</v>
      </c>
      <c r="W400" s="3">
        <v>2520100</v>
      </c>
      <c r="X400" s="3">
        <v>2034000</v>
      </c>
      <c r="Y400" s="3">
        <v>-486100</v>
      </c>
      <c r="Z400" s="3">
        <v>2520100</v>
      </c>
      <c r="AA400" s="3">
        <v>-486100</v>
      </c>
      <c r="AB400" s="3">
        <v>-19</v>
      </c>
    </row>
    <row r="401" spans="1:28" x14ac:dyDescent="0.35">
      <c r="A401">
        <v>2022</v>
      </c>
      <c r="B401" t="str">
        <f t="shared" si="48"/>
        <v>22</v>
      </c>
      <c r="C401" t="s">
        <v>174</v>
      </c>
      <c r="D401" t="s">
        <v>35</v>
      </c>
      <c r="E401" t="str">
        <f>"271"</f>
        <v>271</v>
      </c>
      <c r="F401" t="s">
        <v>183</v>
      </c>
      <c r="G401" t="str">
        <f>"005"</f>
        <v>005</v>
      </c>
      <c r="H401" t="str">
        <f>"4389"</f>
        <v>4389</v>
      </c>
      <c r="I401" s="3">
        <v>42048900</v>
      </c>
      <c r="J401" s="3">
        <v>100</v>
      </c>
      <c r="K401" s="3">
        <v>42048900</v>
      </c>
      <c r="L401" s="3">
        <v>0</v>
      </c>
      <c r="M401" s="3">
        <v>42048900</v>
      </c>
      <c r="N401" s="3">
        <v>0</v>
      </c>
      <c r="O401" s="3">
        <v>0</v>
      </c>
      <c r="P401" s="3">
        <v>0</v>
      </c>
      <c r="Q401" s="3">
        <v>0</v>
      </c>
      <c r="R401" s="3">
        <v>71600</v>
      </c>
      <c r="S401" s="3">
        <v>0</v>
      </c>
      <c r="T401" s="3">
        <v>0</v>
      </c>
      <c r="U401" s="3">
        <v>0</v>
      </c>
      <c r="V401" s="3">
        <v>2005</v>
      </c>
      <c r="W401" s="3">
        <v>29500</v>
      </c>
      <c r="X401" s="3">
        <v>42120500</v>
      </c>
      <c r="Y401" s="3">
        <v>42091000</v>
      </c>
      <c r="Z401" s="3">
        <v>45422900</v>
      </c>
      <c r="AA401" s="3">
        <v>-3302400</v>
      </c>
      <c r="AB401" s="3">
        <v>-7</v>
      </c>
    </row>
    <row r="402" spans="1:28" x14ac:dyDescent="0.35">
      <c r="A402">
        <v>2022</v>
      </c>
      <c r="B402" t="str">
        <f t="shared" si="48"/>
        <v>22</v>
      </c>
      <c r="C402" t="s">
        <v>174</v>
      </c>
      <c r="D402" t="s">
        <v>35</v>
      </c>
      <c r="E402" t="str">
        <f>"271"</f>
        <v>271</v>
      </c>
      <c r="F402" t="s">
        <v>183</v>
      </c>
      <c r="G402" t="str">
        <f>"006"</f>
        <v>006</v>
      </c>
      <c r="H402" t="str">
        <f>"4389"</f>
        <v>4389</v>
      </c>
      <c r="I402" s="3">
        <v>15983100</v>
      </c>
      <c r="J402" s="3">
        <v>100</v>
      </c>
      <c r="K402" s="3">
        <v>15983100</v>
      </c>
      <c r="L402" s="3">
        <v>0</v>
      </c>
      <c r="M402" s="3">
        <v>15983100</v>
      </c>
      <c r="N402" s="3">
        <v>21436700</v>
      </c>
      <c r="O402" s="3">
        <v>21436700</v>
      </c>
      <c r="P402" s="3">
        <v>608600</v>
      </c>
      <c r="Q402" s="3">
        <v>608600</v>
      </c>
      <c r="R402" s="3">
        <v>24600</v>
      </c>
      <c r="S402" s="3">
        <v>0</v>
      </c>
      <c r="T402" s="3">
        <v>0</v>
      </c>
      <c r="U402" s="3">
        <v>0</v>
      </c>
      <c r="V402" s="3">
        <v>2006</v>
      </c>
      <c r="W402" s="3">
        <v>7740400</v>
      </c>
      <c r="X402" s="3">
        <v>38053000</v>
      </c>
      <c r="Y402" s="3">
        <v>30312600</v>
      </c>
      <c r="Z402" s="3">
        <v>37354200</v>
      </c>
      <c r="AA402" s="3">
        <v>698800</v>
      </c>
      <c r="AB402" s="3">
        <v>2</v>
      </c>
    </row>
    <row r="403" spans="1:28" x14ac:dyDescent="0.35">
      <c r="A403">
        <v>2022</v>
      </c>
      <c r="B403" t="str">
        <f t="shared" si="48"/>
        <v>22</v>
      </c>
      <c r="C403" t="s">
        <v>174</v>
      </c>
      <c r="D403" t="s">
        <v>35</v>
      </c>
      <c r="E403" t="str">
        <f>"271"</f>
        <v>271</v>
      </c>
      <c r="F403" t="s">
        <v>183</v>
      </c>
      <c r="G403" t="str">
        <f>"007"</f>
        <v>007</v>
      </c>
      <c r="H403" t="str">
        <f>"4389"</f>
        <v>4389</v>
      </c>
      <c r="I403" s="3">
        <v>51481300</v>
      </c>
      <c r="J403" s="3">
        <v>100</v>
      </c>
      <c r="K403" s="3">
        <v>51481300</v>
      </c>
      <c r="L403" s="3">
        <v>0</v>
      </c>
      <c r="M403" s="3">
        <v>51481300</v>
      </c>
      <c r="N403" s="3">
        <v>240600</v>
      </c>
      <c r="O403" s="3">
        <v>240600</v>
      </c>
      <c r="P403" s="3">
        <v>26200</v>
      </c>
      <c r="Q403" s="3">
        <v>26200</v>
      </c>
      <c r="R403" s="3">
        <v>81100</v>
      </c>
      <c r="S403" s="3">
        <v>0</v>
      </c>
      <c r="T403" s="3">
        <v>0</v>
      </c>
      <c r="U403" s="3">
        <v>0</v>
      </c>
      <c r="V403" s="3">
        <v>2006</v>
      </c>
      <c r="W403" s="3">
        <v>29515000</v>
      </c>
      <c r="X403" s="3">
        <v>51829200</v>
      </c>
      <c r="Y403" s="3">
        <v>22314200</v>
      </c>
      <c r="Z403" s="3">
        <v>51724300</v>
      </c>
      <c r="AA403" s="3">
        <v>104900</v>
      </c>
      <c r="AB403" s="3">
        <v>0</v>
      </c>
    </row>
    <row r="404" spans="1:28" x14ac:dyDescent="0.35">
      <c r="A404">
        <v>2022</v>
      </c>
      <c r="B404" t="str">
        <f t="shared" ref="B404:B417" si="49">"23"</f>
        <v>23</v>
      </c>
      <c r="C404" t="s">
        <v>184</v>
      </c>
      <c r="D404" t="s">
        <v>33</v>
      </c>
      <c r="E404" t="str">
        <f>"106"</f>
        <v>106</v>
      </c>
      <c r="F404" t="s">
        <v>114</v>
      </c>
      <c r="G404" t="str">
        <f>"005"</f>
        <v>005</v>
      </c>
      <c r="H404" t="str">
        <f>"0350"</f>
        <v>0350</v>
      </c>
      <c r="I404" s="3">
        <v>357500</v>
      </c>
      <c r="J404" s="3">
        <v>80.53</v>
      </c>
      <c r="K404" s="3">
        <v>443900</v>
      </c>
      <c r="L404" s="3">
        <v>0</v>
      </c>
      <c r="M404" s="3">
        <v>443900</v>
      </c>
      <c r="N404" s="3">
        <v>0</v>
      </c>
      <c r="O404" s="3">
        <v>0</v>
      </c>
      <c r="P404" s="3">
        <v>0</v>
      </c>
      <c r="Q404" s="3">
        <v>0</v>
      </c>
      <c r="R404" s="3">
        <v>-900</v>
      </c>
      <c r="S404" s="3">
        <v>0</v>
      </c>
      <c r="T404" s="3">
        <v>0</v>
      </c>
      <c r="U404" s="3">
        <v>0</v>
      </c>
      <c r="V404" s="3">
        <v>2009</v>
      </c>
      <c r="W404" s="3">
        <v>368800</v>
      </c>
      <c r="X404" s="3">
        <v>443000</v>
      </c>
      <c r="Y404" s="3">
        <v>74200</v>
      </c>
      <c r="Z404" s="3">
        <v>396300</v>
      </c>
      <c r="AA404" s="3">
        <v>46700</v>
      </c>
      <c r="AB404" s="3">
        <v>12</v>
      </c>
    </row>
    <row r="405" spans="1:28" x14ac:dyDescent="0.35">
      <c r="A405">
        <v>2022</v>
      </c>
      <c r="B405" t="str">
        <f t="shared" si="49"/>
        <v>23</v>
      </c>
      <c r="C405" t="s">
        <v>184</v>
      </c>
      <c r="D405" t="s">
        <v>33</v>
      </c>
      <c r="E405" t="str">
        <f>"109"</f>
        <v>109</v>
      </c>
      <c r="F405" t="s">
        <v>116</v>
      </c>
      <c r="G405" t="str">
        <f>"001"</f>
        <v>001</v>
      </c>
      <c r="H405" t="str">
        <f>"4144"</f>
        <v>4144</v>
      </c>
      <c r="I405" s="3">
        <v>4912500</v>
      </c>
      <c r="J405" s="3">
        <v>74.59</v>
      </c>
      <c r="K405" s="3">
        <v>6586000</v>
      </c>
      <c r="L405" s="3">
        <v>0</v>
      </c>
      <c r="M405" s="3">
        <v>6586000</v>
      </c>
      <c r="N405" s="3">
        <v>0</v>
      </c>
      <c r="O405" s="3">
        <v>0</v>
      </c>
      <c r="P405" s="3">
        <v>0</v>
      </c>
      <c r="Q405" s="3">
        <v>0</v>
      </c>
      <c r="R405" s="3">
        <v>-9500</v>
      </c>
      <c r="S405" s="3">
        <v>0</v>
      </c>
      <c r="T405" s="3">
        <v>0</v>
      </c>
      <c r="U405" s="3">
        <v>0</v>
      </c>
      <c r="V405" s="3">
        <v>2008</v>
      </c>
      <c r="W405" s="3">
        <v>4400600</v>
      </c>
      <c r="X405" s="3">
        <v>6576500</v>
      </c>
      <c r="Y405" s="3">
        <v>2175900</v>
      </c>
      <c r="Z405" s="3">
        <v>6461700</v>
      </c>
      <c r="AA405" s="3">
        <v>114800</v>
      </c>
      <c r="AB405" s="3">
        <v>2</v>
      </c>
    </row>
    <row r="406" spans="1:28" x14ac:dyDescent="0.35">
      <c r="A406">
        <v>2022</v>
      </c>
      <c r="B406" t="str">
        <f t="shared" si="49"/>
        <v>23</v>
      </c>
      <c r="C406" t="s">
        <v>184</v>
      </c>
      <c r="D406" t="s">
        <v>33</v>
      </c>
      <c r="E406" t="str">
        <f>"161"</f>
        <v>161</v>
      </c>
      <c r="F406" t="s">
        <v>185</v>
      </c>
      <c r="G406" t="str">
        <f>"003"</f>
        <v>003</v>
      </c>
      <c r="H406" t="str">
        <f>"3934"</f>
        <v>3934</v>
      </c>
      <c r="I406" s="3">
        <v>0</v>
      </c>
      <c r="J406" s="3">
        <v>73.95</v>
      </c>
      <c r="K406" s="3">
        <v>0</v>
      </c>
      <c r="L406" s="3">
        <v>0</v>
      </c>
      <c r="M406" s="3">
        <v>0</v>
      </c>
      <c r="N406" s="3">
        <v>11727800</v>
      </c>
      <c r="O406" s="3">
        <v>11727800</v>
      </c>
      <c r="P406" s="3">
        <v>1900700</v>
      </c>
      <c r="Q406" s="3">
        <v>1900700</v>
      </c>
      <c r="R406" s="3">
        <v>0</v>
      </c>
      <c r="S406" s="3">
        <v>0</v>
      </c>
      <c r="T406" s="3">
        <v>0</v>
      </c>
      <c r="U406" s="3">
        <v>0</v>
      </c>
      <c r="V406" s="3">
        <v>2006</v>
      </c>
      <c r="W406" s="3">
        <v>19300</v>
      </c>
      <c r="X406" s="3">
        <v>13628500</v>
      </c>
      <c r="Y406" s="3">
        <v>13609200</v>
      </c>
      <c r="Z406" s="3">
        <v>13517100</v>
      </c>
      <c r="AA406" s="3">
        <v>111400</v>
      </c>
      <c r="AB406" s="3">
        <v>1</v>
      </c>
    </row>
    <row r="407" spans="1:28" x14ac:dyDescent="0.35">
      <c r="A407">
        <v>2022</v>
      </c>
      <c r="B407" t="str">
        <f t="shared" si="49"/>
        <v>23</v>
      </c>
      <c r="C407" t="s">
        <v>184</v>
      </c>
      <c r="D407" t="s">
        <v>33</v>
      </c>
      <c r="E407" t="str">
        <f>"161"</f>
        <v>161</v>
      </c>
      <c r="F407" t="s">
        <v>185</v>
      </c>
      <c r="G407" t="str">
        <f>"004"</f>
        <v>004</v>
      </c>
      <c r="H407" t="str">
        <f>"3934"</f>
        <v>3934</v>
      </c>
      <c r="I407" s="3">
        <v>17140200</v>
      </c>
      <c r="J407" s="3">
        <v>73.95</v>
      </c>
      <c r="K407" s="3">
        <v>23178100</v>
      </c>
      <c r="L407" s="3">
        <v>0</v>
      </c>
      <c r="M407" s="3">
        <v>23178100</v>
      </c>
      <c r="N407" s="3">
        <v>188100</v>
      </c>
      <c r="O407" s="3">
        <v>188100</v>
      </c>
      <c r="P407" s="3">
        <v>2500</v>
      </c>
      <c r="Q407" s="3">
        <v>2500</v>
      </c>
      <c r="R407" s="3">
        <v>-19500</v>
      </c>
      <c r="S407" s="3">
        <v>0</v>
      </c>
      <c r="T407" s="3">
        <v>0</v>
      </c>
      <c r="U407" s="3">
        <v>0</v>
      </c>
      <c r="V407" s="3">
        <v>2015</v>
      </c>
      <c r="W407" s="3">
        <v>14642600</v>
      </c>
      <c r="X407" s="3">
        <v>23349200</v>
      </c>
      <c r="Y407" s="3">
        <v>8706600</v>
      </c>
      <c r="Z407" s="3">
        <v>20570800</v>
      </c>
      <c r="AA407" s="3">
        <v>2778400</v>
      </c>
      <c r="AB407" s="3">
        <v>14</v>
      </c>
    </row>
    <row r="408" spans="1:28" x14ac:dyDescent="0.35">
      <c r="A408">
        <v>2022</v>
      </c>
      <c r="B408" t="str">
        <f t="shared" si="49"/>
        <v>23</v>
      </c>
      <c r="C408" t="s">
        <v>184</v>
      </c>
      <c r="D408" t="s">
        <v>35</v>
      </c>
      <c r="E408" t="str">
        <f>"206"</f>
        <v>206</v>
      </c>
      <c r="F408" t="s">
        <v>186</v>
      </c>
      <c r="G408" t="str">
        <f>"004"</f>
        <v>004</v>
      </c>
      <c r="H408" t="str">
        <f>"0700"</f>
        <v>0700</v>
      </c>
      <c r="I408" s="3">
        <v>234600</v>
      </c>
      <c r="J408" s="3">
        <v>100</v>
      </c>
      <c r="K408" s="3">
        <v>234600</v>
      </c>
      <c r="L408" s="3">
        <v>0</v>
      </c>
      <c r="M408" s="3">
        <v>234600</v>
      </c>
      <c r="N408" s="3">
        <v>0</v>
      </c>
      <c r="O408" s="3">
        <v>0</v>
      </c>
      <c r="P408" s="3">
        <v>0</v>
      </c>
      <c r="Q408" s="3">
        <v>0</v>
      </c>
      <c r="R408" s="3">
        <v>-300</v>
      </c>
      <c r="S408" s="3">
        <v>0</v>
      </c>
      <c r="T408" s="3">
        <v>0</v>
      </c>
      <c r="U408" s="3">
        <v>0</v>
      </c>
      <c r="V408" s="3">
        <v>2005</v>
      </c>
      <c r="W408" s="3">
        <v>108400</v>
      </c>
      <c r="X408" s="3">
        <v>234300</v>
      </c>
      <c r="Y408" s="3">
        <v>125900</v>
      </c>
      <c r="Z408" s="3">
        <v>213300</v>
      </c>
      <c r="AA408" s="3">
        <v>21000</v>
      </c>
      <c r="AB408" s="3">
        <v>10</v>
      </c>
    </row>
    <row r="409" spans="1:28" x14ac:dyDescent="0.35">
      <c r="A409">
        <v>2022</v>
      </c>
      <c r="B409" t="str">
        <f t="shared" si="49"/>
        <v>23</v>
      </c>
      <c r="C409" t="s">
        <v>184</v>
      </c>
      <c r="D409" t="s">
        <v>35</v>
      </c>
      <c r="E409" t="str">
        <f>"206"</f>
        <v>206</v>
      </c>
      <c r="F409" t="s">
        <v>186</v>
      </c>
      <c r="G409" t="str">
        <f>"005"</f>
        <v>005</v>
      </c>
      <c r="H409" t="str">
        <f>"0700"</f>
        <v>0700</v>
      </c>
      <c r="I409" s="3">
        <v>1659400</v>
      </c>
      <c r="J409" s="3">
        <v>100</v>
      </c>
      <c r="K409" s="3">
        <v>1659400</v>
      </c>
      <c r="L409" s="3">
        <v>0</v>
      </c>
      <c r="M409" s="3">
        <v>1659400</v>
      </c>
      <c r="N409" s="3">
        <v>0</v>
      </c>
      <c r="O409" s="3">
        <v>0</v>
      </c>
      <c r="P409" s="3">
        <v>0</v>
      </c>
      <c r="Q409" s="3">
        <v>0</v>
      </c>
      <c r="R409" s="3">
        <v>-2300</v>
      </c>
      <c r="S409" s="3">
        <v>0</v>
      </c>
      <c r="T409" s="3">
        <v>0</v>
      </c>
      <c r="U409" s="3">
        <v>0</v>
      </c>
      <c r="V409" s="3">
        <v>2005</v>
      </c>
      <c r="W409" s="3">
        <v>1529000</v>
      </c>
      <c r="X409" s="3">
        <v>1657100</v>
      </c>
      <c r="Y409" s="3">
        <v>128100</v>
      </c>
      <c r="Z409" s="3">
        <v>1508800</v>
      </c>
      <c r="AA409" s="3">
        <v>148300</v>
      </c>
      <c r="AB409" s="3">
        <v>10</v>
      </c>
    </row>
    <row r="410" spans="1:28" x14ac:dyDescent="0.35">
      <c r="A410">
        <v>2022</v>
      </c>
      <c r="B410" t="str">
        <f t="shared" si="49"/>
        <v>23</v>
      </c>
      <c r="C410" t="s">
        <v>184</v>
      </c>
      <c r="D410" t="s">
        <v>35</v>
      </c>
      <c r="E410" t="str">
        <f>"206"</f>
        <v>206</v>
      </c>
      <c r="F410" t="s">
        <v>186</v>
      </c>
      <c r="G410" t="str">
        <f>"006"</f>
        <v>006</v>
      </c>
      <c r="H410" t="str">
        <f>"0700"</f>
        <v>0700</v>
      </c>
      <c r="I410" s="3">
        <v>2730100</v>
      </c>
      <c r="J410" s="3">
        <v>100</v>
      </c>
      <c r="K410" s="3">
        <v>2730100</v>
      </c>
      <c r="L410" s="3">
        <v>0</v>
      </c>
      <c r="M410" s="3">
        <v>2730100</v>
      </c>
      <c r="N410" s="3">
        <v>0</v>
      </c>
      <c r="O410" s="3">
        <v>0</v>
      </c>
      <c r="P410" s="3">
        <v>0</v>
      </c>
      <c r="Q410" s="3">
        <v>0</v>
      </c>
      <c r="R410" s="3">
        <v>-3400</v>
      </c>
      <c r="S410" s="3">
        <v>0</v>
      </c>
      <c r="T410" s="3">
        <v>0</v>
      </c>
      <c r="U410" s="3">
        <v>0</v>
      </c>
      <c r="V410" s="3">
        <v>2006</v>
      </c>
      <c r="W410" s="3">
        <v>1170300</v>
      </c>
      <c r="X410" s="3">
        <v>2726700</v>
      </c>
      <c r="Y410" s="3">
        <v>1556400</v>
      </c>
      <c r="Z410" s="3">
        <v>2379200</v>
      </c>
      <c r="AA410" s="3">
        <v>347500</v>
      </c>
      <c r="AB410" s="3">
        <v>15</v>
      </c>
    </row>
    <row r="411" spans="1:28" x14ac:dyDescent="0.35">
      <c r="A411">
        <v>2022</v>
      </c>
      <c r="B411" t="str">
        <f t="shared" si="49"/>
        <v>23</v>
      </c>
      <c r="C411" t="s">
        <v>184</v>
      </c>
      <c r="D411" t="s">
        <v>35</v>
      </c>
      <c r="E411" t="str">
        <f>"206"</f>
        <v>206</v>
      </c>
      <c r="F411" t="s">
        <v>186</v>
      </c>
      <c r="G411" t="str">
        <f>"007"</f>
        <v>007</v>
      </c>
      <c r="H411" t="str">
        <f>"0700"</f>
        <v>0700</v>
      </c>
      <c r="I411" s="3">
        <v>5819800</v>
      </c>
      <c r="J411" s="3">
        <v>100</v>
      </c>
      <c r="K411" s="3">
        <v>5819800</v>
      </c>
      <c r="L411" s="3">
        <v>0</v>
      </c>
      <c r="M411" s="3">
        <v>5819800</v>
      </c>
      <c r="N411" s="3">
        <v>0</v>
      </c>
      <c r="O411" s="3">
        <v>0</v>
      </c>
      <c r="P411" s="3">
        <v>35900</v>
      </c>
      <c r="Q411" s="3">
        <v>35900</v>
      </c>
      <c r="R411" s="3">
        <v>-10000</v>
      </c>
      <c r="S411" s="3">
        <v>0</v>
      </c>
      <c r="T411" s="3">
        <v>0</v>
      </c>
      <c r="U411" s="3">
        <v>0</v>
      </c>
      <c r="V411" s="3">
        <v>2013</v>
      </c>
      <c r="W411" s="3">
        <v>4118800</v>
      </c>
      <c r="X411" s="3">
        <v>5845700</v>
      </c>
      <c r="Y411" s="3">
        <v>1726900</v>
      </c>
      <c r="Z411" s="3">
        <v>7073100</v>
      </c>
      <c r="AA411" s="3">
        <v>-1227400</v>
      </c>
      <c r="AB411" s="3">
        <v>-17</v>
      </c>
    </row>
    <row r="412" spans="1:28" x14ac:dyDescent="0.35">
      <c r="A412">
        <v>2022</v>
      </c>
      <c r="B412" t="str">
        <f t="shared" si="49"/>
        <v>23</v>
      </c>
      <c r="C412" t="s">
        <v>184</v>
      </c>
      <c r="D412" t="s">
        <v>35</v>
      </c>
      <c r="E412" t="str">
        <f>"206"</f>
        <v>206</v>
      </c>
      <c r="F412" t="s">
        <v>186</v>
      </c>
      <c r="G412" t="str">
        <f>"008"</f>
        <v>008</v>
      </c>
      <c r="H412" t="str">
        <f>"0700"</f>
        <v>0700</v>
      </c>
      <c r="I412" s="3">
        <v>3860000</v>
      </c>
      <c r="J412" s="3">
        <v>100</v>
      </c>
      <c r="K412" s="3">
        <v>3860000</v>
      </c>
      <c r="L412" s="3">
        <v>0</v>
      </c>
      <c r="M412" s="3">
        <v>3860000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3">
        <v>2021</v>
      </c>
      <c r="W412" s="3">
        <v>3596500</v>
      </c>
      <c r="X412" s="3">
        <v>3860000</v>
      </c>
      <c r="Y412" s="3">
        <v>263500</v>
      </c>
      <c r="Z412" s="3">
        <v>3596500</v>
      </c>
      <c r="AA412" s="3">
        <v>263500</v>
      </c>
      <c r="AB412" s="3">
        <v>7</v>
      </c>
    </row>
    <row r="413" spans="1:28" x14ac:dyDescent="0.35">
      <c r="A413">
        <v>2022</v>
      </c>
      <c r="B413" t="str">
        <f t="shared" si="49"/>
        <v>23</v>
      </c>
      <c r="C413" t="s">
        <v>184</v>
      </c>
      <c r="D413" t="s">
        <v>35</v>
      </c>
      <c r="E413" t="str">
        <f>"251"</f>
        <v>251</v>
      </c>
      <c r="F413" t="s">
        <v>187</v>
      </c>
      <c r="G413" t="str">
        <f>"007"</f>
        <v>007</v>
      </c>
      <c r="H413" t="str">
        <f>"3682"</f>
        <v>3682</v>
      </c>
      <c r="I413" s="3">
        <v>37894500</v>
      </c>
      <c r="J413" s="3">
        <v>77.930000000000007</v>
      </c>
      <c r="K413" s="3">
        <v>48626300</v>
      </c>
      <c r="L413" s="3">
        <v>0</v>
      </c>
      <c r="M413" s="3">
        <v>48626300</v>
      </c>
      <c r="N413" s="3">
        <v>4241600</v>
      </c>
      <c r="O413" s="3">
        <v>4241600</v>
      </c>
      <c r="P413" s="3">
        <v>1930100</v>
      </c>
      <c r="Q413" s="3">
        <v>1930100</v>
      </c>
      <c r="R413" s="3">
        <v>283600</v>
      </c>
      <c r="S413" s="3">
        <v>0</v>
      </c>
      <c r="T413" s="3">
        <v>0</v>
      </c>
      <c r="U413" s="3">
        <v>0</v>
      </c>
      <c r="V413" s="3">
        <v>2005</v>
      </c>
      <c r="W413" s="3">
        <v>32349800</v>
      </c>
      <c r="X413" s="3">
        <v>55081600</v>
      </c>
      <c r="Y413" s="3">
        <v>22731800</v>
      </c>
      <c r="Z413" s="3">
        <v>46235000</v>
      </c>
      <c r="AA413" s="3">
        <v>8846600</v>
      </c>
      <c r="AB413" s="3">
        <v>19</v>
      </c>
    </row>
    <row r="414" spans="1:28" x14ac:dyDescent="0.35">
      <c r="A414">
        <v>2022</v>
      </c>
      <c r="B414" t="str">
        <f t="shared" si="49"/>
        <v>23</v>
      </c>
      <c r="C414" t="s">
        <v>184</v>
      </c>
      <c r="D414" t="s">
        <v>35</v>
      </c>
      <c r="E414" t="str">
        <f>"251"</f>
        <v>251</v>
      </c>
      <c r="F414" t="s">
        <v>187</v>
      </c>
      <c r="G414" t="str">
        <f>"008"</f>
        <v>008</v>
      </c>
      <c r="H414" t="str">
        <f>"3682"</f>
        <v>3682</v>
      </c>
      <c r="I414" s="3">
        <v>4501300</v>
      </c>
      <c r="J414" s="3">
        <v>77.930000000000007</v>
      </c>
      <c r="K414" s="3">
        <v>5776100</v>
      </c>
      <c r="L414" s="3">
        <v>0</v>
      </c>
      <c r="M414" s="3">
        <v>5776100</v>
      </c>
      <c r="N414" s="3">
        <v>0</v>
      </c>
      <c r="O414" s="3">
        <v>0</v>
      </c>
      <c r="P414" s="3">
        <v>0</v>
      </c>
      <c r="Q414" s="3">
        <v>0</v>
      </c>
      <c r="R414" s="3">
        <v>34400</v>
      </c>
      <c r="S414" s="3">
        <v>0</v>
      </c>
      <c r="T414" s="3">
        <v>0</v>
      </c>
      <c r="U414" s="3">
        <v>0</v>
      </c>
      <c r="V414" s="3">
        <v>2007</v>
      </c>
      <c r="W414" s="3">
        <v>2332700</v>
      </c>
      <c r="X414" s="3">
        <v>5810500</v>
      </c>
      <c r="Y414" s="3">
        <v>3477800</v>
      </c>
      <c r="Z414" s="3">
        <v>4775200</v>
      </c>
      <c r="AA414" s="3">
        <v>1035300</v>
      </c>
      <c r="AB414" s="3">
        <v>22</v>
      </c>
    </row>
    <row r="415" spans="1:28" x14ac:dyDescent="0.35">
      <c r="A415">
        <v>2022</v>
      </c>
      <c r="B415" t="str">
        <f t="shared" si="49"/>
        <v>23</v>
      </c>
      <c r="C415" t="s">
        <v>184</v>
      </c>
      <c r="D415" t="s">
        <v>35</v>
      </c>
      <c r="E415" t="str">
        <f>"251"</f>
        <v>251</v>
      </c>
      <c r="F415" t="s">
        <v>187</v>
      </c>
      <c r="G415" t="str">
        <f>"009"</f>
        <v>009</v>
      </c>
      <c r="H415" t="str">
        <f>"3682"</f>
        <v>3682</v>
      </c>
      <c r="I415" s="3">
        <v>16403300</v>
      </c>
      <c r="J415" s="3">
        <v>77.930000000000007</v>
      </c>
      <c r="K415" s="3">
        <v>21048800</v>
      </c>
      <c r="L415" s="3">
        <v>0</v>
      </c>
      <c r="M415" s="3">
        <v>21048800</v>
      </c>
      <c r="N415" s="3">
        <v>2460800</v>
      </c>
      <c r="O415" s="3">
        <v>2460800</v>
      </c>
      <c r="P415" s="3">
        <v>1246000</v>
      </c>
      <c r="Q415" s="3">
        <v>1246000</v>
      </c>
      <c r="R415" s="3">
        <v>125300</v>
      </c>
      <c r="S415" s="3">
        <v>0</v>
      </c>
      <c r="T415" s="3">
        <v>0</v>
      </c>
      <c r="U415" s="3">
        <v>0</v>
      </c>
      <c r="V415" s="3">
        <v>2018</v>
      </c>
      <c r="W415" s="3">
        <v>21014500</v>
      </c>
      <c r="X415" s="3">
        <v>24880900</v>
      </c>
      <c r="Y415" s="3">
        <v>3866400</v>
      </c>
      <c r="Z415" s="3">
        <v>21498200</v>
      </c>
      <c r="AA415" s="3">
        <v>3382700</v>
      </c>
      <c r="AB415" s="3">
        <v>16</v>
      </c>
    </row>
    <row r="416" spans="1:28" x14ac:dyDescent="0.35">
      <c r="A416">
        <v>2022</v>
      </c>
      <c r="B416" t="str">
        <f t="shared" si="49"/>
        <v>23</v>
      </c>
      <c r="C416" t="s">
        <v>184</v>
      </c>
      <c r="D416" t="s">
        <v>35</v>
      </c>
      <c r="E416" t="str">
        <f>"251"</f>
        <v>251</v>
      </c>
      <c r="F416" t="s">
        <v>187</v>
      </c>
      <c r="G416" t="str">
        <f>"010"</f>
        <v>010</v>
      </c>
      <c r="H416" t="str">
        <f>"3682"</f>
        <v>3682</v>
      </c>
      <c r="I416" s="3">
        <v>16666500</v>
      </c>
      <c r="J416" s="3">
        <v>77.930000000000007</v>
      </c>
      <c r="K416" s="3">
        <v>21386500</v>
      </c>
      <c r="L416" s="3">
        <v>0</v>
      </c>
      <c r="M416" s="3">
        <v>21386500</v>
      </c>
      <c r="N416" s="3">
        <v>0</v>
      </c>
      <c r="O416" s="3">
        <v>0</v>
      </c>
      <c r="P416" s="3">
        <v>0</v>
      </c>
      <c r="Q416" s="3">
        <v>0</v>
      </c>
      <c r="R416" s="3">
        <v>127300</v>
      </c>
      <c r="S416" s="3">
        <v>0</v>
      </c>
      <c r="T416" s="3">
        <v>0</v>
      </c>
      <c r="U416" s="3">
        <v>0</v>
      </c>
      <c r="V416" s="3">
        <v>2017</v>
      </c>
      <c r="W416" s="3">
        <v>17449200</v>
      </c>
      <c r="X416" s="3">
        <v>21513800</v>
      </c>
      <c r="Y416" s="3">
        <v>4064600</v>
      </c>
      <c r="Z416" s="3">
        <v>17875700</v>
      </c>
      <c r="AA416" s="3">
        <v>3638100</v>
      </c>
      <c r="AB416" s="3">
        <v>20</v>
      </c>
    </row>
    <row r="417" spans="1:28" x14ac:dyDescent="0.35">
      <c r="A417">
        <v>2022</v>
      </c>
      <c r="B417" t="str">
        <f t="shared" si="49"/>
        <v>23</v>
      </c>
      <c r="C417" t="s">
        <v>184</v>
      </c>
      <c r="D417" t="s">
        <v>35</v>
      </c>
      <c r="E417" t="str">
        <f>"251"</f>
        <v>251</v>
      </c>
      <c r="F417" t="s">
        <v>187</v>
      </c>
      <c r="G417" t="str">
        <f>"011"</f>
        <v>011</v>
      </c>
      <c r="H417" t="str">
        <f>"3682"</f>
        <v>3682</v>
      </c>
      <c r="I417" s="3">
        <v>4465400</v>
      </c>
      <c r="J417" s="3">
        <v>77.930000000000007</v>
      </c>
      <c r="K417" s="3">
        <v>5730000</v>
      </c>
      <c r="L417" s="3">
        <v>16481300</v>
      </c>
      <c r="M417" s="3">
        <v>16481300</v>
      </c>
      <c r="N417" s="3">
        <v>6477200</v>
      </c>
      <c r="O417" s="3">
        <v>6477200</v>
      </c>
      <c r="P417" s="3">
        <v>3417700</v>
      </c>
      <c r="Q417" s="3">
        <v>3417700</v>
      </c>
      <c r="R417" s="3">
        <v>0</v>
      </c>
      <c r="S417" s="3">
        <v>0</v>
      </c>
      <c r="T417" s="3">
        <v>0</v>
      </c>
      <c r="U417" s="3">
        <v>0</v>
      </c>
      <c r="V417" s="3">
        <v>2021</v>
      </c>
      <c r="W417" s="3">
        <v>24534400</v>
      </c>
      <c r="X417" s="3">
        <v>26376200</v>
      </c>
      <c r="Y417" s="3">
        <v>1841800</v>
      </c>
      <c r="Z417" s="3">
        <v>24534400</v>
      </c>
      <c r="AA417" s="3">
        <v>1841800</v>
      </c>
      <c r="AB417" s="3">
        <v>8</v>
      </c>
    </row>
    <row r="418" spans="1:28" x14ac:dyDescent="0.35">
      <c r="A418">
        <v>2022</v>
      </c>
      <c r="B418" t="str">
        <f t="shared" ref="B418:B426" si="50">"24"</f>
        <v>24</v>
      </c>
      <c r="C418" t="s">
        <v>188</v>
      </c>
      <c r="D418" t="s">
        <v>35</v>
      </c>
      <c r="E418" t="str">
        <f>"206"</f>
        <v>206</v>
      </c>
      <c r="F418" t="s">
        <v>189</v>
      </c>
      <c r="G418" t="str">
        <f>"001E"</f>
        <v>001E</v>
      </c>
      <c r="H418" t="str">
        <f>"0434"</f>
        <v>0434</v>
      </c>
      <c r="I418" s="3">
        <v>0</v>
      </c>
      <c r="J418" s="3">
        <v>65.56</v>
      </c>
      <c r="K418" s="3">
        <v>0</v>
      </c>
      <c r="L418" s="3">
        <v>0</v>
      </c>
      <c r="M418" s="3">
        <v>0</v>
      </c>
      <c r="N418" s="3">
        <v>997700</v>
      </c>
      <c r="O418" s="3">
        <v>997700</v>
      </c>
      <c r="P418" s="3">
        <v>71800</v>
      </c>
      <c r="Q418" s="3">
        <v>71800</v>
      </c>
      <c r="R418" s="3">
        <v>0</v>
      </c>
      <c r="S418" s="3">
        <v>0</v>
      </c>
      <c r="T418" s="3">
        <v>0</v>
      </c>
      <c r="U418" s="3">
        <v>0</v>
      </c>
      <c r="V418" s="3">
        <v>2003</v>
      </c>
      <c r="W418" s="3">
        <v>615300</v>
      </c>
      <c r="X418" s="3">
        <v>1069500</v>
      </c>
      <c r="Y418" s="3">
        <v>454200</v>
      </c>
      <c r="Z418" s="3">
        <v>1015500</v>
      </c>
      <c r="AA418" s="3">
        <v>54000</v>
      </c>
      <c r="AB418" s="3">
        <v>5</v>
      </c>
    </row>
    <row r="419" spans="1:28" x14ac:dyDescent="0.35">
      <c r="A419">
        <v>2022</v>
      </c>
      <c r="B419" t="str">
        <f t="shared" si="50"/>
        <v>24</v>
      </c>
      <c r="C419" t="s">
        <v>188</v>
      </c>
      <c r="D419" t="s">
        <v>35</v>
      </c>
      <c r="E419" t="str">
        <f>"206"</f>
        <v>206</v>
      </c>
      <c r="F419" t="s">
        <v>189</v>
      </c>
      <c r="G419" t="str">
        <f>"002E"</f>
        <v>002E</v>
      </c>
      <c r="H419" t="str">
        <f>"0434"</f>
        <v>0434</v>
      </c>
      <c r="I419" s="3">
        <v>321600</v>
      </c>
      <c r="J419" s="3">
        <v>65.56</v>
      </c>
      <c r="K419" s="3">
        <v>490500</v>
      </c>
      <c r="L419" s="3">
        <v>0</v>
      </c>
      <c r="M419" s="3">
        <v>490500</v>
      </c>
      <c r="N419" s="3">
        <v>0</v>
      </c>
      <c r="O419" s="3">
        <v>0</v>
      </c>
      <c r="P419" s="3">
        <v>0</v>
      </c>
      <c r="Q419" s="3">
        <v>0</v>
      </c>
      <c r="R419" s="3">
        <v>-5000</v>
      </c>
      <c r="S419" s="3">
        <v>0</v>
      </c>
      <c r="T419" s="3">
        <v>0</v>
      </c>
      <c r="U419" s="3">
        <v>0</v>
      </c>
      <c r="V419" s="3">
        <v>2007</v>
      </c>
      <c r="W419" s="3">
        <v>105000</v>
      </c>
      <c r="X419" s="3">
        <v>485500</v>
      </c>
      <c r="Y419" s="3">
        <v>380500</v>
      </c>
      <c r="Z419" s="3">
        <v>982700</v>
      </c>
      <c r="AA419" s="3">
        <v>-497200</v>
      </c>
      <c r="AB419" s="3">
        <v>-51</v>
      </c>
    </row>
    <row r="420" spans="1:28" x14ac:dyDescent="0.35">
      <c r="A420">
        <v>2022</v>
      </c>
      <c r="B420" t="str">
        <f t="shared" si="50"/>
        <v>24</v>
      </c>
      <c r="C420" t="s">
        <v>188</v>
      </c>
      <c r="D420" t="s">
        <v>35</v>
      </c>
      <c r="E420" t="str">
        <f>"206"</f>
        <v>206</v>
      </c>
      <c r="F420" t="s">
        <v>189</v>
      </c>
      <c r="G420" t="str">
        <f>"015"</f>
        <v>015</v>
      </c>
      <c r="H420" t="str">
        <f>"0434"</f>
        <v>0434</v>
      </c>
      <c r="I420" s="3">
        <v>11172000</v>
      </c>
      <c r="J420" s="3">
        <v>65.56</v>
      </c>
      <c r="K420" s="3">
        <v>17040900</v>
      </c>
      <c r="L420" s="3">
        <v>0</v>
      </c>
      <c r="M420" s="3">
        <v>17040900</v>
      </c>
      <c r="N420" s="3">
        <v>0</v>
      </c>
      <c r="O420" s="3">
        <v>0</v>
      </c>
      <c r="P420" s="3">
        <v>0</v>
      </c>
      <c r="Q420" s="3">
        <v>0</v>
      </c>
      <c r="R420" s="3">
        <v>-74800</v>
      </c>
      <c r="S420" s="3">
        <v>0</v>
      </c>
      <c r="T420" s="3">
        <v>0</v>
      </c>
      <c r="U420" s="3">
        <v>0</v>
      </c>
      <c r="V420" s="3">
        <v>2008</v>
      </c>
      <c r="W420" s="3">
        <v>12491500</v>
      </c>
      <c r="X420" s="3">
        <v>16966100</v>
      </c>
      <c r="Y420" s="3">
        <v>4474600</v>
      </c>
      <c r="Z420" s="3">
        <v>14493500</v>
      </c>
      <c r="AA420" s="3">
        <v>2472600</v>
      </c>
      <c r="AB420" s="3">
        <v>17</v>
      </c>
    </row>
    <row r="421" spans="1:28" x14ac:dyDescent="0.35">
      <c r="A421">
        <v>2022</v>
      </c>
      <c r="B421" t="str">
        <f t="shared" si="50"/>
        <v>24</v>
      </c>
      <c r="C421" t="s">
        <v>188</v>
      </c>
      <c r="D421" t="s">
        <v>35</v>
      </c>
      <c r="E421" t="str">
        <f>"231"</f>
        <v>231</v>
      </c>
      <c r="F421" t="s">
        <v>188</v>
      </c>
      <c r="G421" t="str">
        <f>"003"</f>
        <v>003</v>
      </c>
      <c r="H421" t="str">
        <f>"2310"</f>
        <v>2310</v>
      </c>
      <c r="I421" s="3">
        <v>22330100</v>
      </c>
      <c r="J421" s="3">
        <v>77.2</v>
      </c>
      <c r="K421" s="3">
        <v>28925000</v>
      </c>
      <c r="L421" s="3">
        <v>0</v>
      </c>
      <c r="M421" s="3">
        <v>28925000</v>
      </c>
      <c r="N421" s="3">
        <v>1302400</v>
      </c>
      <c r="O421" s="3">
        <v>1302400</v>
      </c>
      <c r="P421" s="3">
        <v>44400</v>
      </c>
      <c r="Q421" s="3">
        <v>44400</v>
      </c>
      <c r="R421" s="3">
        <v>276200</v>
      </c>
      <c r="S421" s="3">
        <v>0</v>
      </c>
      <c r="T421" s="3">
        <v>0</v>
      </c>
      <c r="U421" s="3">
        <v>0</v>
      </c>
      <c r="V421" s="3">
        <v>2005</v>
      </c>
      <c r="W421" s="3">
        <v>8995800</v>
      </c>
      <c r="X421" s="3">
        <v>30548000</v>
      </c>
      <c r="Y421" s="3">
        <v>21552200</v>
      </c>
      <c r="Z421" s="3">
        <v>24756200</v>
      </c>
      <c r="AA421" s="3">
        <v>5791800</v>
      </c>
      <c r="AB421" s="3">
        <v>23</v>
      </c>
    </row>
    <row r="422" spans="1:28" x14ac:dyDescent="0.35">
      <c r="A422">
        <v>2022</v>
      </c>
      <c r="B422" t="str">
        <f t="shared" si="50"/>
        <v>24</v>
      </c>
      <c r="C422" t="s">
        <v>188</v>
      </c>
      <c r="D422" t="s">
        <v>35</v>
      </c>
      <c r="E422" t="str">
        <f>"231"</f>
        <v>231</v>
      </c>
      <c r="F422" t="s">
        <v>188</v>
      </c>
      <c r="G422" t="str">
        <f>"004"</f>
        <v>004</v>
      </c>
      <c r="H422" t="str">
        <f>"2310"</f>
        <v>2310</v>
      </c>
      <c r="I422" s="3">
        <v>85900</v>
      </c>
      <c r="J422" s="3">
        <v>77.2</v>
      </c>
      <c r="K422" s="3">
        <v>111300</v>
      </c>
      <c r="L422" s="3">
        <v>0</v>
      </c>
      <c r="M422" s="3">
        <v>111300</v>
      </c>
      <c r="N422" s="3">
        <v>0</v>
      </c>
      <c r="O422" s="3">
        <v>0</v>
      </c>
      <c r="P422" s="3">
        <v>0</v>
      </c>
      <c r="Q422" s="3">
        <v>0</v>
      </c>
      <c r="R422" s="3">
        <v>2100</v>
      </c>
      <c r="S422" s="3">
        <v>0</v>
      </c>
      <c r="T422" s="3">
        <v>0</v>
      </c>
      <c r="U422" s="3">
        <v>83300</v>
      </c>
      <c r="V422" s="3">
        <v>2009</v>
      </c>
      <c r="W422" s="3">
        <v>237700</v>
      </c>
      <c r="X422" s="3">
        <v>196700</v>
      </c>
      <c r="Y422" s="3">
        <v>-41000</v>
      </c>
      <c r="Z422" s="3">
        <v>176800</v>
      </c>
      <c r="AA422" s="3">
        <v>19900</v>
      </c>
      <c r="AB422" s="3">
        <v>11</v>
      </c>
    </row>
    <row r="423" spans="1:28" x14ac:dyDescent="0.35">
      <c r="A423">
        <v>2022</v>
      </c>
      <c r="B423" t="str">
        <f t="shared" si="50"/>
        <v>24</v>
      </c>
      <c r="C423" t="s">
        <v>188</v>
      </c>
      <c r="D423" t="s">
        <v>35</v>
      </c>
      <c r="E423" t="str">
        <f>"231"</f>
        <v>231</v>
      </c>
      <c r="F423" t="s">
        <v>188</v>
      </c>
      <c r="G423" t="str">
        <f>"005"</f>
        <v>005</v>
      </c>
      <c r="H423" t="str">
        <f>"2310"</f>
        <v>2310</v>
      </c>
      <c r="I423" s="3">
        <v>11025600</v>
      </c>
      <c r="J423" s="3">
        <v>77.2</v>
      </c>
      <c r="K423" s="3">
        <v>14281900</v>
      </c>
      <c r="L423" s="3">
        <v>0</v>
      </c>
      <c r="M423" s="3">
        <v>14281900</v>
      </c>
      <c r="N423" s="3">
        <v>0</v>
      </c>
      <c r="O423" s="3">
        <v>0</v>
      </c>
      <c r="P423" s="3">
        <v>0</v>
      </c>
      <c r="Q423" s="3">
        <v>0</v>
      </c>
      <c r="R423" s="3">
        <v>65900</v>
      </c>
      <c r="S423" s="3">
        <v>0</v>
      </c>
      <c r="T423" s="3">
        <v>0</v>
      </c>
      <c r="U423" s="3">
        <v>0</v>
      </c>
      <c r="V423" s="3">
        <v>2020</v>
      </c>
      <c r="W423" s="3">
        <v>5673600</v>
      </c>
      <c r="X423" s="3">
        <v>14347800</v>
      </c>
      <c r="Y423" s="3">
        <v>8674200</v>
      </c>
      <c r="Z423" s="3">
        <v>5486000</v>
      </c>
      <c r="AA423" s="3">
        <v>8861800</v>
      </c>
      <c r="AB423" s="3">
        <v>162</v>
      </c>
    </row>
    <row r="424" spans="1:28" x14ac:dyDescent="0.35">
      <c r="A424">
        <v>2022</v>
      </c>
      <c r="B424" t="str">
        <f t="shared" si="50"/>
        <v>24</v>
      </c>
      <c r="C424" t="s">
        <v>188</v>
      </c>
      <c r="D424" t="s">
        <v>35</v>
      </c>
      <c r="E424" t="str">
        <f>"231"</f>
        <v>231</v>
      </c>
      <c r="F424" t="s">
        <v>188</v>
      </c>
      <c r="G424" t="str">
        <f>"006"</f>
        <v>006</v>
      </c>
      <c r="H424" t="str">
        <f>"2310"</f>
        <v>2310</v>
      </c>
      <c r="I424" s="3">
        <v>579400</v>
      </c>
      <c r="J424" s="3">
        <v>77.2</v>
      </c>
      <c r="K424" s="3">
        <v>750500</v>
      </c>
      <c r="L424" s="3">
        <v>0</v>
      </c>
      <c r="M424" s="3">
        <v>750500</v>
      </c>
      <c r="N424" s="3">
        <v>0</v>
      </c>
      <c r="O424" s="3">
        <v>0</v>
      </c>
      <c r="P424" s="3">
        <v>0</v>
      </c>
      <c r="Q424" s="3">
        <v>0</v>
      </c>
      <c r="R424" s="3">
        <v>0</v>
      </c>
      <c r="S424" s="3">
        <v>0</v>
      </c>
      <c r="T424" s="3">
        <v>0</v>
      </c>
      <c r="U424" s="3">
        <v>0</v>
      </c>
      <c r="V424" s="3">
        <v>2021</v>
      </c>
      <c r="W424" s="3">
        <v>628700</v>
      </c>
      <c r="X424" s="3">
        <v>750500</v>
      </c>
      <c r="Y424" s="3">
        <v>121800</v>
      </c>
      <c r="Z424" s="3">
        <v>628700</v>
      </c>
      <c r="AA424" s="3">
        <v>121800</v>
      </c>
      <c r="AB424" s="3">
        <v>19</v>
      </c>
    </row>
    <row r="425" spans="1:28" x14ac:dyDescent="0.35">
      <c r="A425">
        <v>2022</v>
      </c>
      <c r="B425" t="str">
        <f t="shared" si="50"/>
        <v>24</v>
      </c>
      <c r="C425" t="s">
        <v>188</v>
      </c>
      <c r="D425" t="s">
        <v>35</v>
      </c>
      <c r="E425" t="str">
        <f>"251"</f>
        <v>251</v>
      </c>
      <c r="F425" t="s">
        <v>190</v>
      </c>
      <c r="G425" t="str">
        <f>"001"</f>
        <v>001</v>
      </c>
      <c r="H425" t="str">
        <f>"3325"</f>
        <v>3325</v>
      </c>
      <c r="I425" s="3">
        <v>3715700</v>
      </c>
      <c r="J425" s="3">
        <v>69.61</v>
      </c>
      <c r="K425" s="3">
        <v>5337900</v>
      </c>
      <c r="L425" s="3">
        <v>0</v>
      </c>
      <c r="M425" s="3">
        <v>5337900</v>
      </c>
      <c r="N425" s="3">
        <v>1211700</v>
      </c>
      <c r="O425" s="3">
        <v>1211700</v>
      </c>
      <c r="P425" s="3">
        <v>85300</v>
      </c>
      <c r="Q425" s="3">
        <v>85300</v>
      </c>
      <c r="R425" s="3">
        <v>-9900</v>
      </c>
      <c r="S425" s="3">
        <v>0</v>
      </c>
      <c r="T425" s="3">
        <v>0</v>
      </c>
      <c r="U425" s="3">
        <v>0</v>
      </c>
      <c r="V425" s="3">
        <v>1995</v>
      </c>
      <c r="W425" s="3">
        <v>1326500</v>
      </c>
      <c r="X425" s="3">
        <v>6625000</v>
      </c>
      <c r="Y425" s="3">
        <v>5298500</v>
      </c>
      <c r="Z425" s="3">
        <v>5759500</v>
      </c>
      <c r="AA425" s="3">
        <v>865500</v>
      </c>
      <c r="AB425" s="3">
        <v>15</v>
      </c>
    </row>
    <row r="426" spans="1:28" x14ac:dyDescent="0.35">
      <c r="A426">
        <v>2022</v>
      </c>
      <c r="B426" t="str">
        <f t="shared" si="50"/>
        <v>24</v>
      </c>
      <c r="C426" t="s">
        <v>188</v>
      </c>
      <c r="D426" t="s">
        <v>35</v>
      </c>
      <c r="E426" t="str">
        <f>"271"</f>
        <v>271</v>
      </c>
      <c r="F426" t="s">
        <v>191</v>
      </c>
      <c r="G426" t="str">
        <f>"002"</f>
        <v>002</v>
      </c>
      <c r="H426" t="str">
        <f>"4606"</f>
        <v>4606</v>
      </c>
      <c r="I426" s="3">
        <v>6019900</v>
      </c>
      <c r="J426" s="3">
        <v>88.85</v>
      </c>
      <c r="K426" s="3">
        <v>6775400</v>
      </c>
      <c r="L426" s="3">
        <v>0</v>
      </c>
      <c r="M426" s="3">
        <v>6775400</v>
      </c>
      <c r="N426" s="3">
        <v>1450800</v>
      </c>
      <c r="O426" s="3">
        <v>1450800</v>
      </c>
      <c r="P426" s="3">
        <v>359800</v>
      </c>
      <c r="Q426" s="3">
        <v>359800</v>
      </c>
      <c r="R426" s="3">
        <v>-1300</v>
      </c>
      <c r="S426" s="3">
        <v>0</v>
      </c>
      <c r="T426" s="3">
        <v>0</v>
      </c>
      <c r="U426" s="3">
        <v>0</v>
      </c>
      <c r="V426" s="3">
        <v>2001</v>
      </c>
      <c r="W426" s="3">
        <v>5110600</v>
      </c>
      <c r="X426" s="3">
        <v>8584700</v>
      </c>
      <c r="Y426" s="3">
        <v>3474100</v>
      </c>
      <c r="Z426" s="3">
        <v>8281700</v>
      </c>
      <c r="AA426" s="3">
        <v>303000</v>
      </c>
      <c r="AB426" s="3">
        <v>4</v>
      </c>
    </row>
    <row r="427" spans="1:28" x14ac:dyDescent="0.35">
      <c r="A427">
        <v>2022</v>
      </c>
      <c r="B427" t="str">
        <f t="shared" ref="B427:B432" si="51">"25"</f>
        <v>25</v>
      </c>
      <c r="C427" t="s">
        <v>192</v>
      </c>
      <c r="D427" t="s">
        <v>33</v>
      </c>
      <c r="E427" t="str">
        <f>"101"</f>
        <v>101</v>
      </c>
      <c r="F427" t="s">
        <v>193</v>
      </c>
      <c r="G427" t="str">
        <f>"001"</f>
        <v>001</v>
      </c>
      <c r="H427" t="str">
        <f>"5523"</f>
        <v>5523</v>
      </c>
      <c r="I427" s="3">
        <v>15201500</v>
      </c>
      <c r="J427" s="3">
        <v>86.65</v>
      </c>
      <c r="K427" s="3">
        <v>17543600</v>
      </c>
      <c r="L427" s="3">
        <v>0</v>
      </c>
      <c r="M427" s="3">
        <v>17543600</v>
      </c>
      <c r="N427" s="3">
        <v>1061900</v>
      </c>
      <c r="O427" s="3">
        <v>1061900</v>
      </c>
      <c r="P427" s="3">
        <v>304600</v>
      </c>
      <c r="Q427" s="3">
        <v>304600</v>
      </c>
      <c r="R427" s="3">
        <v>1059800</v>
      </c>
      <c r="S427" s="3">
        <v>0</v>
      </c>
      <c r="T427" s="3">
        <v>0</v>
      </c>
      <c r="U427" s="3">
        <v>0</v>
      </c>
      <c r="V427" s="3">
        <v>2006</v>
      </c>
      <c r="W427" s="3">
        <v>5220300</v>
      </c>
      <c r="X427" s="3">
        <v>19969900</v>
      </c>
      <c r="Y427" s="3">
        <v>14749600</v>
      </c>
      <c r="Z427" s="3">
        <v>13892400</v>
      </c>
      <c r="AA427" s="3">
        <v>6077500</v>
      </c>
      <c r="AB427" s="3">
        <v>44</v>
      </c>
    </row>
    <row r="428" spans="1:28" x14ac:dyDescent="0.35">
      <c r="A428">
        <v>2022</v>
      </c>
      <c r="B428" t="str">
        <f t="shared" si="51"/>
        <v>25</v>
      </c>
      <c r="C428" t="s">
        <v>192</v>
      </c>
      <c r="D428" t="s">
        <v>33</v>
      </c>
      <c r="E428" t="str">
        <f>"106"</f>
        <v>106</v>
      </c>
      <c r="F428" t="s">
        <v>194</v>
      </c>
      <c r="G428" t="str">
        <f>"001"</f>
        <v>001</v>
      </c>
      <c r="H428" t="str">
        <f>"0287"</f>
        <v>0287</v>
      </c>
      <c r="I428" s="3">
        <v>7756400</v>
      </c>
      <c r="J428" s="3">
        <v>77.22</v>
      </c>
      <c r="K428" s="3">
        <v>10044500</v>
      </c>
      <c r="L428" s="3">
        <v>0</v>
      </c>
      <c r="M428" s="3">
        <v>10044500</v>
      </c>
      <c r="N428" s="3">
        <v>1583800</v>
      </c>
      <c r="O428" s="3">
        <v>1583800</v>
      </c>
      <c r="P428" s="3">
        <v>397100</v>
      </c>
      <c r="Q428" s="3">
        <v>397100</v>
      </c>
      <c r="R428" s="3">
        <v>-2200</v>
      </c>
      <c r="S428" s="3">
        <v>0</v>
      </c>
      <c r="T428" s="3">
        <v>0</v>
      </c>
      <c r="U428" s="3">
        <v>158400</v>
      </c>
      <c r="V428" s="3">
        <v>2002</v>
      </c>
      <c r="W428" s="3">
        <v>1732300</v>
      </c>
      <c r="X428" s="3">
        <v>12181600</v>
      </c>
      <c r="Y428" s="3">
        <v>10449300</v>
      </c>
      <c r="Z428" s="3">
        <v>10862600</v>
      </c>
      <c r="AA428" s="3">
        <v>1319000</v>
      </c>
      <c r="AB428" s="3">
        <v>12</v>
      </c>
    </row>
    <row r="429" spans="1:28" x14ac:dyDescent="0.35">
      <c r="A429">
        <v>2022</v>
      </c>
      <c r="B429" t="str">
        <f t="shared" si="51"/>
        <v>25</v>
      </c>
      <c r="C429" t="s">
        <v>192</v>
      </c>
      <c r="D429" t="s">
        <v>33</v>
      </c>
      <c r="E429" t="str">
        <f>"106"</f>
        <v>106</v>
      </c>
      <c r="F429" t="s">
        <v>194</v>
      </c>
      <c r="G429" t="str">
        <f>"002"</f>
        <v>002</v>
      </c>
      <c r="H429" t="str">
        <f>"0287"</f>
        <v>0287</v>
      </c>
      <c r="I429" s="3">
        <v>3741200</v>
      </c>
      <c r="J429" s="3">
        <v>77.22</v>
      </c>
      <c r="K429" s="3">
        <v>4844900</v>
      </c>
      <c r="L429" s="3">
        <v>0</v>
      </c>
      <c r="M429" s="3">
        <v>4844900</v>
      </c>
      <c r="N429" s="3">
        <v>43203500</v>
      </c>
      <c r="O429" s="3">
        <v>43203500</v>
      </c>
      <c r="P429" s="3">
        <v>10199700</v>
      </c>
      <c r="Q429" s="3">
        <v>10199700</v>
      </c>
      <c r="R429" s="3">
        <v>-700</v>
      </c>
      <c r="S429" s="3">
        <v>0</v>
      </c>
      <c r="T429" s="3">
        <v>0</v>
      </c>
      <c r="U429" s="3">
        <v>0</v>
      </c>
      <c r="V429" s="3">
        <v>2015</v>
      </c>
      <c r="W429" s="3">
        <v>232000</v>
      </c>
      <c r="X429" s="3">
        <v>58247400</v>
      </c>
      <c r="Y429" s="3">
        <v>58015400</v>
      </c>
      <c r="Z429" s="3">
        <v>39134300</v>
      </c>
      <c r="AA429" s="3">
        <v>19113100</v>
      </c>
      <c r="AB429" s="3">
        <v>49</v>
      </c>
    </row>
    <row r="430" spans="1:28" x14ac:dyDescent="0.35">
      <c r="A430">
        <v>2022</v>
      </c>
      <c r="B430" t="str">
        <f t="shared" si="51"/>
        <v>25</v>
      </c>
      <c r="C430" t="s">
        <v>192</v>
      </c>
      <c r="D430" t="s">
        <v>33</v>
      </c>
      <c r="E430" t="str">
        <f>"136"</f>
        <v>136</v>
      </c>
      <c r="F430" t="s">
        <v>195</v>
      </c>
      <c r="G430" t="str">
        <f>"002"</f>
        <v>002</v>
      </c>
      <c r="H430" t="str">
        <f>"2527"</f>
        <v>2527</v>
      </c>
      <c r="I430" s="3">
        <v>4677800</v>
      </c>
      <c r="J430" s="3">
        <v>67.47</v>
      </c>
      <c r="K430" s="3">
        <v>6933200</v>
      </c>
      <c r="L430" s="3">
        <v>0</v>
      </c>
      <c r="M430" s="3">
        <v>6933200</v>
      </c>
      <c r="N430" s="3">
        <v>230000</v>
      </c>
      <c r="O430" s="3">
        <v>230000</v>
      </c>
      <c r="P430" s="3">
        <v>3000</v>
      </c>
      <c r="Q430" s="3">
        <v>3000</v>
      </c>
      <c r="R430" s="3">
        <v>-3800</v>
      </c>
      <c r="S430" s="3">
        <v>0</v>
      </c>
      <c r="T430" s="3">
        <v>0</v>
      </c>
      <c r="U430" s="3">
        <v>0</v>
      </c>
      <c r="V430" s="3">
        <v>1999</v>
      </c>
      <c r="W430" s="3">
        <v>973600</v>
      </c>
      <c r="X430" s="3">
        <v>7162400</v>
      </c>
      <c r="Y430" s="3">
        <v>6188800</v>
      </c>
      <c r="Z430" s="3">
        <v>6112100</v>
      </c>
      <c r="AA430" s="3">
        <v>1050300</v>
      </c>
      <c r="AB430" s="3">
        <v>17</v>
      </c>
    </row>
    <row r="431" spans="1:28" x14ac:dyDescent="0.35">
      <c r="A431">
        <v>2022</v>
      </c>
      <c r="B431" t="str">
        <f t="shared" si="51"/>
        <v>25</v>
      </c>
      <c r="C431" t="s">
        <v>192</v>
      </c>
      <c r="D431" t="s">
        <v>33</v>
      </c>
      <c r="E431" t="str">
        <f>"177"</f>
        <v>177</v>
      </c>
      <c r="F431" t="s">
        <v>196</v>
      </c>
      <c r="G431" t="str">
        <f>"001"</f>
        <v>001</v>
      </c>
      <c r="H431" t="str">
        <f>"1428"</f>
        <v>1428</v>
      </c>
      <c r="I431" s="3">
        <v>6992300</v>
      </c>
      <c r="J431" s="3">
        <v>73.13</v>
      </c>
      <c r="K431" s="3">
        <v>9561500</v>
      </c>
      <c r="L431" s="3">
        <v>0</v>
      </c>
      <c r="M431" s="3">
        <v>9561500</v>
      </c>
      <c r="N431" s="3">
        <v>0</v>
      </c>
      <c r="O431" s="3">
        <v>0</v>
      </c>
      <c r="P431" s="3">
        <v>0</v>
      </c>
      <c r="Q431" s="3">
        <v>0</v>
      </c>
      <c r="R431" s="3">
        <v>22800</v>
      </c>
      <c r="S431" s="3">
        <v>0</v>
      </c>
      <c r="T431" s="3">
        <v>0</v>
      </c>
      <c r="U431" s="3">
        <v>0</v>
      </c>
      <c r="V431" s="3">
        <v>2007</v>
      </c>
      <c r="W431" s="3">
        <v>2902100</v>
      </c>
      <c r="X431" s="3">
        <v>9584300</v>
      </c>
      <c r="Y431" s="3">
        <v>6682200</v>
      </c>
      <c r="Z431" s="3">
        <v>7375600</v>
      </c>
      <c r="AA431" s="3">
        <v>2208700</v>
      </c>
      <c r="AB431" s="3">
        <v>30</v>
      </c>
    </row>
    <row r="432" spans="1:28" x14ac:dyDescent="0.35">
      <c r="A432">
        <v>2022</v>
      </c>
      <c r="B432" t="str">
        <f t="shared" si="51"/>
        <v>25</v>
      </c>
      <c r="C432" t="s">
        <v>192</v>
      </c>
      <c r="D432" t="s">
        <v>35</v>
      </c>
      <c r="E432" t="str">
        <f>"216"</f>
        <v>216</v>
      </c>
      <c r="F432" t="s">
        <v>197</v>
      </c>
      <c r="G432" t="str">
        <f>"003"</f>
        <v>003</v>
      </c>
      <c r="H432" t="str">
        <f>"1428"</f>
        <v>1428</v>
      </c>
      <c r="I432" s="3">
        <v>3112000</v>
      </c>
      <c r="J432" s="3">
        <v>100</v>
      </c>
      <c r="K432" s="3">
        <v>3112000</v>
      </c>
      <c r="L432" s="3">
        <v>1400000</v>
      </c>
      <c r="M432" s="3">
        <v>1400000</v>
      </c>
      <c r="N432" s="3">
        <v>1555200</v>
      </c>
      <c r="O432" s="3">
        <v>1555200</v>
      </c>
      <c r="P432" s="3">
        <v>38700</v>
      </c>
      <c r="Q432" s="3">
        <v>38700</v>
      </c>
      <c r="R432" s="3">
        <v>1700</v>
      </c>
      <c r="S432" s="3">
        <v>0</v>
      </c>
      <c r="T432" s="3">
        <v>0</v>
      </c>
      <c r="U432" s="3">
        <v>0</v>
      </c>
      <c r="V432" s="3">
        <v>2020</v>
      </c>
      <c r="W432" s="3">
        <v>1867900</v>
      </c>
      <c r="X432" s="3">
        <v>2995600</v>
      </c>
      <c r="Y432" s="3">
        <v>1127700</v>
      </c>
      <c r="Z432" s="3">
        <v>1925400</v>
      </c>
      <c r="AA432" s="3">
        <v>1070200</v>
      </c>
      <c r="AB432" s="3">
        <v>56</v>
      </c>
    </row>
    <row r="433" spans="1:28" x14ac:dyDescent="0.35">
      <c r="A433">
        <v>2022</v>
      </c>
      <c r="B433" t="str">
        <f t="shared" ref="B433:B441" si="52">"27"</f>
        <v>27</v>
      </c>
      <c r="C433" t="s">
        <v>198</v>
      </c>
      <c r="D433" t="s">
        <v>33</v>
      </c>
      <c r="E433" t="str">
        <f>"136"</f>
        <v>136</v>
      </c>
      <c r="F433" t="s">
        <v>199</v>
      </c>
      <c r="G433" t="str">
        <f>"001"</f>
        <v>001</v>
      </c>
      <c r="H433" t="str">
        <f>"0476"</f>
        <v>0476</v>
      </c>
      <c r="I433" s="3">
        <v>9745300</v>
      </c>
      <c r="J433" s="3">
        <v>100</v>
      </c>
      <c r="K433" s="3">
        <v>9745300</v>
      </c>
      <c r="L433" s="3">
        <v>0</v>
      </c>
      <c r="M433" s="3">
        <v>9745300</v>
      </c>
      <c r="N433" s="3">
        <v>0</v>
      </c>
      <c r="O433" s="3">
        <v>0</v>
      </c>
      <c r="P433" s="3">
        <v>66400</v>
      </c>
      <c r="Q433" s="3">
        <v>66400</v>
      </c>
      <c r="R433" s="3">
        <v>-124800</v>
      </c>
      <c r="S433" s="3">
        <v>0</v>
      </c>
      <c r="T433" s="3">
        <v>0</v>
      </c>
      <c r="U433" s="3">
        <v>0</v>
      </c>
      <c r="V433" s="3">
        <v>2007</v>
      </c>
      <c r="W433" s="3">
        <v>1557000</v>
      </c>
      <c r="X433" s="3">
        <v>9686900</v>
      </c>
      <c r="Y433" s="3">
        <v>8129900</v>
      </c>
      <c r="Z433" s="3">
        <v>10867400</v>
      </c>
      <c r="AA433" s="3">
        <v>-1180500</v>
      </c>
      <c r="AB433" s="3">
        <v>-11</v>
      </c>
    </row>
    <row r="434" spans="1:28" x14ac:dyDescent="0.35">
      <c r="A434">
        <v>2022</v>
      </c>
      <c r="B434" t="str">
        <f t="shared" si="52"/>
        <v>27</v>
      </c>
      <c r="C434" t="s">
        <v>198</v>
      </c>
      <c r="D434" t="s">
        <v>33</v>
      </c>
      <c r="E434" t="str">
        <f>"152"</f>
        <v>152</v>
      </c>
      <c r="F434" t="s">
        <v>200</v>
      </c>
      <c r="G434" t="str">
        <f>"001"</f>
        <v>001</v>
      </c>
      <c r="H434" t="str">
        <f>"0091"</f>
        <v>0091</v>
      </c>
      <c r="I434" s="3">
        <v>3725500</v>
      </c>
      <c r="J434" s="3">
        <v>91.12</v>
      </c>
      <c r="K434" s="3">
        <v>4088600</v>
      </c>
      <c r="L434" s="3">
        <v>0</v>
      </c>
      <c r="M434" s="3">
        <v>4088600</v>
      </c>
      <c r="N434" s="3">
        <v>0</v>
      </c>
      <c r="O434" s="3">
        <v>0</v>
      </c>
      <c r="P434" s="3">
        <v>0</v>
      </c>
      <c r="Q434" s="3">
        <v>0</v>
      </c>
      <c r="R434" s="3">
        <v>-75100</v>
      </c>
      <c r="S434" s="3">
        <v>0</v>
      </c>
      <c r="T434" s="3">
        <v>0</v>
      </c>
      <c r="U434" s="3">
        <v>0</v>
      </c>
      <c r="V434" s="3">
        <v>2018</v>
      </c>
      <c r="W434" s="3">
        <v>2520600</v>
      </c>
      <c r="X434" s="3">
        <v>4013500</v>
      </c>
      <c r="Y434" s="3">
        <v>1492900</v>
      </c>
      <c r="Z434" s="3">
        <v>3787700</v>
      </c>
      <c r="AA434" s="3">
        <v>225800</v>
      </c>
      <c r="AB434" s="3">
        <v>6</v>
      </c>
    </row>
    <row r="435" spans="1:28" x14ac:dyDescent="0.35">
      <c r="A435">
        <v>2022</v>
      </c>
      <c r="B435" t="str">
        <f t="shared" si="52"/>
        <v>27</v>
      </c>
      <c r="C435" t="s">
        <v>198</v>
      </c>
      <c r="D435" t="s">
        <v>33</v>
      </c>
      <c r="E435" t="str">
        <f>"186"</f>
        <v>186</v>
      </c>
      <c r="F435" t="s">
        <v>201</v>
      </c>
      <c r="G435" t="str">
        <f>"004"</f>
        <v>004</v>
      </c>
      <c r="H435" t="str">
        <f>"0485"</f>
        <v>0485</v>
      </c>
      <c r="I435" s="3">
        <v>764800</v>
      </c>
      <c r="J435" s="3">
        <v>76.290000000000006</v>
      </c>
      <c r="K435" s="3">
        <v>1002500</v>
      </c>
      <c r="L435" s="3">
        <v>0</v>
      </c>
      <c r="M435" s="3">
        <v>1002500</v>
      </c>
      <c r="N435" s="3">
        <v>0</v>
      </c>
      <c r="O435" s="3">
        <v>0</v>
      </c>
      <c r="P435" s="3">
        <v>0</v>
      </c>
      <c r="Q435" s="3">
        <v>0</v>
      </c>
      <c r="R435" s="3">
        <v>1300</v>
      </c>
      <c r="S435" s="3">
        <v>0</v>
      </c>
      <c r="T435" s="3">
        <v>0</v>
      </c>
      <c r="U435" s="3">
        <v>0</v>
      </c>
      <c r="V435" s="3">
        <v>1999</v>
      </c>
      <c r="W435" s="3">
        <v>398800</v>
      </c>
      <c r="X435" s="3">
        <v>1003800</v>
      </c>
      <c r="Y435" s="3">
        <v>605000</v>
      </c>
      <c r="Z435" s="3">
        <v>936700</v>
      </c>
      <c r="AA435" s="3">
        <v>67100</v>
      </c>
      <c r="AB435" s="3">
        <v>7</v>
      </c>
    </row>
    <row r="436" spans="1:28" x14ac:dyDescent="0.35">
      <c r="A436">
        <v>2022</v>
      </c>
      <c r="B436" t="str">
        <f t="shared" si="52"/>
        <v>27</v>
      </c>
      <c r="C436" t="s">
        <v>198</v>
      </c>
      <c r="D436" t="s">
        <v>35</v>
      </c>
      <c r="E436" t="str">
        <f t="shared" ref="E436:E441" si="53">"206"</f>
        <v>206</v>
      </c>
      <c r="F436" t="s">
        <v>202</v>
      </c>
      <c r="G436" t="str">
        <f>"003"</f>
        <v>003</v>
      </c>
      <c r="H436" t="str">
        <f t="shared" ref="H436:H441" si="54">"0476"</f>
        <v>0476</v>
      </c>
      <c r="I436" s="3">
        <v>12339300</v>
      </c>
      <c r="J436" s="3">
        <v>75.069999999999993</v>
      </c>
      <c r="K436" s="3">
        <v>16437100</v>
      </c>
      <c r="L436" s="3">
        <v>0</v>
      </c>
      <c r="M436" s="3">
        <v>16437100</v>
      </c>
      <c r="N436" s="3">
        <v>0</v>
      </c>
      <c r="O436" s="3">
        <v>0</v>
      </c>
      <c r="P436" s="3">
        <v>0</v>
      </c>
      <c r="Q436" s="3">
        <v>0</v>
      </c>
      <c r="R436" s="3">
        <v>30200</v>
      </c>
      <c r="S436" s="3">
        <v>0</v>
      </c>
      <c r="T436" s="3">
        <v>0</v>
      </c>
      <c r="U436" s="3">
        <v>0</v>
      </c>
      <c r="V436" s="3">
        <v>2002</v>
      </c>
      <c r="W436" s="3">
        <v>496100</v>
      </c>
      <c r="X436" s="3">
        <v>16467300</v>
      </c>
      <c r="Y436" s="3">
        <v>15971200</v>
      </c>
      <c r="Z436" s="3">
        <v>14870900</v>
      </c>
      <c r="AA436" s="3">
        <v>1596400</v>
      </c>
      <c r="AB436" s="3">
        <v>11</v>
      </c>
    </row>
    <row r="437" spans="1:28" x14ac:dyDescent="0.35">
      <c r="A437">
        <v>2022</v>
      </c>
      <c r="B437" t="str">
        <f t="shared" si="52"/>
        <v>27</v>
      </c>
      <c r="C437" t="s">
        <v>198</v>
      </c>
      <c r="D437" t="s">
        <v>35</v>
      </c>
      <c r="E437" t="str">
        <f t="shared" si="53"/>
        <v>206</v>
      </c>
      <c r="F437" t="s">
        <v>202</v>
      </c>
      <c r="G437" t="str">
        <f>"004"</f>
        <v>004</v>
      </c>
      <c r="H437" t="str">
        <f t="shared" si="54"/>
        <v>0476</v>
      </c>
      <c r="I437" s="3">
        <v>6418400</v>
      </c>
      <c r="J437" s="3">
        <v>75.069999999999993</v>
      </c>
      <c r="K437" s="3">
        <v>8549900</v>
      </c>
      <c r="L437" s="3">
        <v>0</v>
      </c>
      <c r="M437" s="3">
        <v>8549900</v>
      </c>
      <c r="N437" s="3">
        <v>0</v>
      </c>
      <c r="O437" s="3">
        <v>0</v>
      </c>
      <c r="P437" s="3">
        <v>0</v>
      </c>
      <c r="Q437" s="3">
        <v>0</v>
      </c>
      <c r="R437" s="3">
        <v>15900</v>
      </c>
      <c r="S437" s="3">
        <v>0</v>
      </c>
      <c r="T437" s="3">
        <v>0</v>
      </c>
      <c r="U437" s="3">
        <v>0</v>
      </c>
      <c r="V437" s="3">
        <v>2003</v>
      </c>
      <c r="W437" s="3">
        <v>462200</v>
      </c>
      <c r="X437" s="3">
        <v>8565800</v>
      </c>
      <c r="Y437" s="3">
        <v>8103600</v>
      </c>
      <c r="Z437" s="3">
        <v>7705400</v>
      </c>
      <c r="AA437" s="3">
        <v>860400</v>
      </c>
      <c r="AB437" s="3">
        <v>11</v>
      </c>
    </row>
    <row r="438" spans="1:28" x14ac:dyDescent="0.35">
      <c r="A438">
        <v>2022</v>
      </c>
      <c r="B438" t="str">
        <f t="shared" si="52"/>
        <v>27</v>
      </c>
      <c r="C438" t="s">
        <v>198</v>
      </c>
      <c r="D438" t="s">
        <v>35</v>
      </c>
      <c r="E438" t="str">
        <f t="shared" si="53"/>
        <v>206</v>
      </c>
      <c r="F438" t="s">
        <v>202</v>
      </c>
      <c r="G438" t="str">
        <f>"005"</f>
        <v>005</v>
      </c>
      <c r="H438" t="str">
        <f t="shared" si="54"/>
        <v>0476</v>
      </c>
      <c r="I438" s="3">
        <v>233800</v>
      </c>
      <c r="J438" s="3">
        <v>75.069999999999993</v>
      </c>
      <c r="K438" s="3">
        <v>311400</v>
      </c>
      <c r="L438" s="3">
        <v>0</v>
      </c>
      <c r="M438" s="3">
        <v>311400</v>
      </c>
      <c r="N438" s="3">
        <v>0</v>
      </c>
      <c r="O438" s="3">
        <v>0</v>
      </c>
      <c r="P438" s="3">
        <v>0</v>
      </c>
      <c r="Q438" s="3">
        <v>0</v>
      </c>
      <c r="R438" s="3">
        <v>1100</v>
      </c>
      <c r="S438" s="3">
        <v>0</v>
      </c>
      <c r="T438" s="3">
        <v>0</v>
      </c>
      <c r="U438" s="3">
        <v>262700</v>
      </c>
      <c r="V438" s="3">
        <v>2008</v>
      </c>
      <c r="W438" s="3">
        <v>721700</v>
      </c>
      <c r="X438" s="3">
        <v>575200</v>
      </c>
      <c r="Y438" s="3">
        <v>-146500</v>
      </c>
      <c r="Z438" s="3">
        <v>541400</v>
      </c>
      <c r="AA438" s="3">
        <v>33800</v>
      </c>
      <c r="AB438" s="3">
        <v>6</v>
      </c>
    </row>
    <row r="439" spans="1:28" x14ac:dyDescent="0.35">
      <c r="A439">
        <v>2022</v>
      </c>
      <c r="B439" t="str">
        <f t="shared" si="52"/>
        <v>27</v>
      </c>
      <c r="C439" t="s">
        <v>198</v>
      </c>
      <c r="D439" t="s">
        <v>35</v>
      </c>
      <c r="E439" t="str">
        <f t="shared" si="53"/>
        <v>206</v>
      </c>
      <c r="F439" t="s">
        <v>202</v>
      </c>
      <c r="G439" t="str">
        <f>"006"</f>
        <v>006</v>
      </c>
      <c r="H439" t="str">
        <f t="shared" si="54"/>
        <v>0476</v>
      </c>
      <c r="I439" s="3">
        <v>7782400</v>
      </c>
      <c r="J439" s="3">
        <v>75.069999999999993</v>
      </c>
      <c r="K439" s="3">
        <v>10366900</v>
      </c>
      <c r="L439" s="3">
        <v>0</v>
      </c>
      <c r="M439" s="3">
        <v>10366900</v>
      </c>
      <c r="N439" s="3">
        <v>0</v>
      </c>
      <c r="O439" s="3">
        <v>0</v>
      </c>
      <c r="P439" s="3">
        <v>0</v>
      </c>
      <c r="Q439" s="3">
        <v>0</v>
      </c>
      <c r="R439" s="3">
        <v>20900</v>
      </c>
      <c r="S439" s="3">
        <v>0</v>
      </c>
      <c r="T439" s="3">
        <v>0</v>
      </c>
      <c r="U439" s="3">
        <v>0</v>
      </c>
      <c r="V439" s="3">
        <v>2017</v>
      </c>
      <c r="W439" s="3">
        <v>7792200</v>
      </c>
      <c r="X439" s="3">
        <v>10387800</v>
      </c>
      <c r="Y439" s="3">
        <v>2595600</v>
      </c>
      <c r="Z439" s="3">
        <v>9296100</v>
      </c>
      <c r="AA439" s="3">
        <v>1091700</v>
      </c>
      <c r="AB439" s="3">
        <v>12</v>
      </c>
    </row>
    <row r="440" spans="1:28" x14ac:dyDescent="0.35">
      <c r="A440">
        <v>2022</v>
      </c>
      <c r="B440" t="str">
        <f t="shared" si="52"/>
        <v>27</v>
      </c>
      <c r="C440" t="s">
        <v>198</v>
      </c>
      <c r="D440" t="s">
        <v>35</v>
      </c>
      <c r="E440" t="str">
        <f t="shared" si="53"/>
        <v>206</v>
      </c>
      <c r="F440" t="s">
        <v>202</v>
      </c>
      <c r="G440" t="str">
        <f>"007"</f>
        <v>007</v>
      </c>
      <c r="H440" t="str">
        <f t="shared" si="54"/>
        <v>0476</v>
      </c>
      <c r="I440" s="3">
        <v>246700</v>
      </c>
      <c r="J440" s="3">
        <v>75.069999999999993</v>
      </c>
      <c r="K440" s="3">
        <v>328600</v>
      </c>
      <c r="L440" s="3">
        <v>0</v>
      </c>
      <c r="M440" s="3">
        <v>328600</v>
      </c>
      <c r="N440" s="3">
        <v>0</v>
      </c>
      <c r="O440" s="3">
        <v>0</v>
      </c>
      <c r="P440" s="3">
        <v>0</v>
      </c>
      <c r="Q440" s="3">
        <v>0</v>
      </c>
      <c r="R440" s="3">
        <v>600</v>
      </c>
      <c r="S440" s="3">
        <v>0</v>
      </c>
      <c r="T440" s="3">
        <v>0</v>
      </c>
      <c r="U440" s="3">
        <v>0</v>
      </c>
      <c r="V440" s="3">
        <v>2017</v>
      </c>
      <c r="W440" s="3">
        <v>0</v>
      </c>
      <c r="X440" s="3">
        <v>329200</v>
      </c>
      <c r="Y440" s="3">
        <v>329200</v>
      </c>
      <c r="Z440" s="3">
        <v>292900</v>
      </c>
      <c r="AA440" s="3">
        <v>36300</v>
      </c>
      <c r="AB440" s="3">
        <v>12</v>
      </c>
    </row>
    <row r="441" spans="1:28" x14ac:dyDescent="0.35">
      <c r="A441">
        <v>2022</v>
      </c>
      <c r="B441" t="str">
        <f t="shared" si="52"/>
        <v>27</v>
      </c>
      <c r="C441" t="s">
        <v>198</v>
      </c>
      <c r="D441" t="s">
        <v>35</v>
      </c>
      <c r="E441" t="str">
        <f t="shared" si="53"/>
        <v>206</v>
      </c>
      <c r="F441" t="s">
        <v>202</v>
      </c>
      <c r="G441" t="str">
        <f>"008"</f>
        <v>008</v>
      </c>
      <c r="H441" t="str">
        <f t="shared" si="54"/>
        <v>0476</v>
      </c>
      <c r="I441" s="3">
        <v>333000</v>
      </c>
      <c r="J441" s="3">
        <v>75.069999999999993</v>
      </c>
      <c r="K441" s="3">
        <v>443600</v>
      </c>
      <c r="L441" s="3">
        <v>0</v>
      </c>
      <c r="M441" s="3">
        <v>443600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3">
        <v>2021</v>
      </c>
      <c r="W441" s="3">
        <v>338600</v>
      </c>
      <c r="X441" s="3">
        <v>443600</v>
      </c>
      <c r="Y441" s="3">
        <v>105000</v>
      </c>
      <c r="Z441" s="3">
        <v>338600</v>
      </c>
      <c r="AA441" s="3">
        <v>105000</v>
      </c>
      <c r="AB441" s="3">
        <v>31</v>
      </c>
    </row>
    <row r="442" spans="1:28" x14ac:dyDescent="0.35">
      <c r="A442">
        <v>2022</v>
      </c>
      <c r="B442" t="str">
        <f t="shared" ref="B442:B467" si="55">"28"</f>
        <v>28</v>
      </c>
      <c r="C442" t="s">
        <v>203</v>
      </c>
      <c r="D442" t="s">
        <v>33</v>
      </c>
      <c r="E442" t="str">
        <f>"141"</f>
        <v>141</v>
      </c>
      <c r="F442" t="s">
        <v>204</v>
      </c>
      <c r="G442" t="str">
        <f>"004"</f>
        <v>004</v>
      </c>
      <c r="H442" t="str">
        <f>"2730"</f>
        <v>2730</v>
      </c>
      <c r="I442" s="3">
        <v>5648800</v>
      </c>
      <c r="J442" s="3">
        <v>100</v>
      </c>
      <c r="K442" s="3">
        <v>5648800</v>
      </c>
      <c r="L442" s="3">
        <v>0</v>
      </c>
      <c r="M442" s="3">
        <v>5648800</v>
      </c>
      <c r="N442" s="3">
        <v>9571400</v>
      </c>
      <c r="O442" s="3">
        <v>9571400</v>
      </c>
      <c r="P442" s="3">
        <v>331700</v>
      </c>
      <c r="Q442" s="3">
        <v>331700</v>
      </c>
      <c r="R442" s="3">
        <v>0</v>
      </c>
      <c r="S442" s="3">
        <v>0</v>
      </c>
      <c r="T442" s="3">
        <v>0</v>
      </c>
      <c r="U442" s="3">
        <v>0</v>
      </c>
      <c r="V442" s="3">
        <v>2021</v>
      </c>
      <c r="W442" s="3">
        <v>14106800</v>
      </c>
      <c r="X442" s="3">
        <v>15551900</v>
      </c>
      <c r="Y442" s="3">
        <v>1445100</v>
      </c>
      <c r="Z442" s="3">
        <v>14106800</v>
      </c>
      <c r="AA442" s="3">
        <v>1445100</v>
      </c>
      <c r="AB442" s="3">
        <v>10</v>
      </c>
    </row>
    <row r="443" spans="1:28" x14ac:dyDescent="0.35">
      <c r="A443">
        <v>2022</v>
      </c>
      <c r="B443" t="str">
        <f t="shared" si="55"/>
        <v>28</v>
      </c>
      <c r="C443" t="s">
        <v>203</v>
      </c>
      <c r="D443" t="s">
        <v>33</v>
      </c>
      <c r="E443" t="str">
        <f>"171"</f>
        <v>171</v>
      </c>
      <c r="F443" t="s">
        <v>205</v>
      </c>
      <c r="G443" t="str">
        <f>"003"</f>
        <v>003</v>
      </c>
      <c r="H443" t="str">
        <f>"4221"</f>
        <v>4221</v>
      </c>
      <c r="I443" s="3">
        <v>10800</v>
      </c>
      <c r="J443" s="3">
        <v>79.11</v>
      </c>
      <c r="K443" s="3">
        <v>13700</v>
      </c>
      <c r="L443" s="3">
        <v>0</v>
      </c>
      <c r="M443" s="3">
        <v>13700</v>
      </c>
      <c r="N443" s="3">
        <v>7082000</v>
      </c>
      <c r="O443" s="3">
        <v>7082000</v>
      </c>
      <c r="P443" s="3">
        <v>1575500</v>
      </c>
      <c r="Q443" s="3">
        <v>1575500</v>
      </c>
      <c r="R443" s="3">
        <v>-100</v>
      </c>
      <c r="S443" s="3">
        <v>0</v>
      </c>
      <c r="T443" s="3">
        <v>0</v>
      </c>
      <c r="U443" s="3">
        <v>0</v>
      </c>
      <c r="V443" s="3">
        <v>2006</v>
      </c>
      <c r="W443" s="3">
        <v>442200</v>
      </c>
      <c r="X443" s="3">
        <v>8671100</v>
      </c>
      <c r="Y443" s="3">
        <v>8228900</v>
      </c>
      <c r="Z443" s="3">
        <v>8998000</v>
      </c>
      <c r="AA443" s="3">
        <v>-326900</v>
      </c>
      <c r="AB443" s="3">
        <v>-4</v>
      </c>
    </row>
    <row r="444" spans="1:28" x14ac:dyDescent="0.35">
      <c r="A444">
        <v>2022</v>
      </c>
      <c r="B444" t="str">
        <f t="shared" si="55"/>
        <v>28</v>
      </c>
      <c r="C444" t="s">
        <v>203</v>
      </c>
      <c r="D444" t="s">
        <v>35</v>
      </c>
      <c r="E444" t="str">
        <f>"226"</f>
        <v>226</v>
      </c>
      <c r="F444" t="s">
        <v>206</v>
      </c>
      <c r="G444" t="str">
        <f>"006"</f>
        <v>006</v>
      </c>
      <c r="H444" t="str">
        <f>"1883"</f>
        <v>1883</v>
      </c>
      <c r="I444" s="3">
        <v>4550900</v>
      </c>
      <c r="J444" s="3">
        <v>73.58</v>
      </c>
      <c r="K444" s="3">
        <v>6185000</v>
      </c>
      <c r="L444" s="3">
        <v>0</v>
      </c>
      <c r="M444" s="3">
        <v>6185000</v>
      </c>
      <c r="N444" s="3">
        <v>2253900</v>
      </c>
      <c r="O444" s="3">
        <v>2253900</v>
      </c>
      <c r="P444" s="3">
        <v>85500</v>
      </c>
      <c r="Q444" s="3">
        <v>85500</v>
      </c>
      <c r="R444" s="3">
        <v>-5100</v>
      </c>
      <c r="S444" s="3">
        <v>0</v>
      </c>
      <c r="T444" s="3">
        <v>0</v>
      </c>
      <c r="U444" s="3">
        <v>0</v>
      </c>
      <c r="V444" s="3">
        <v>2000</v>
      </c>
      <c r="W444" s="3">
        <v>1135400</v>
      </c>
      <c r="X444" s="3">
        <v>8519300</v>
      </c>
      <c r="Y444" s="3">
        <v>7383900</v>
      </c>
      <c r="Z444" s="3">
        <v>7538300</v>
      </c>
      <c r="AA444" s="3">
        <v>981000</v>
      </c>
      <c r="AB444" s="3">
        <v>13</v>
      </c>
    </row>
    <row r="445" spans="1:28" x14ac:dyDescent="0.35">
      <c r="A445">
        <v>2022</v>
      </c>
      <c r="B445" t="str">
        <f t="shared" si="55"/>
        <v>28</v>
      </c>
      <c r="C445" t="s">
        <v>203</v>
      </c>
      <c r="D445" t="s">
        <v>35</v>
      </c>
      <c r="E445" t="str">
        <f>"226"</f>
        <v>226</v>
      </c>
      <c r="F445" t="s">
        <v>206</v>
      </c>
      <c r="G445" t="str">
        <f>"007"</f>
        <v>007</v>
      </c>
      <c r="H445" t="str">
        <f>"1883"</f>
        <v>1883</v>
      </c>
      <c r="I445" s="3">
        <v>25287300</v>
      </c>
      <c r="J445" s="3">
        <v>73.58</v>
      </c>
      <c r="K445" s="3">
        <v>34367100</v>
      </c>
      <c r="L445" s="3">
        <v>0</v>
      </c>
      <c r="M445" s="3">
        <v>34367100</v>
      </c>
      <c r="N445" s="3">
        <v>0</v>
      </c>
      <c r="O445" s="3">
        <v>0</v>
      </c>
      <c r="P445" s="3">
        <v>0</v>
      </c>
      <c r="Q445" s="3">
        <v>0</v>
      </c>
      <c r="R445" s="3">
        <v>-30100</v>
      </c>
      <c r="S445" s="3">
        <v>0</v>
      </c>
      <c r="T445" s="3">
        <v>0</v>
      </c>
      <c r="U445" s="3">
        <v>0</v>
      </c>
      <c r="V445" s="3">
        <v>2000</v>
      </c>
      <c r="W445" s="3">
        <v>11587900</v>
      </c>
      <c r="X445" s="3">
        <v>34337000</v>
      </c>
      <c r="Y445" s="3">
        <v>22749100</v>
      </c>
      <c r="Z445" s="3">
        <v>31758700</v>
      </c>
      <c r="AA445" s="3">
        <v>2578300</v>
      </c>
      <c r="AB445" s="3">
        <v>8</v>
      </c>
    </row>
    <row r="446" spans="1:28" x14ac:dyDescent="0.35">
      <c r="A446">
        <v>2022</v>
      </c>
      <c r="B446" t="str">
        <f t="shared" si="55"/>
        <v>28</v>
      </c>
      <c r="C446" t="s">
        <v>203</v>
      </c>
      <c r="D446" t="s">
        <v>35</v>
      </c>
      <c r="E446" t="str">
        <f>"226"</f>
        <v>226</v>
      </c>
      <c r="F446" t="s">
        <v>206</v>
      </c>
      <c r="G446" t="str">
        <f>"008"</f>
        <v>008</v>
      </c>
      <c r="H446" t="str">
        <f>"1883"</f>
        <v>1883</v>
      </c>
      <c r="I446" s="3">
        <v>56202700</v>
      </c>
      <c r="J446" s="3">
        <v>73.58</v>
      </c>
      <c r="K446" s="3">
        <v>76383100</v>
      </c>
      <c r="L446" s="3">
        <v>0</v>
      </c>
      <c r="M446" s="3">
        <v>76383100</v>
      </c>
      <c r="N446" s="3">
        <v>0</v>
      </c>
      <c r="O446" s="3">
        <v>0</v>
      </c>
      <c r="P446" s="3">
        <v>0</v>
      </c>
      <c r="Q446" s="3">
        <v>0</v>
      </c>
      <c r="R446" s="3">
        <v>-61800</v>
      </c>
      <c r="S446" s="3">
        <v>0</v>
      </c>
      <c r="T446" s="3">
        <v>0</v>
      </c>
      <c r="U446" s="3">
        <v>0</v>
      </c>
      <c r="V446" s="3">
        <v>2009</v>
      </c>
      <c r="W446" s="3">
        <v>28584200</v>
      </c>
      <c r="X446" s="3">
        <v>76321300</v>
      </c>
      <c r="Y446" s="3">
        <v>47737100</v>
      </c>
      <c r="Z446" s="3">
        <v>65204300</v>
      </c>
      <c r="AA446" s="3">
        <v>11117000</v>
      </c>
      <c r="AB446" s="3">
        <v>17</v>
      </c>
    </row>
    <row r="447" spans="1:28" x14ac:dyDescent="0.35">
      <c r="A447">
        <v>2022</v>
      </c>
      <c r="B447" t="str">
        <f t="shared" si="55"/>
        <v>28</v>
      </c>
      <c r="C447" t="s">
        <v>203</v>
      </c>
      <c r="D447" t="s">
        <v>35</v>
      </c>
      <c r="E447" t="str">
        <f>"241"</f>
        <v>241</v>
      </c>
      <c r="F447" t="s">
        <v>203</v>
      </c>
      <c r="G447" t="str">
        <f>"005"</f>
        <v>005</v>
      </c>
      <c r="H447" t="str">
        <f>"2702"</f>
        <v>2702</v>
      </c>
      <c r="I447" s="3">
        <v>37708800</v>
      </c>
      <c r="J447" s="3">
        <v>100</v>
      </c>
      <c r="K447" s="3">
        <v>37708800</v>
      </c>
      <c r="L447" s="3">
        <v>0</v>
      </c>
      <c r="M447" s="3">
        <v>37708800</v>
      </c>
      <c r="N447" s="3">
        <v>0</v>
      </c>
      <c r="O447" s="3">
        <v>0</v>
      </c>
      <c r="P447" s="3">
        <v>0</v>
      </c>
      <c r="Q447" s="3">
        <v>0</v>
      </c>
      <c r="R447" s="3">
        <v>2308400</v>
      </c>
      <c r="S447" s="3">
        <v>0</v>
      </c>
      <c r="T447" s="3">
        <v>0</v>
      </c>
      <c r="U447" s="3">
        <v>0</v>
      </c>
      <c r="V447" s="3">
        <v>2001</v>
      </c>
      <c r="W447" s="3">
        <v>21437300</v>
      </c>
      <c r="X447" s="3">
        <v>40017200</v>
      </c>
      <c r="Y447" s="3">
        <v>18579900</v>
      </c>
      <c r="Z447" s="3">
        <v>35026600</v>
      </c>
      <c r="AA447" s="3">
        <v>4990600</v>
      </c>
      <c r="AB447" s="3">
        <v>14</v>
      </c>
    </row>
    <row r="448" spans="1:28" x14ac:dyDescent="0.35">
      <c r="A448">
        <v>2022</v>
      </c>
      <c r="B448" t="str">
        <f t="shared" si="55"/>
        <v>28</v>
      </c>
      <c r="C448" t="s">
        <v>203</v>
      </c>
      <c r="D448" t="s">
        <v>35</v>
      </c>
      <c r="E448" t="str">
        <f>"241"</f>
        <v>241</v>
      </c>
      <c r="F448" t="s">
        <v>203</v>
      </c>
      <c r="G448" t="str">
        <f>"006"</f>
        <v>006</v>
      </c>
      <c r="H448" t="str">
        <f>"2702"</f>
        <v>2702</v>
      </c>
      <c r="I448" s="3">
        <v>7851900</v>
      </c>
      <c r="J448" s="3">
        <v>100</v>
      </c>
      <c r="K448" s="3">
        <v>7851900</v>
      </c>
      <c r="L448" s="3">
        <v>0</v>
      </c>
      <c r="M448" s="3">
        <v>7851900</v>
      </c>
      <c r="N448" s="3">
        <v>0</v>
      </c>
      <c r="O448" s="3">
        <v>0</v>
      </c>
      <c r="P448" s="3">
        <v>0</v>
      </c>
      <c r="Q448" s="3">
        <v>0</v>
      </c>
      <c r="R448" s="3">
        <v>-24300</v>
      </c>
      <c r="S448" s="3">
        <v>0</v>
      </c>
      <c r="T448" s="3">
        <v>0</v>
      </c>
      <c r="U448" s="3">
        <v>0</v>
      </c>
      <c r="V448" s="3">
        <v>2009</v>
      </c>
      <c r="W448" s="3">
        <v>0</v>
      </c>
      <c r="X448" s="3">
        <v>7827600</v>
      </c>
      <c r="Y448" s="3">
        <v>7827600</v>
      </c>
      <c r="Z448" s="3">
        <v>8104300</v>
      </c>
      <c r="AA448" s="3">
        <v>-276700</v>
      </c>
      <c r="AB448" s="3">
        <v>-3</v>
      </c>
    </row>
    <row r="449" spans="1:28" x14ac:dyDescent="0.35">
      <c r="A449">
        <v>2022</v>
      </c>
      <c r="B449" t="str">
        <f t="shared" si="55"/>
        <v>28</v>
      </c>
      <c r="C449" t="s">
        <v>203</v>
      </c>
      <c r="D449" t="s">
        <v>35</v>
      </c>
      <c r="E449" t="str">
        <f>"241"</f>
        <v>241</v>
      </c>
      <c r="F449" t="s">
        <v>203</v>
      </c>
      <c r="G449" t="str">
        <f>"007"</f>
        <v>007</v>
      </c>
      <c r="H449" t="str">
        <f>"2702"</f>
        <v>2702</v>
      </c>
      <c r="I449" s="3">
        <v>11780500</v>
      </c>
      <c r="J449" s="3">
        <v>100</v>
      </c>
      <c r="K449" s="3">
        <v>11780500</v>
      </c>
      <c r="L449" s="3">
        <v>0</v>
      </c>
      <c r="M449" s="3">
        <v>11780500</v>
      </c>
      <c r="N449" s="3">
        <v>0</v>
      </c>
      <c r="O449" s="3">
        <v>0</v>
      </c>
      <c r="P449" s="3">
        <v>0</v>
      </c>
      <c r="Q449" s="3">
        <v>0</v>
      </c>
      <c r="R449" s="3">
        <v>706700</v>
      </c>
      <c r="S449" s="3">
        <v>0</v>
      </c>
      <c r="T449" s="3">
        <v>0</v>
      </c>
      <c r="U449" s="3">
        <v>0</v>
      </c>
      <c r="V449" s="3">
        <v>2012</v>
      </c>
      <c r="W449" s="3">
        <v>18200</v>
      </c>
      <c r="X449" s="3">
        <v>12487200</v>
      </c>
      <c r="Y449" s="3">
        <v>12469000</v>
      </c>
      <c r="Z449" s="3">
        <v>10700700</v>
      </c>
      <c r="AA449" s="3">
        <v>1786500</v>
      </c>
      <c r="AB449" s="3">
        <v>17</v>
      </c>
    </row>
    <row r="450" spans="1:28" x14ac:dyDescent="0.35">
      <c r="A450">
        <v>2022</v>
      </c>
      <c r="B450" t="str">
        <f t="shared" si="55"/>
        <v>28</v>
      </c>
      <c r="C450" t="s">
        <v>203</v>
      </c>
      <c r="D450" t="s">
        <v>35</v>
      </c>
      <c r="E450" t="str">
        <f>"241"</f>
        <v>241</v>
      </c>
      <c r="F450" t="s">
        <v>203</v>
      </c>
      <c r="G450" t="str">
        <f>"008"</f>
        <v>008</v>
      </c>
      <c r="H450" t="str">
        <f>"2702"</f>
        <v>2702</v>
      </c>
      <c r="I450" s="3">
        <v>1435700</v>
      </c>
      <c r="J450" s="3">
        <v>100</v>
      </c>
      <c r="K450" s="3">
        <v>1435700</v>
      </c>
      <c r="L450" s="3">
        <v>0</v>
      </c>
      <c r="M450" s="3">
        <v>1435700</v>
      </c>
      <c r="N450" s="3">
        <v>0</v>
      </c>
      <c r="O450" s="3">
        <v>0</v>
      </c>
      <c r="P450" s="3">
        <v>0</v>
      </c>
      <c r="Q450" s="3">
        <v>0</v>
      </c>
      <c r="R450" s="3">
        <v>85900</v>
      </c>
      <c r="S450" s="3">
        <v>0</v>
      </c>
      <c r="T450" s="3">
        <v>0</v>
      </c>
      <c r="U450" s="3">
        <v>0</v>
      </c>
      <c r="V450" s="3">
        <v>2015</v>
      </c>
      <c r="W450" s="3">
        <v>873200</v>
      </c>
      <c r="X450" s="3">
        <v>1521600</v>
      </c>
      <c r="Y450" s="3">
        <v>648400</v>
      </c>
      <c r="Z450" s="3">
        <v>1303600</v>
      </c>
      <c r="AA450" s="3">
        <v>218000</v>
      </c>
      <c r="AB450" s="3">
        <v>17</v>
      </c>
    </row>
    <row r="451" spans="1:28" x14ac:dyDescent="0.35">
      <c r="A451">
        <v>2022</v>
      </c>
      <c r="B451" t="str">
        <f t="shared" si="55"/>
        <v>28</v>
      </c>
      <c r="C451" t="s">
        <v>203</v>
      </c>
      <c r="D451" t="s">
        <v>35</v>
      </c>
      <c r="E451" t="str">
        <f>"241"</f>
        <v>241</v>
      </c>
      <c r="F451" t="s">
        <v>203</v>
      </c>
      <c r="G451" t="str">
        <f>"009"</f>
        <v>009</v>
      </c>
      <c r="H451" t="str">
        <f>"2702"</f>
        <v>2702</v>
      </c>
      <c r="I451" s="3">
        <v>5801000</v>
      </c>
      <c r="J451" s="3">
        <v>100</v>
      </c>
      <c r="K451" s="3">
        <v>5801000</v>
      </c>
      <c r="L451" s="3">
        <v>0</v>
      </c>
      <c r="M451" s="3">
        <v>5801000</v>
      </c>
      <c r="N451" s="3">
        <v>0</v>
      </c>
      <c r="O451" s="3">
        <v>0</v>
      </c>
      <c r="P451" s="3">
        <v>0</v>
      </c>
      <c r="Q451" s="3">
        <v>0</v>
      </c>
      <c r="R451" s="3">
        <v>256000</v>
      </c>
      <c r="S451" s="3">
        <v>0</v>
      </c>
      <c r="T451" s="3">
        <v>0</v>
      </c>
      <c r="U451" s="3">
        <v>0</v>
      </c>
      <c r="V451" s="3">
        <v>2019</v>
      </c>
      <c r="W451" s="3">
        <v>15100</v>
      </c>
      <c r="X451" s="3">
        <v>6057000</v>
      </c>
      <c r="Y451" s="3">
        <v>6041900</v>
      </c>
      <c r="Z451" s="3">
        <v>3846600</v>
      </c>
      <c r="AA451" s="3">
        <v>2210400</v>
      </c>
      <c r="AB451" s="3">
        <v>57</v>
      </c>
    </row>
    <row r="452" spans="1:28" x14ac:dyDescent="0.35">
      <c r="A452">
        <v>2022</v>
      </c>
      <c r="B452" t="str">
        <f t="shared" si="55"/>
        <v>28</v>
      </c>
      <c r="C452" t="s">
        <v>203</v>
      </c>
      <c r="D452" t="s">
        <v>35</v>
      </c>
      <c r="E452" t="str">
        <f t="shared" ref="E452:E457" si="56">"246"</f>
        <v>246</v>
      </c>
      <c r="F452" t="s">
        <v>207</v>
      </c>
      <c r="G452" t="str">
        <f>"003"</f>
        <v>003</v>
      </c>
      <c r="H452" t="str">
        <f t="shared" ref="H452:H457" si="57">"2898"</f>
        <v>2898</v>
      </c>
      <c r="I452" s="3">
        <v>7567100</v>
      </c>
      <c r="J452" s="3">
        <v>81.3</v>
      </c>
      <c r="K452" s="3">
        <v>9307600</v>
      </c>
      <c r="L452" s="3">
        <v>0</v>
      </c>
      <c r="M452" s="3">
        <v>9307600</v>
      </c>
      <c r="N452" s="3">
        <v>4211500</v>
      </c>
      <c r="O452" s="3">
        <v>4211500</v>
      </c>
      <c r="P452" s="3">
        <v>110600</v>
      </c>
      <c r="Q452" s="3">
        <v>110600</v>
      </c>
      <c r="R452" s="3">
        <v>15500</v>
      </c>
      <c r="S452" s="3">
        <v>0</v>
      </c>
      <c r="T452" s="3">
        <v>0</v>
      </c>
      <c r="U452" s="3">
        <v>0</v>
      </c>
      <c r="V452" s="3">
        <v>2006</v>
      </c>
      <c r="W452" s="3">
        <v>6993800</v>
      </c>
      <c r="X452" s="3">
        <v>13645200</v>
      </c>
      <c r="Y452" s="3">
        <v>6651400</v>
      </c>
      <c r="Z452" s="3">
        <v>12227600</v>
      </c>
      <c r="AA452" s="3">
        <v>1417600</v>
      </c>
      <c r="AB452" s="3">
        <v>12</v>
      </c>
    </row>
    <row r="453" spans="1:28" x14ac:dyDescent="0.35">
      <c r="A453">
        <v>2022</v>
      </c>
      <c r="B453" t="str">
        <f t="shared" si="55"/>
        <v>28</v>
      </c>
      <c r="C453" t="s">
        <v>203</v>
      </c>
      <c r="D453" t="s">
        <v>35</v>
      </c>
      <c r="E453" t="str">
        <f t="shared" si="56"/>
        <v>246</v>
      </c>
      <c r="F453" t="s">
        <v>207</v>
      </c>
      <c r="G453" t="str">
        <f>"004"</f>
        <v>004</v>
      </c>
      <c r="H453" t="str">
        <f t="shared" si="57"/>
        <v>2898</v>
      </c>
      <c r="I453" s="3">
        <v>17637700</v>
      </c>
      <c r="J453" s="3">
        <v>81.3</v>
      </c>
      <c r="K453" s="3">
        <v>21694600</v>
      </c>
      <c r="L453" s="3">
        <v>0</v>
      </c>
      <c r="M453" s="3">
        <v>21694600</v>
      </c>
      <c r="N453" s="3">
        <v>0</v>
      </c>
      <c r="O453" s="3">
        <v>0</v>
      </c>
      <c r="P453" s="3">
        <v>0</v>
      </c>
      <c r="Q453" s="3">
        <v>0</v>
      </c>
      <c r="R453" s="3">
        <v>38700</v>
      </c>
      <c r="S453" s="3">
        <v>0</v>
      </c>
      <c r="T453" s="3">
        <v>0</v>
      </c>
      <c r="U453" s="3">
        <v>7941800</v>
      </c>
      <c r="V453" s="3">
        <v>2006</v>
      </c>
      <c r="W453" s="3">
        <v>8565400</v>
      </c>
      <c r="X453" s="3">
        <v>29675100</v>
      </c>
      <c r="Y453" s="3">
        <v>21109700</v>
      </c>
      <c r="Z453" s="3">
        <v>27430500</v>
      </c>
      <c r="AA453" s="3">
        <v>2244600</v>
      </c>
      <c r="AB453" s="3">
        <v>8</v>
      </c>
    </row>
    <row r="454" spans="1:28" x14ac:dyDescent="0.35">
      <c r="A454">
        <v>2022</v>
      </c>
      <c r="B454" t="str">
        <f t="shared" si="55"/>
        <v>28</v>
      </c>
      <c r="C454" t="s">
        <v>203</v>
      </c>
      <c r="D454" t="s">
        <v>35</v>
      </c>
      <c r="E454" t="str">
        <f t="shared" si="56"/>
        <v>246</v>
      </c>
      <c r="F454" t="s">
        <v>207</v>
      </c>
      <c r="G454" t="str">
        <f>"005"</f>
        <v>005</v>
      </c>
      <c r="H454" t="str">
        <f t="shared" si="57"/>
        <v>2898</v>
      </c>
      <c r="I454" s="3">
        <v>10007300</v>
      </c>
      <c r="J454" s="3">
        <v>81.3</v>
      </c>
      <c r="K454" s="3">
        <v>12309100</v>
      </c>
      <c r="L454" s="3">
        <v>0</v>
      </c>
      <c r="M454" s="3">
        <v>12309100</v>
      </c>
      <c r="N454" s="3">
        <v>236200</v>
      </c>
      <c r="O454" s="3">
        <v>236200</v>
      </c>
      <c r="P454" s="3">
        <v>185600</v>
      </c>
      <c r="Q454" s="3">
        <v>185600</v>
      </c>
      <c r="R454" s="3">
        <v>11900</v>
      </c>
      <c r="S454" s="3">
        <v>0</v>
      </c>
      <c r="T454" s="3">
        <v>0</v>
      </c>
      <c r="U454" s="3">
        <v>0</v>
      </c>
      <c r="V454" s="3">
        <v>2014</v>
      </c>
      <c r="W454" s="3">
        <v>4388700</v>
      </c>
      <c r="X454" s="3">
        <v>12742800</v>
      </c>
      <c r="Y454" s="3">
        <v>8354100</v>
      </c>
      <c r="Z454" s="3">
        <v>6451400</v>
      </c>
      <c r="AA454" s="3">
        <v>6291400</v>
      </c>
      <c r="AB454" s="3">
        <v>98</v>
      </c>
    </row>
    <row r="455" spans="1:28" x14ac:dyDescent="0.35">
      <c r="A455">
        <v>2022</v>
      </c>
      <c r="B455" t="str">
        <f t="shared" si="55"/>
        <v>28</v>
      </c>
      <c r="C455" t="s">
        <v>203</v>
      </c>
      <c r="D455" t="s">
        <v>35</v>
      </c>
      <c r="E455" t="str">
        <f t="shared" si="56"/>
        <v>246</v>
      </c>
      <c r="F455" t="s">
        <v>207</v>
      </c>
      <c r="G455" t="str">
        <f>"006"</f>
        <v>006</v>
      </c>
      <c r="H455" t="str">
        <f t="shared" si="57"/>
        <v>2898</v>
      </c>
      <c r="I455" s="3">
        <v>3387500</v>
      </c>
      <c r="J455" s="3">
        <v>81.3</v>
      </c>
      <c r="K455" s="3">
        <v>4166700</v>
      </c>
      <c r="L455" s="3">
        <v>0</v>
      </c>
      <c r="M455" s="3">
        <v>4166700</v>
      </c>
      <c r="N455" s="3">
        <v>2300900</v>
      </c>
      <c r="O455" s="3">
        <v>2300900</v>
      </c>
      <c r="P455" s="3">
        <v>65300</v>
      </c>
      <c r="Q455" s="3">
        <v>65300</v>
      </c>
      <c r="R455" s="3">
        <v>7000</v>
      </c>
      <c r="S455" s="3">
        <v>0</v>
      </c>
      <c r="T455" s="3">
        <v>0</v>
      </c>
      <c r="U455" s="3">
        <v>0</v>
      </c>
      <c r="V455" s="3">
        <v>2014</v>
      </c>
      <c r="W455" s="3">
        <v>3312200</v>
      </c>
      <c r="X455" s="3">
        <v>6539900</v>
      </c>
      <c r="Y455" s="3">
        <v>3227700</v>
      </c>
      <c r="Z455" s="3">
        <v>5849700</v>
      </c>
      <c r="AA455" s="3">
        <v>690200</v>
      </c>
      <c r="AB455" s="3">
        <v>12</v>
      </c>
    </row>
    <row r="456" spans="1:28" x14ac:dyDescent="0.35">
      <c r="A456">
        <v>2022</v>
      </c>
      <c r="B456" t="str">
        <f t="shared" si="55"/>
        <v>28</v>
      </c>
      <c r="C456" t="s">
        <v>203</v>
      </c>
      <c r="D456" t="s">
        <v>35</v>
      </c>
      <c r="E456" t="str">
        <f t="shared" si="56"/>
        <v>246</v>
      </c>
      <c r="F456" t="s">
        <v>207</v>
      </c>
      <c r="G456" t="str">
        <f>"007"</f>
        <v>007</v>
      </c>
      <c r="H456" t="str">
        <f t="shared" si="57"/>
        <v>2898</v>
      </c>
      <c r="I456" s="3">
        <v>11158200</v>
      </c>
      <c r="J456" s="3">
        <v>81.3</v>
      </c>
      <c r="K456" s="3">
        <v>13724700</v>
      </c>
      <c r="L456" s="3">
        <v>0</v>
      </c>
      <c r="M456" s="3">
        <v>13724700</v>
      </c>
      <c r="N456" s="3">
        <v>0</v>
      </c>
      <c r="O456" s="3">
        <v>0</v>
      </c>
      <c r="P456" s="3">
        <v>0</v>
      </c>
      <c r="Q456" s="3">
        <v>0</v>
      </c>
      <c r="R456" s="3">
        <v>23800</v>
      </c>
      <c r="S456" s="3">
        <v>0</v>
      </c>
      <c r="T456" s="3">
        <v>0</v>
      </c>
      <c r="U456" s="3">
        <v>0</v>
      </c>
      <c r="V456" s="3">
        <v>2019</v>
      </c>
      <c r="W456" s="3">
        <v>9657200</v>
      </c>
      <c r="X456" s="3">
        <v>13748500</v>
      </c>
      <c r="Y456" s="3">
        <v>4091300</v>
      </c>
      <c r="Z456" s="3">
        <v>11962900</v>
      </c>
      <c r="AA456" s="3">
        <v>1785600</v>
      </c>
      <c r="AB456" s="3">
        <v>15</v>
      </c>
    </row>
    <row r="457" spans="1:28" x14ac:dyDescent="0.35">
      <c r="A457">
        <v>2022</v>
      </c>
      <c r="B457" t="str">
        <f t="shared" si="55"/>
        <v>28</v>
      </c>
      <c r="C457" t="s">
        <v>203</v>
      </c>
      <c r="D457" t="s">
        <v>35</v>
      </c>
      <c r="E457" t="str">
        <f t="shared" si="56"/>
        <v>246</v>
      </c>
      <c r="F457" t="s">
        <v>207</v>
      </c>
      <c r="G457" t="str">
        <f>"008"</f>
        <v>008</v>
      </c>
      <c r="H457" t="str">
        <f t="shared" si="57"/>
        <v>2898</v>
      </c>
      <c r="I457" s="3">
        <v>20708500</v>
      </c>
      <c r="J457" s="3">
        <v>81.3</v>
      </c>
      <c r="K457" s="3">
        <v>25471700</v>
      </c>
      <c r="L457" s="3">
        <v>0</v>
      </c>
      <c r="M457" s="3">
        <v>25471700</v>
      </c>
      <c r="N457" s="3">
        <v>429800</v>
      </c>
      <c r="O457" s="3">
        <v>429800</v>
      </c>
      <c r="P457" s="3">
        <v>4100</v>
      </c>
      <c r="Q457" s="3">
        <v>4100</v>
      </c>
      <c r="R457" s="3">
        <v>0</v>
      </c>
      <c r="S457" s="3">
        <v>0</v>
      </c>
      <c r="T457" s="3">
        <v>0</v>
      </c>
      <c r="U457" s="3">
        <v>0</v>
      </c>
      <c r="V457" s="3">
        <v>2021</v>
      </c>
      <c r="W457" s="3">
        <v>23060500</v>
      </c>
      <c r="X457" s="3">
        <v>25905600</v>
      </c>
      <c r="Y457" s="3">
        <v>2845100</v>
      </c>
      <c r="Z457" s="3">
        <v>23060500</v>
      </c>
      <c r="AA457" s="3">
        <v>2845100</v>
      </c>
      <c r="AB457" s="3">
        <v>12</v>
      </c>
    </row>
    <row r="458" spans="1:28" x14ac:dyDescent="0.35">
      <c r="A458">
        <v>2022</v>
      </c>
      <c r="B458" t="str">
        <f t="shared" si="55"/>
        <v>28</v>
      </c>
      <c r="C458" t="s">
        <v>203</v>
      </c>
      <c r="D458" t="s">
        <v>35</v>
      </c>
      <c r="E458" t="str">
        <f>"290"</f>
        <v>290</v>
      </c>
      <c r="F458" t="s">
        <v>208</v>
      </c>
      <c r="G458" t="str">
        <f>"002"</f>
        <v>002</v>
      </c>
      <c r="H458" t="str">
        <f>"6118"</f>
        <v>6118</v>
      </c>
      <c r="I458" s="3">
        <v>10774800</v>
      </c>
      <c r="J458" s="3">
        <v>90.29</v>
      </c>
      <c r="K458" s="3">
        <v>11933500</v>
      </c>
      <c r="L458" s="3">
        <v>0</v>
      </c>
      <c r="M458" s="3">
        <v>11933500</v>
      </c>
      <c r="N458" s="3">
        <v>175000</v>
      </c>
      <c r="O458" s="3">
        <v>175000</v>
      </c>
      <c r="P458" s="3">
        <v>0</v>
      </c>
      <c r="Q458" s="3">
        <v>0</v>
      </c>
      <c r="R458" s="3">
        <v>-2174600</v>
      </c>
      <c r="S458" s="3">
        <v>0</v>
      </c>
      <c r="T458" s="3">
        <v>0</v>
      </c>
      <c r="U458" s="3">
        <v>0</v>
      </c>
      <c r="V458" s="3">
        <v>2011</v>
      </c>
      <c r="W458" s="3">
        <v>7158000</v>
      </c>
      <c r="X458" s="3">
        <v>9933900</v>
      </c>
      <c r="Y458" s="3">
        <v>2775900</v>
      </c>
      <c r="Z458" s="3">
        <v>12966700</v>
      </c>
      <c r="AA458" s="3">
        <v>-3032800</v>
      </c>
      <c r="AB458" s="3">
        <v>-23</v>
      </c>
    </row>
    <row r="459" spans="1:28" x14ac:dyDescent="0.35">
      <c r="A459">
        <v>2022</v>
      </c>
      <c r="B459" t="str">
        <f t="shared" si="55"/>
        <v>28</v>
      </c>
      <c r="C459" t="s">
        <v>203</v>
      </c>
      <c r="D459" t="s">
        <v>35</v>
      </c>
      <c r="E459" t="str">
        <f>"290"</f>
        <v>290</v>
      </c>
      <c r="F459" t="s">
        <v>208</v>
      </c>
      <c r="G459" t="str">
        <f>"003"</f>
        <v>003</v>
      </c>
      <c r="H459" t="str">
        <f>"6118"</f>
        <v>6118</v>
      </c>
      <c r="I459" s="3">
        <v>338500</v>
      </c>
      <c r="J459" s="3">
        <v>90.29</v>
      </c>
      <c r="K459" s="3">
        <v>374900</v>
      </c>
      <c r="L459" s="3">
        <v>0</v>
      </c>
      <c r="M459" s="3">
        <v>374900</v>
      </c>
      <c r="N459" s="3">
        <v>5234100</v>
      </c>
      <c r="O459" s="3">
        <v>5234100</v>
      </c>
      <c r="P459" s="3">
        <v>130500</v>
      </c>
      <c r="Q459" s="3">
        <v>130500</v>
      </c>
      <c r="R459" s="3">
        <v>-146900</v>
      </c>
      <c r="S459" s="3">
        <v>0</v>
      </c>
      <c r="T459" s="3">
        <v>0</v>
      </c>
      <c r="U459" s="3">
        <v>0</v>
      </c>
      <c r="V459" s="3">
        <v>2012</v>
      </c>
      <c r="W459" s="3">
        <v>1583100</v>
      </c>
      <c r="X459" s="3">
        <v>5592600</v>
      </c>
      <c r="Y459" s="3">
        <v>4009500</v>
      </c>
      <c r="Z459" s="3">
        <v>5626000</v>
      </c>
      <c r="AA459" s="3">
        <v>-33400</v>
      </c>
      <c r="AB459" s="3">
        <v>-1</v>
      </c>
    </row>
    <row r="460" spans="1:28" x14ac:dyDescent="0.35">
      <c r="A460">
        <v>2022</v>
      </c>
      <c r="B460" t="str">
        <f t="shared" si="55"/>
        <v>28</v>
      </c>
      <c r="C460" t="s">
        <v>203</v>
      </c>
      <c r="D460" t="s">
        <v>35</v>
      </c>
      <c r="E460" t="str">
        <f>"290"</f>
        <v>290</v>
      </c>
      <c r="F460" t="s">
        <v>208</v>
      </c>
      <c r="G460" t="str">
        <f>"004"</f>
        <v>004</v>
      </c>
      <c r="H460" t="str">
        <f>"6118"</f>
        <v>6118</v>
      </c>
      <c r="I460" s="3">
        <v>3766700</v>
      </c>
      <c r="J460" s="3">
        <v>90.29</v>
      </c>
      <c r="K460" s="3">
        <v>4171800</v>
      </c>
      <c r="L460" s="3">
        <v>0</v>
      </c>
      <c r="M460" s="3">
        <v>4171800</v>
      </c>
      <c r="N460" s="3">
        <v>0</v>
      </c>
      <c r="O460" s="3">
        <v>0</v>
      </c>
      <c r="P460" s="3">
        <v>0</v>
      </c>
      <c r="Q460" s="3">
        <v>0</v>
      </c>
      <c r="R460" s="3">
        <v>946500</v>
      </c>
      <c r="S460" s="3">
        <v>0</v>
      </c>
      <c r="T460" s="3">
        <v>0</v>
      </c>
      <c r="U460" s="3">
        <v>0</v>
      </c>
      <c r="V460" s="3">
        <v>2014</v>
      </c>
      <c r="W460" s="3">
        <v>2320100</v>
      </c>
      <c r="X460" s="3">
        <v>5118300</v>
      </c>
      <c r="Y460" s="3">
        <v>2798200</v>
      </c>
      <c r="Z460" s="3">
        <v>2805900</v>
      </c>
      <c r="AA460" s="3">
        <v>2312400</v>
      </c>
      <c r="AB460" s="3">
        <v>82</v>
      </c>
    </row>
    <row r="461" spans="1:28" x14ac:dyDescent="0.35">
      <c r="A461">
        <v>2022</v>
      </c>
      <c r="B461" t="str">
        <f t="shared" si="55"/>
        <v>28</v>
      </c>
      <c r="C461" t="s">
        <v>203</v>
      </c>
      <c r="D461" t="s">
        <v>35</v>
      </c>
      <c r="E461" t="str">
        <f>"291"</f>
        <v>291</v>
      </c>
      <c r="F461" t="s">
        <v>209</v>
      </c>
      <c r="G461" t="str">
        <f>"004"</f>
        <v>004</v>
      </c>
      <c r="H461" t="str">
        <f>"6125"</f>
        <v>6125</v>
      </c>
      <c r="I461" s="3">
        <v>3265400</v>
      </c>
      <c r="J461" s="3">
        <v>100</v>
      </c>
      <c r="K461" s="3">
        <v>3265400</v>
      </c>
      <c r="L461" s="3">
        <v>0</v>
      </c>
      <c r="M461" s="3">
        <v>3265400</v>
      </c>
      <c r="N461" s="3">
        <v>34920100</v>
      </c>
      <c r="O461" s="3">
        <v>34920100</v>
      </c>
      <c r="P461" s="3">
        <v>6675200</v>
      </c>
      <c r="Q461" s="3">
        <v>6675200</v>
      </c>
      <c r="R461" s="3">
        <v>8300</v>
      </c>
      <c r="S461" s="3">
        <v>0</v>
      </c>
      <c r="T461" s="3">
        <v>0</v>
      </c>
      <c r="U461" s="3">
        <v>0</v>
      </c>
      <c r="V461" s="3">
        <v>2005</v>
      </c>
      <c r="W461" s="3">
        <v>1047600</v>
      </c>
      <c r="X461" s="3">
        <v>44869000</v>
      </c>
      <c r="Y461" s="3">
        <v>43821400</v>
      </c>
      <c r="Z461" s="3">
        <v>44631100</v>
      </c>
      <c r="AA461" s="3">
        <v>237900</v>
      </c>
      <c r="AB461" s="3">
        <v>1</v>
      </c>
    </row>
    <row r="462" spans="1:28" x14ac:dyDescent="0.35">
      <c r="A462">
        <v>2022</v>
      </c>
      <c r="B462" t="str">
        <f t="shared" si="55"/>
        <v>28</v>
      </c>
      <c r="C462" t="s">
        <v>203</v>
      </c>
      <c r="D462" t="s">
        <v>35</v>
      </c>
      <c r="E462" t="str">
        <f>"291"</f>
        <v>291</v>
      </c>
      <c r="F462" t="s">
        <v>209</v>
      </c>
      <c r="G462" t="str">
        <f>"005"</f>
        <v>005</v>
      </c>
      <c r="H462" t="str">
        <f>"6125"</f>
        <v>6125</v>
      </c>
      <c r="I462" s="3">
        <v>61650800</v>
      </c>
      <c r="J462" s="3">
        <v>100</v>
      </c>
      <c r="K462" s="3">
        <v>61650800</v>
      </c>
      <c r="L462" s="3">
        <v>0</v>
      </c>
      <c r="M462" s="3">
        <v>61650800</v>
      </c>
      <c r="N462" s="3">
        <v>3206800</v>
      </c>
      <c r="O462" s="3">
        <v>3206800</v>
      </c>
      <c r="P462" s="3">
        <v>1224300</v>
      </c>
      <c r="Q462" s="3">
        <v>1224300</v>
      </c>
      <c r="R462" s="3">
        <v>161700</v>
      </c>
      <c r="S462" s="3">
        <v>0</v>
      </c>
      <c r="T462" s="3">
        <v>0</v>
      </c>
      <c r="U462" s="3">
        <v>10734100</v>
      </c>
      <c r="V462" s="3">
        <v>2005</v>
      </c>
      <c r="W462" s="3">
        <v>39631000</v>
      </c>
      <c r="X462" s="3">
        <v>76977700</v>
      </c>
      <c r="Y462" s="3">
        <v>37346700</v>
      </c>
      <c r="Z462" s="3">
        <v>61892600</v>
      </c>
      <c r="AA462" s="3">
        <v>15085100</v>
      </c>
      <c r="AB462" s="3">
        <v>24</v>
      </c>
    </row>
    <row r="463" spans="1:28" x14ac:dyDescent="0.35">
      <c r="A463">
        <v>2022</v>
      </c>
      <c r="B463" t="str">
        <f t="shared" si="55"/>
        <v>28</v>
      </c>
      <c r="C463" t="s">
        <v>203</v>
      </c>
      <c r="D463" t="s">
        <v>35</v>
      </c>
      <c r="E463" t="str">
        <f>"291"</f>
        <v>291</v>
      </c>
      <c r="F463" t="s">
        <v>209</v>
      </c>
      <c r="G463" t="str">
        <f>"006"</f>
        <v>006</v>
      </c>
      <c r="H463" t="str">
        <f>"6125"</f>
        <v>6125</v>
      </c>
      <c r="I463" s="3">
        <v>33772800</v>
      </c>
      <c r="J463" s="3">
        <v>100</v>
      </c>
      <c r="K463" s="3">
        <v>33772800</v>
      </c>
      <c r="L463" s="3">
        <v>3772800</v>
      </c>
      <c r="M463" s="3">
        <v>3772800</v>
      </c>
      <c r="N463" s="3">
        <v>0</v>
      </c>
      <c r="O463" s="3">
        <v>0</v>
      </c>
      <c r="P463" s="3">
        <v>0</v>
      </c>
      <c r="Q463" s="3">
        <v>0</v>
      </c>
      <c r="R463" s="3">
        <v>10200</v>
      </c>
      <c r="S463" s="3">
        <v>0</v>
      </c>
      <c r="T463" s="3">
        <v>0</v>
      </c>
      <c r="U463" s="3">
        <v>0</v>
      </c>
      <c r="V463" s="3">
        <v>2005</v>
      </c>
      <c r="W463" s="3">
        <v>225800</v>
      </c>
      <c r="X463" s="3">
        <v>3783000</v>
      </c>
      <c r="Y463" s="3">
        <v>3557200</v>
      </c>
      <c r="Z463" s="3">
        <v>3596000</v>
      </c>
      <c r="AA463" s="3">
        <v>187000</v>
      </c>
      <c r="AB463" s="3">
        <v>5</v>
      </c>
    </row>
    <row r="464" spans="1:28" x14ac:dyDescent="0.35">
      <c r="A464">
        <v>2022</v>
      </c>
      <c r="B464" t="str">
        <f t="shared" si="55"/>
        <v>28</v>
      </c>
      <c r="C464" t="s">
        <v>203</v>
      </c>
      <c r="D464" t="s">
        <v>35</v>
      </c>
      <c r="E464" t="str">
        <f>"291"</f>
        <v>291</v>
      </c>
      <c r="F464" t="s">
        <v>209</v>
      </c>
      <c r="G464" t="str">
        <f>"007"</f>
        <v>007</v>
      </c>
      <c r="H464" t="str">
        <f>"6125"</f>
        <v>6125</v>
      </c>
      <c r="I464" s="3">
        <v>12183000</v>
      </c>
      <c r="J464" s="3">
        <v>100</v>
      </c>
      <c r="K464" s="3">
        <v>12183000</v>
      </c>
      <c r="L464" s="3">
        <v>0</v>
      </c>
      <c r="M464" s="3">
        <v>12183000</v>
      </c>
      <c r="N464" s="3">
        <v>31354000</v>
      </c>
      <c r="O464" s="3">
        <v>31354000</v>
      </c>
      <c r="P464" s="3">
        <v>3561100</v>
      </c>
      <c r="Q464" s="3">
        <v>3561100</v>
      </c>
      <c r="R464" s="3">
        <v>31900</v>
      </c>
      <c r="S464" s="3">
        <v>0</v>
      </c>
      <c r="T464" s="3">
        <v>0</v>
      </c>
      <c r="U464" s="3">
        <v>0</v>
      </c>
      <c r="V464" s="3">
        <v>2016</v>
      </c>
      <c r="W464" s="3">
        <v>42443600</v>
      </c>
      <c r="X464" s="3">
        <v>47130000</v>
      </c>
      <c r="Y464" s="3">
        <v>4686400</v>
      </c>
      <c r="Z464" s="3">
        <v>46458400</v>
      </c>
      <c r="AA464" s="3">
        <v>671600</v>
      </c>
      <c r="AB464" s="3">
        <v>1</v>
      </c>
    </row>
    <row r="465" spans="1:28" x14ac:dyDescent="0.35">
      <c r="A465">
        <v>2022</v>
      </c>
      <c r="B465" t="str">
        <f t="shared" si="55"/>
        <v>28</v>
      </c>
      <c r="C465" t="s">
        <v>203</v>
      </c>
      <c r="D465" t="s">
        <v>35</v>
      </c>
      <c r="E465" t="str">
        <f>"291"</f>
        <v>291</v>
      </c>
      <c r="F465" t="s">
        <v>209</v>
      </c>
      <c r="G465" t="str">
        <f>"008"</f>
        <v>008</v>
      </c>
      <c r="H465" t="str">
        <f>"6125"</f>
        <v>6125</v>
      </c>
      <c r="I465" s="3">
        <v>14736200</v>
      </c>
      <c r="J465" s="3">
        <v>100</v>
      </c>
      <c r="K465" s="3">
        <v>14736200</v>
      </c>
      <c r="L465" s="3">
        <v>0</v>
      </c>
      <c r="M465" s="3">
        <v>14736200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0</v>
      </c>
      <c r="U465" s="3">
        <v>0</v>
      </c>
      <c r="V465" s="3">
        <v>2021</v>
      </c>
      <c r="W465" s="3">
        <v>15938900</v>
      </c>
      <c r="X465" s="3">
        <v>14736200</v>
      </c>
      <c r="Y465" s="3">
        <v>-1202700</v>
      </c>
      <c r="Z465" s="3">
        <v>15938900</v>
      </c>
      <c r="AA465" s="3">
        <v>-1202700</v>
      </c>
      <c r="AB465" s="3">
        <v>-8</v>
      </c>
    </row>
    <row r="466" spans="1:28" x14ac:dyDescent="0.35">
      <c r="A466">
        <v>2022</v>
      </c>
      <c r="B466" t="str">
        <f t="shared" si="55"/>
        <v>28</v>
      </c>
      <c r="C466" t="s">
        <v>203</v>
      </c>
      <c r="D466" t="s">
        <v>35</v>
      </c>
      <c r="E466" t="str">
        <f>"292"</f>
        <v>292</v>
      </c>
      <c r="F466" t="s">
        <v>210</v>
      </c>
      <c r="G466" t="str">
        <f>"010"</f>
        <v>010</v>
      </c>
      <c r="H466" t="str">
        <f>"6461"</f>
        <v>6461</v>
      </c>
      <c r="I466" s="3">
        <v>9500</v>
      </c>
      <c r="J466" s="3">
        <v>100</v>
      </c>
      <c r="K466" s="3">
        <v>9500</v>
      </c>
      <c r="L466" s="3">
        <v>0</v>
      </c>
      <c r="M466" s="3">
        <v>9500</v>
      </c>
      <c r="N466" s="3">
        <v>4986900</v>
      </c>
      <c r="O466" s="3">
        <v>4986900</v>
      </c>
      <c r="P466" s="3">
        <v>107800</v>
      </c>
      <c r="Q466" s="3">
        <v>107800</v>
      </c>
      <c r="R466" s="3">
        <v>0</v>
      </c>
      <c r="S466" s="3">
        <v>0</v>
      </c>
      <c r="T466" s="3">
        <v>0</v>
      </c>
      <c r="U466" s="3">
        <v>0</v>
      </c>
      <c r="V466" s="3">
        <v>2021</v>
      </c>
      <c r="W466" s="3">
        <v>4876300</v>
      </c>
      <c r="X466" s="3">
        <v>5104200</v>
      </c>
      <c r="Y466" s="3">
        <v>227900</v>
      </c>
      <c r="Z466" s="3">
        <v>4876300</v>
      </c>
      <c r="AA466" s="3">
        <v>227900</v>
      </c>
      <c r="AB466" s="3">
        <v>5</v>
      </c>
    </row>
    <row r="467" spans="1:28" x14ac:dyDescent="0.35">
      <c r="A467">
        <v>2022</v>
      </c>
      <c r="B467" t="str">
        <f t="shared" si="55"/>
        <v>28</v>
      </c>
      <c r="C467" t="s">
        <v>203</v>
      </c>
      <c r="D467" t="s">
        <v>35</v>
      </c>
      <c r="E467" t="str">
        <f>"292"</f>
        <v>292</v>
      </c>
      <c r="F467" t="s">
        <v>210</v>
      </c>
      <c r="G467" t="str">
        <f>"014"</f>
        <v>014</v>
      </c>
      <c r="H467" t="str">
        <f>"6461"</f>
        <v>6461</v>
      </c>
      <c r="I467" s="3">
        <v>26035300</v>
      </c>
      <c r="J467" s="3">
        <v>100</v>
      </c>
      <c r="K467" s="3">
        <v>26035300</v>
      </c>
      <c r="L467" s="3">
        <v>0</v>
      </c>
      <c r="M467" s="3">
        <v>26035300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2021</v>
      </c>
      <c r="W467" s="3">
        <v>22919700</v>
      </c>
      <c r="X467" s="3">
        <v>26035300</v>
      </c>
      <c r="Y467" s="3">
        <v>3115600</v>
      </c>
      <c r="Z467" s="3">
        <v>22919700</v>
      </c>
      <c r="AA467" s="3">
        <v>3115600</v>
      </c>
      <c r="AB467" s="3">
        <v>14</v>
      </c>
    </row>
    <row r="468" spans="1:28" x14ac:dyDescent="0.35">
      <c r="A468">
        <v>2022</v>
      </c>
      <c r="B468" t="str">
        <f t="shared" ref="B468:B479" si="58">"29"</f>
        <v>29</v>
      </c>
      <c r="C468" t="s">
        <v>145</v>
      </c>
      <c r="D468" t="s">
        <v>33</v>
      </c>
      <c r="E468" t="str">
        <f>"161"</f>
        <v>161</v>
      </c>
      <c r="F468" t="s">
        <v>211</v>
      </c>
      <c r="G468" t="str">
        <f>"002"</f>
        <v>002</v>
      </c>
      <c r="H468" t="str">
        <f>"3871"</f>
        <v>3871</v>
      </c>
      <c r="I468" s="3">
        <v>4716200</v>
      </c>
      <c r="J468" s="3">
        <v>77.19</v>
      </c>
      <c r="K468" s="3">
        <v>6109900</v>
      </c>
      <c r="L468" s="3">
        <v>0</v>
      </c>
      <c r="M468" s="3">
        <v>6109900</v>
      </c>
      <c r="N468" s="3">
        <v>1861500</v>
      </c>
      <c r="O468" s="3">
        <v>1861500</v>
      </c>
      <c r="P468" s="3">
        <v>193000</v>
      </c>
      <c r="Q468" s="3">
        <v>193000</v>
      </c>
      <c r="R468" s="3">
        <v>-12400</v>
      </c>
      <c r="S468" s="3">
        <v>0</v>
      </c>
      <c r="T468" s="3">
        <v>0</v>
      </c>
      <c r="U468" s="3">
        <v>0</v>
      </c>
      <c r="V468" s="3">
        <v>1995</v>
      </c>
      <c r="W468" s="3">
        <v>1233500</v>
      </c>
      <c r="X468" s="3">
        <v>8152000</v>
      </c>
      <c r="Y468" s="3">
        <v>6918500</v>
      </c>
      <c r="Z468" s="3">
        <v>6830800</v>
      </c>
      <c r="AA468" s="3">
        <v>1321200</v>
      </c>
      <c r="AB468" s="3">
        <v>19</v>
      </c>
    </row>
    <row r="469" spans="1:28" x14ac:dyDescent="0.35">
      <c r="A469">
        <v>2022</v>
      </c>
      <c r="B469" t="str">
        <f t="shared" si="58"/>
        <v>29</v>
      </c>
      <c r="C469" t="s">
        <v>145</v>
      </c>
      <c r="D469" t="s">
        <v>33</v>
      </c>
      <c r="E469" t="str">
        <f>"161"</f>
        <v>161</v>
      </c>
      <c r="F469" t="s">
        <v>211</v>
      </c>
      <c r="G469" t="str">
        <f>"003"</f>
        <v>003</v>
      </c>
      <c r="H469" t="str">
        <f>"3871"</f>
        <v>3871</v>
      </c>
      <c r="I469" s="3">
        <v>10405000</v>
      </c>
      <c r="J469" s="3">
        <v>77.19</v>
      </c>
      <c r="K469" s="3">
        <v>13479700</v>
      </c>
      <c r="L469" s="3">
        <v>0</v>
      </c>
      <c r="M469" s="3">
        <v>13479700</v>
      </c>
      <c r="N469" s="3">
        <v>2576600</v>
      </c>
      <c r="O469" s="3">
        <v>2576600</v>
      </c>
      <c r="P469" s="3">
        <v>754900</v>
      </c>
      <c r="Q469" s="3">
        <v>754900</v>
      </c>
      <c r="R469" s="3">
        <v>-27000</v>
      </c>
      <c r="S469" s="3">
        <v>0</v>
      </c>
      <c r="T469" s="3">
        <v>0</v>
      </c>
      <c r="U469" s="3">
        <v>0</v>
      </c>
      <c r="V469" s="3">
        <v>1995</v>
      </c>
      <c r="W469" s="3">
        <v>7296300</v>
      </c>
      <c r="X469" s="3">
        <v>16784200</v>
      </c>
      <c r="Y469" s="3">
        <v>9487900</v>
      </c>
      <c r="Z469" s="3">
        <v>15080900</v>
      </c>
      <c r="AA469" s="3">
        <v>1703300</v>
      </c>
      <c r="AB469" s="3">
        <v>11</v>
      </c>
    </row>
    <row r="470" spans="1:28" x14ac:dyDescent="0.35">
      <c r="A470">
        <v>2022</v>
      </c>
      <c r="B470" t="str">
        <f t="shared" si="58"/>
        <v>29</v>
      </c>
      <c r="C470" t="s">
        <v>145</v>
      </c>
      <c r="D470" t="s">
        <v>35</v>
      </c>
      <c r="E470" t="str">
        <f>"221"</f>
        <v>221</v>
      </c>
      <c r="F470" t="s">
        <v>212</v>
      </c>
      <c r="G470" t="str">
        <f>"002"</f>
        <v>002</v>
      </c>
      <c r="H470" t="str">
        <f>"1673"</f>
        <v>1673</v>
      </c>
      <c r="I470" s="3">
        <v>502300</v>
      </c>
      <c r="J470" s="3">
        <v>69.14</v>
      </c>
      <c r="K470" s="3">
        <v>726500</v>
      </c>
      <c r="L470" s="3">
        <v>557533</v>
      </c>
      <c r="M470" s="3">
        <v>557500</v>
      </c>
      <c r="N470" s="3">
        <v>0</v>
      </c>
      <c r="O470" s="3">
        <v>0</v>
      </c>
      <c r="P470" s="3">
        <v>0</v>
      </c>
      <c r="Q470" s="3">
        <v>0</v>
      </c>
      <c r="R470" s="3">
        <v>54500</v>
      </c>
      <c r="S470" s="3">
        <v>0</v>
      </c>
      <c r="T470" s="3">
        <v>0</v>
      </c>
      <c r="U470" s="3">
        <v>0</v>
      </c>
      <c r="V470" s="3">
        <v>1999</v>
      </c>
      <c r="W470" s="3">
        <v>273200</v>
      </c>
      <c r="X470" s="3">
        <v>612000</v>
      </c>
      <c r="Y470" s="3">
        <v>338800</v>
      </c>
      <c r="Z470" s="3">
        <v>654200</v>
      </c>
      <c r="AA470" s="3">
        <v>-42200</v>
      </c>
      <c r="AB470" s="3">
        <v>-6</v>
      </c>
    </row>
    <row r="471" spans="1:28" x14ac:dyDescent="0.35">
      <c r="A471">
        <v>2022</v>
      </c>
      <c r="B471" t="str">
        <f t="shared" si="58"/>
        <v>29</v>
      </c>
      <c r="C471" t="s">
        <v>145</v>
      </c>
      <c r="D471" t="s">
        <v>35</v>
      </c>
      <c r="E471" t="str">
        <f>"221"</f>
        <v>221</v>
      </c>
      <c r="F471" t="s">
        <v>212</v>
      </c>
      <c r="G471" t="str">
        <f>"003"</f>
        <v>003</v>
      </c>
      <c r="H471" t="str">
        <f>"1673"</f>
        <v>1673</v>
      </c>
      <c r="I471" s="3">
        <v>3007500</v>
      </c>
      <c r="J471" s="3">
        <v>69.14</v>
      </c>
      <c r="K471" s="3">
        <v>4349900</v>
      </c>
      <c r="L471" s="3">
        <v>3338325</v>
      </c>
      <c r="M471" s="3">
        <v>3338300</v>
      </c>
      <c r="N471" s="3">
        <v>0</v>
      </c>
      <c r="O471" s="3">
        <v>0</v>
      </c>
      <c r="P471" s="3">
        <v>0</v>
      </c>
      <c r="Q471" s="3">
        <v>0</v>
      </c>
      <c r="R471" s="3">
        <v>-6800</v>
      </c>
      <c r="S471" s="3">
        <v>0</v>
      </c>
      <c r="T471" s="3">
        <v>0</v>
      </c>
      <c r="U471" s="3">
        <v>0</v>
      </c>
      <c r="V471" s="3">
        <v>1999</v>
      </c>
      <c r="W471" s="3">
        <v>2436500</v>
      </c>
      <c r="X471" s="3">
        <v>3331500</v>
      </c>
      <c r="Y471" s="3">
        <v>895000</v>
      </c>
      <c r="Z471" s="3">
        <v>3917500</v>
      </c>
      <c r="AA471" s="3">
        <v>-586000</v>
      </c>
      <c r="AB471" s="3">
        <v>-15</v>
      </c>
    </row>
    <row r="472" spans="1:28" x14ac:dyDescent="0.35">
      <c r="A472">
        <v>2022</v>
      </c>
      <c r="B472" t="str">
        <f t="shared" si="58"/>
        <v>29</v>
      </c>
      <c r="C472" t="s">
        <v>145</v>
      </c>
      <c r="D472" t="s">
        <v>35</v>
      </c>
      <c r="E472" t="str">
        <f>"221"</f>
        <v>221</v>
      </c>
      <c r="F472" t="s">
        <v>212</v>
      </c>
      <c r="G472" t="str">
        <f>"004"</f>
        <v>004</v>
      </c>
      <c r="H472" t="str">
        <f>"1673"</f>
        <v>1673</v>
      </c>
      <c r="I472" s="3">
        <v>882000</v>
      </c>
      <c r="J472" s="3">
        <v>69.14</v>
      </c>
      <c r="K472" s="3">
        <v>1275700</v>
      </c>
      <c r="L472" s="3">
        <v>855120</v>
      </c>
      <c r="M472" s="3">
        <v>855100</v>
      </c>
      <c r="N472" s="3">
        <v>3124800</v>
      </c>
      <c r="O472" s="3">
        <v>3124800</v>
      </c>
      <c r="P472" s="3">
        <v>312700</v>
      </c>
      <c r="Q472" s="3">
        <v>312700</v>
      </c>
      <c r="R472" s="3">
        <v>-2000</v>
      </c>
      <c r="S472" s="3">
        <v>0</v>
      </c>
      <c r="T472" s="3">
        <v>0</v>
      </c>
      <c r="U472" s="3">
        <v>0</v>
      </c>
      <c r="V472" s="3">
        <v>1999</v>
      </c>
      <c r="W472" s="3">
        <v>1311300</v>
      </c>
      <c r="X472" s="3">
        <v>4290600</v>
      </c>
      <c r="Y472" s="3">
        <v>2979300</v>
      </c>
      <c r="Z472" s="3">
        <v>4359700</v>
      </c>
      <c r="AA472" s="3">
        <v>-69100</v>
      </c>
      <c r="AB472" s="3">
        <v>-2</v>
      </c>
    </row>
    <row r="473" spans="1:28" x14ac:dyDescent="0.35">
      <c r="A473">
        <v>2022</v>
      </c>
      <c r="B473" t="str">
        <f t="shared" si="58"/>
        <v>29</v>
      </c>
      <c r="C473" t="s">
        <v>145</v>
      </c>
      <c r="D473" t="s">
        <v>35</v>
      </c>
      <c r="E473" t="str">
        <f>"221"</f>
        <v>221</v>
      </c>
      <c r="F473" t="s">
        <v>212</v>
      </c>
      <c r="G473" t="str">
        <f>"005"</f>
        <v>005</v>
      </c>
      <c r="H473" t="str">
        <f>"1673"</f>
        <v>1673</v>
      </c>
      <c r="I473" s="3">
        <v>2156800</v>
      </c>
      <c r="J473" s="3">
        <v>69.14</v>
      </c>
      <c r="K473" s="3">
        <v>3119500</v>
      </c>
      <c r="L473" s="3">
        <v>2394048</v>
      </c>
      <c r="M473" s="3">
        <v>2394000</v>
      </c>
      <c r="N473" s="3">
        <v>0</v>
      </c>
      <c r="O473" s="3">
        <v>0</v>
      </c>
      <c r="P473" s="3">
        <v>0</v>
      </c>
      <c r="Q473" s="3">
        <v>0</v>
      </c>
      <c r="R473" s="3">
        <v>-5000</v>
      </c>
      <c r="S473" s="3">
        <v>0</v>
      </c>
      <c r="T473" s="3">
        <v>0</v>
      </c>
      <c r="U473" s="3">
        <v>0</v>
      </c>
      <c r="V473" s="3">
        <v>1999</v>
      </c>
      <c r="W473" s="3">
        <v>36500</v>
      </c>
      <c r="X473" s="3">
        <v>2389000</v>
      </c>
      <c r="Y473" s="3">
        <v>2352500</v>
      </c>
      <c r="Z473" s="3">
        <v>2948600</v>
      </c>
      <c r="AA473" s="3">
        <v>-559600</v>
      </c>
      <c r="AB473" s="3">
        <v>-19</v>
      </c>
    </row>
    <row r="474" spans="1:28" x14ac:dyDescent="0.35">
      <c r="A474">
        <v>2022</v>
      </c>
      <c r="B474" t="str">
        <f t="shared" si="58"/>
        <v>29</v>
      </c>
      <c r="C474" t="s">
        <v>145</v>
      </c>
      <c r="D474" t="s">
        <v>35</v>
      </c>
      <c r="E474" t="str">
        <f>"221"</f>
        <v>221</v>
      </c>
      <c r="F474" t="s">
        <v>212</v>
      </c>
      <c r="G474" t="str">
        <f>"006"</f>
        <v>006</v>
      </c>
      <c r="H474" t="str">
        <f>"1673"</f>
        <v>1673</v>
      </c>
      <c r="I474" s="3">
        <v>447400</v>
      </c>
      <c r="J474" s="3">
        <v>69.14</v>
      </c>
      <c r="K474" s="3">
        <v>647100</v>
      </c>
      <c r="L474" s="3">
        <v>496614</v>
      </c>
      <c r="M474" s="3">
        <v>496600</v>
      </c>
      <c r="N474" s="3">
        <v>1765300</v>
      </c>
      <c r="O474" s="3">
        <v>1765300</v>
      </c>
      <c r="P474" s="3">
        <v>91500</v>
      </c>
      <c r="Q474" s="3">
        <v>91500</v>
      </c>
      <c r="R474" s="3">
        <v>-1100</v>
      </c>
      <c r="S474" s="3">
        <v>0</v>
      </c>
      <c r="T474" s="3">
        <v>0</v>
      </c>
      <c r="U474" s="3">
        <v>0</v>
      </c>
      <c r="V474" s="3">
        <v>2014</v>
      </c>
      <c r="W474" s="3">
        <v>818500</v>
      </c>
      <c r="X474" s="3">
        <v>2352300</v>
      </c>
      <c r="Y474" s="3">
        <v>1533800</v>
      </c>
      <c r="Z474" s="3">
        <v>2483700</v>
      </c>
      <c r="AA474" s="3">
        <v>-131400</v>
      </c>
      <c r="AB474" s="3">
        <v>-5</v>
      </c>
    </row>
    <row r="475" spans="1:28" x14ac:dyDescent="0.35">
      <c r="A475">
        <v>2022</v>
      </c>
      <c r="B475" t="str">
        <f t="shared" si="58"/>
        <v>29</v>
      </c>
      <c r="C475" t="s">
        <v>145</v>
      </c>
      <c r="D475" t="s">
        <v>35</v>
      </c>
      <c r="E475" t="str">
        <f>"261"</f>
        <v>261</v>
      </c>
      <c r="F475" t="s">
        <v>213</v>
      </c>
      <c r="G475" t="str">
        <f>"009"</f>
        <v>009</v>
      </c>
      <c r="H475" t="str">
        <f>"3948"</f>
        <v>3948</v>
      </c>
      <c r="I475" s="3">
        <v>386900</v>
      </c>
      <c r="J475" s="3">
        <v>100</v>
      </c>
      <c r="K475" s="3">
        <v>386900</v>
      </c>
      <c r="L475" s="3">
        <v>0</v>
      </c>
      <c r="M475" s="3">
        <v>386900</v>
      </c>
      <c r="N475" s="3">
        <v>0</v>
      </c>
      <c r="O475" s="3">
        <v>0</v>
      </c>
      <c r="P475" s="3">
        <v>0</v>
      </c>
      <c r="Q475" s="3">
        <v>0</v>
      </c>
      <c r="R475" s="3">
        <v>-600</v>
      </c>
      <c r="S475" s="3">
        <v>0</v>
      </c>
      <c r="T475" s="3">
        <v>0</v>
      </c>
      <c r="U475" s="3">
        <v>0</v>
      </c>
      <c r="V475" s="3">
        <v>1991</v>
      </c>
      <c r="W475" s="3">
        <v>8300</v>
      </c>
      <c r="X475" s="3">
        <v>386300</v>
      </c>
      <c r="Y475" s="3">
        <v>378000</v>
      </c>
      <c r="Z475" s="3">
        <v>431900</v>
      </c>
      <c r="AA475" s="3">
        <v>-45600</v>
      </c>
      <c r="AB475" s="3">
        <v>-11</v>
      </c>
    </row>
    <row r="476" spans="1:28" x14ac:dyDescent="0.35">
      <c r="A476">
        <v>2022</v>
      </c>
      <c r="B476" t="str">
        <f t="shared" si="58"/>
        <v>29</v>
      </c>
      <c r="C476" t="s">
        <v>145</v>
      </c>
      <c r="D476" t="s">
        <v>35</v>
      </c>
      <c r="E476" t="str">
        <f>"261"</f>
        <v>261</v>
      </c>
      <c r="F476" t="s">
        <v>213</v>
      </c>
      <c r="G476" t="str">
        <f>"010"</f>
        <v>010</v>
      </c>
      <c r="H476" t="str">
        <f>"3948"</f>
        <v>3948</v>
      </c>
      <c r="I476" s="3">
        <v>286200</v>
      </c>
      <c r="J476" s="3">
        <v>100</v>
      </c>
      <c r="K476" s="3">
        <v>286200</v>
      </c>
      <c r="L476" s="3">
        <v>0</v>
      </c>
      <c r="M476" s="3">
        <v>286200</v>
      </c>
      <c r="N476" s="3">
        <v>0</v>
      </c>
      <c r="O476" s="3">
        <v>0</v>
      </c>
      <c r="P476" s="3">
        <v>0</v>
      </c>
      <c r="Q476" s="3">
        <v>0</v>
      </c>
      <c r="R476" s="3">
        <v>-500</v>
      </c>
      <c r="S476" s="3">
        <v>0</v>
      </c>
      <c r="T476" s="3">
        <v>0</v>
      </c>
      <c r="U476" s="3">
        <v>0</v>
      </c>
      <c r="V476" s="3">
        <v>1991</v>
      </c>
      <c r="W476" s="3">
        <v>9900</v>
      </c>
      <c r="X476" s="3">
        <v>285700</v>
      </c>
      <c r="Y476" s="3">
        <v>275800</v>
      </c>
      <c r="Z476" s="3">
        <v>319400</v>
      </c>
      <c r="AA476" s="3">
        <v>-33700</v>
      </c>
      <c r="AB476" s="3">
        <v>-11</v>
      </c>
    </row>
    <row r="477" spans="1:28" x14ac:dyDescent="0.35">
      <c r="A477">
        <v>2022</v>
      </c>
      <c r="B477" t="str">
        <f t="shared" si="58"/>
        <v>29</v>
      </c>
      <c r="C477" t="s">
        <v>145</v>
      </c>
      <c r="D477" t="s">
        <v>35</v>
      </c>
      <c r="E477" t="str">
        <f>"261"</f>
        <v>261</v>
      </c>
      <c r="F477" t="s">
        <v>213</v>
      </c>
      <c r="G477" t="str">
        <f>"012"</f>
        <v>012</v>
      </c>
      <c r="H477" t="str">
        <f>"3948"</f>
        <v>3948</v>
      </c>
      <c r="I477" s="3">
        <v>3650600</v>
      </c>
      <c r="J477" s="3">
        <v>100</v>
      </c>
      <c r="K477" s="3">
        <v>3650600</v>
      </c>
      <c r="L477" s="3">
        <v>0</v>
      </c>
      <c r="M477" s="3">
        <v>3650600</v>
      </c>
      <c r="N477" s="3">
        <v>0</v>
      </c>
      <c r="O477" s="3">
        <v>0</v>
      </c>
      <c r="P477" s="3">
        <v>0</v>
      </c>
      <c r="Q477" s="3">
        <v>0</v>
      </c>
      <c r="R477" s="3">
        <v>-6000</v>
      </c>
      <c r="S477" s="3">
        <v>0</v>
      </c>
      <c r="T477" s="3">
        <v>0</v>
      </c>
      <c r="U477" s="3">
        <v>0</v>
      </c>
      <c r="V477" s="3">
        <v>2010</v>
      </c>
      <c r="W477" s="3">
        <v>1140800</v>
      </c>
      <c r="X477" s="3">
        <v>3644600</v>
      </c>
      <c r="Y477" s="3">
        <v>2503800</v>
      </c>
      <c r="Z477" s="3">
        <v>4095000</v>
      </c>
      <c r="AA477" s="3">
        <v>-450400</v>
      </c>
      <c r="AB477" s="3">
        <v>-11</v>
      </c>
    </row>
    <row r="478" spans="1:28" x14ac:dyDescent="0.35">
      <c r="A478">
        <v>2022</v>
      </c>
      <c r="B478" t="str">
        <f t="shared" si="58"/>
        <v>29</v>
      </c>
      <c r="C478" t="s">
        <v>145</v>
      </c>
      <c r="D478" t="s">
        <v>35</v>
      </c>
      <c r="E478" t="str">
        <f>"261"</f>
        <v>261</v>
      </c>
      <c r="F478" t="s">
        <v>213</v>
      </c>
      <c r="G478" t="str">
        <f>"013"</f>
        <v>013</v>
      </c>
      <c r="H478" t="str">
        <f>"3948"</f>
        <v>3948</v>
      </c>
      <c r="I478" s="3">
        <v>215700</v>
      </c>
      <c r="J478" s="3">
        <v>100</v>
      </c>
      <c r="K478" s="3">
        <v>215700</v>
      </c>
      <c r="L478" s="3">
        <v>0</v>
      </c>
      <c r="M478" s="3">
        <v>215700</v>
      </c>
      <c r="N478" s="3">
        <v>0</v>
      </c>
      <c r="O478" s="3">
        <v>0</v>
      </c>
      <c r="P478" s="3">
        <v>0</v>
      </c>
      <c r="Q478" s="3">
        <v>0</v>
      </c>
      <c r="R478" s="3">
        <v>-300</v>
      </c>
      <c r="S478" s="3">
        <v>0</v>
      </c>
      <c r="T478" s="3">
        <v>0</v>
      </c>
      <c r="U478" s="3">
        <v>0</v>
      </c>
      <c r="V478" s="3">
        <v>2010</v>
      </c>
      <c r="W478" s="3">
        <v>157200</v>
      </c>
      <c r="X478" s="3">
        <v>215400</v>
      </c>
      <c r="Y478" s="3">
        <v>58200</v>
      </c>
      <c r="Z478" s="3">
        <v>213200</v>
      </c>
      <c r="AA478" s="3">
        <v>2200</v>
      </c>
      <c r="AB478" s="3">
        <v>1</v>
      </c>
    </row>
    <row r="479" spans="1:28" x14ac:dyDescent="0.35">
      <c r="A479">
        <v>2022</v>
      </c>
      <c r="B479" t="str">
        <f t="shared" si="58"/>
        <v>29</v>
      </c>
      <c r="C479" t="s">
        <v>145</v>
      </c>
      <c r="D479" t="s">
        <v>35</v>
      </c>
      <c r="E479" t="str">
        <f>"291"</f>
        <v>291</v>
      </c>
      <c r="F479" t="s">
        <v>36</v>
      </c>
      <c r="G479" t="str">
        <f>"004"</f>
        <v>004</v>
      </c>
      <c r="H479" t="str">
        <f>"6678"</f>
        <v>6678</v>
      </c>
      <c r="I479" s="3">
        <v>489500</v>
      </c>
      <c r="J479" s="3">
        <v>100</v>
      </c>
      <c r="K479" s="3">
        <v>489500</v>
      </c>
      <c r="L479" s="3">
        <v>0</v>
      </c>
      <c r="M479" s="3">
        <v>489500</v>
      </c>
      <c r="N479" s="3">
        <v>0</v>
      </c>
      <c r="O479" s="3">
        <v>0</v>
      </c>
      <c r="P479" s="3">
        <v>0</v>
      </c>
      <c r="Q479" s="3">
        <v>0</v>
      </c>
      <c r="R479" s="3">
        <v>-69600</v>
      </c>
      <c r="S479" s="3">
        <v>0</v>
      </c>
      <c r="T479" s="3">
        <v>0</v>
      </c>
      <c r="U479" s="3">
        <v>0</v>
      </c>
      <c r="V479" s="3">
        <v>2006</v>
      </c>
      <c r="W479" s="3">
        <v>549700</v>
      </c>
      <c r="X479" s="3">
        <v>419900</v>
      </c>
      <c r="Y479" s="3">
        <v>-129800</v>
      </c>
      <c r="Z479" s="3">
        <v>520300</v>
      </c>
      <c r="AA479" s="3">
        <v>-100400</v>
      </c>
      <c r="AB479" s="3">
        <v>-19</v>
      </c>
    </row>
    <row r="480" spans="1:28" x14ac:dyDescent="0.35">
      <c r="A480">
        <v>2022</v>
      </c>
      <c r="B480" t="str">
        <f t="shared" ref="B480:B511" si="59">"30"</f>
        <v>30</v>
      </c>
      <c r="C480" t="s">
        <v>214</v>
      </c>
      <c r="D480" t="s">
        <v>33</v>
      </c>
      <c r="E480" t="str">
        <f>"104"</f>
        <v>104</v>
      </c>
      <c r="F480" t="s">
        <v>215</v>
      </c>
      <c r="G480" t="str">
        <f>"001"</f>
        <v>001</v>
      </c>
      <c r="H480" t="str">
        <f>"0665"</f>
        <v>0665</v>
      </c>
      <c r="I480" s="3">
        <v>52626200</v>
      </c>
      <c r="J480" s="3">
        <v>82.44</v>
      </c>
      <c r="K480" s="3">
        <v>63835800</v>
      </c>
      <c r="L480" s="3">
        <v>0</v>
      </c>
      <c r="M480" s="3">
        <v>63835800</v>
      </c>
      <c r="N480" s="3">
        <v>0</v>
      </c>
      <c r="O480" s="3">
        <v>0</v>
      </c>
      <c r="P480" s="3">
        <v>0</v>
      </c>
      <c r="Q480" s="3">
        <v>0</v>
      </c>
      <c r="R480" s="3">
        <v>-2800</v>
      </c>
      <c r="S480" s="3">
        <v>0</v>
      </c>
      <c r="T480" s="3">
        <v>0</v>
      </c>
      <c r="U480" s="3">
        <v>0</v>
      </c>
      <c r="V480" s="3">
        <v>2019</v>
      </c>
      <c r="W480" s="3">
        <v>1290400</v>
      </c>
      <c r="X480" s="3">
        <v>63833000</v>
      </c>
      <c r="Y480" s="3">
        <v>62542600</v>
      </c>
      <c r="Z480" s="3">
        <v>762300</v>
      </c>
      <c r="AA480" s="3">
        <v>63070700</v>
      </c>
      <c r="AB480" s="3">
        <v>8274</v>
      </c>
    </row>
    <row r="481" spans="1:28" x14ac:dyDescent="0.35">
      <c r="A481">
        <v>2022</v>
      </c>
      <c r="B481" t="str">
        <f t="shared" si="59"/>
        <v>30</v>
      </c>
      <c r="C481" t="s">
        <v>214</v>
      </c>
      <c r="D481" t="s">
        <v>33</v>
      </c>
      <c r="E481" t="str">
        <f>"104"</f>
        <v>104</v>
      </c>
      <c r="F481" t="s">
        <v>215</v>
      </c>
      <c r="G481" t="str">
        <f>"002"</f>
        <v>002</v>
      </c>
      <c r="H481" t="str">
        <f>"0665"</f>
        <v>0665</v>
      </c>
      <c r="I481" s="3">
        <v>57636500</v>
      </c>
      <c r="J481" s="3">
        <v>82.44</v>
      </c>
      <c r="K481" s="3">
        <v>69913300</v>
      </c>
      <c r="L481" s="3">
        <v>0</v>
      </c>
      <c r="M481" s="3">
        <v>69913300</v>
      </c>
      <c r="N481" s="3">
        <v>0</v>
      </c>
      <c r="O481" s="3">
        <v>0</v>
      </c>
      <c r="P481" s="3">
        <v>0</v>
      </c>
      <c r="Q481" s="3">
        <v>0</v>
      </c>
      <c r="R481" s="3">
        <v>-148800</v>
      </c>
      <c r="S481" s="3">
        <v>0</v>
      </c>
      <c r="T481" s="3">
        <v>0</v>
      </c>
      <c r="U481" s="3">
        <v>0</v>
      </c>
      <c r="V481" s="3">
        <v>2019</v>
      </c>
      <c r="W481" s="3">
        <v>0</v>
      </c>
      <c r="X481" s="3">
        <v>69764500</v>
      </c>
      <c r="Y481" s="3">
        <v>69764500</v>
      </c>
      <c r="Z481" s="3">
        <v>40284200</v>
      </c>
      <c r="AA481" s="3">
        <v>29480300</v>
      </c>
      <c r="AB481" s="3">
        <v>73</v>
      </c>
    </row>
    <row r="482" spans="1:28" x14ac:dyDescent="0.35">
      <c r="A482">
        <v>2022</v>
      </c>
      <c r="B482" t="str">
        <f t="shared" si="59"/>
        <v>30</v>
      </c>
      <c r="C482" t="s">
        <v>214</v>
      </c>
      <c r="D482" t="s">
        <v>33</v>
      </c>
      <c r="E482" t="str">
        <f>"171"</f>
        <v>171</v>
      </c>
      <c r="F482" t="s">
        <v>216</v>
      </c>
      <c r="G482" t="str">
        <f>"001"</f>
        <v>001</v>
      </c>
      <c r="H482" t="str">
        <f>"5068"</f>
        <v>5068</v>
      </c>
      <c r="I482" s="3">
        <v>1691600</v>
      </c>
      <c r="J482" s="3">
        <v>91.15</v>
      </c>
      <c r="K482" s="3">
        <v>1855800</v>
      </c>
      <c r="L482" s="3">
        <v>0</v>
      </c>
      <c r="M482" s="3">
        <v>1855800</v>
      </c>
      <c r="N482" s="3">
        <v>0</v>
      </c>
      <c r="O482" s="3">
        <v>0</v>
      </c>
      <c r="P482" s="3">
        <v>0</v>
      </c>
      <c r="Q482" s="3">
        <v>0</v>
      </c>
      <c r="R482" s="3">
        <v>-84100</v>
      </c>
      <c r="S482" s="3">
        <v>0</v>
      </c>
      <c r="T482" s="3">
        <v>0</v>
      </c>
      <c r="U482" s="3">
        <v>14920600</v>
      </c>
      <c r="V482" s="3">
        <v>2012</v>
      </c>
      <c r="W482" s="3">
        <v>14133700</v>
      </c>
      <c r="X482" s="3">
        <v>16692300</v>
      </c>
      <c r="Y482" s="3">
        <v>2558600</v>
      </c>
      <c r="Z482" s="3">
        <v>16634500</v>
      </c>
      <c r="AA482" s="3">
        <v>57800</v>
      </c>
      <c r="AB482" s="3">
        <v>0</v>
      </c>
    </row>
    <row r="483" spans="1:28" x14ac:dyDescent="0.35">
      <c r="A483">
        <v>2022</v>
      </c>
      <c r="B483" t="str">
        <f t="shared" si="59"/>
        <v>30</v>
      </c>
      <c r="C483" t="s">
        <v>214</v>
      </c>
      <c r="D483" t="s">
        <v>33</v>
      </c>
      <c r="E483" t="str">
        <f>"171"</f>
        <v>171</v>
      </c>
      <c r="F483" t="s">
        <v>216</v>
      </c>
      <c r="G483" t="str">
        <f>"002"</f>
        <v>002</v>
      </c>
      <c r="H483" t="str">
        <f>"5068"</f>
        <v>5068</v>
      </c>
      <c r="I483" s="3">
        <v>35515900</v>
      </c>
      <c r="J483" s="3">
        <v>91.15</v>
      </c>
      <c r="K483" s="3">
        <v>38964200</v>
      </c>
      <c r="L483" s="3">
        <v>0</v>
      </c>
      <c r="M483" s="3">
        <v>38964200</v>
      </c>
      <c r="N483" s="3">
        <v>0</v>
      </c>
      <c r="O483" s="3">
        <v>0</v>
      </c>
      <c r="P483" s="3">
        <v>0</v>
      </c>
      <c r="Q483" s="3">
        <v>0</v>
      </c>
      <c r="R483" s="3">
        <v>6205300</v>
      </c>
      <c r="S483" s="3">
        <v>0</v>
      </c>
      <c r="T483" s="3">
        <v>0</v>
      </c>
      <c r="U483" s="3">
        <v>0</v>
      </c>
      <c r="V483" s="3">
        <v>2017</v>
      </c>
      <c r="W483" s="3">
        <v>15217800</v>
      </c>
      <c r="X483" s="3">
        <v>45169500</v>
      </c>
      <c r="Y483" s="3">
        <v>29951700</v>
      </c>
      <c r="Z483" s="3">
        <v>21864700</v>
      </c>
      <c r="AA483" s="3">
        <v>23304800</v>
      </c>
      <c r="AB483" s="3">
        <v>107</v>
      </c>
    </row>
    <row r="484" spans="1:28" x14ac:dyDescent="0.35">
      <c r="A484">
        <v>2022</v>
      </c>
      <c r="B484" t="str">
        <f t="shared" si="59"/>
        <v>30</v>
      </c>
      <c r="C484" t="s">
        <v>214</v>
      </c>
      <c r="D484" t="s">
        <v>33</v>
      </c>
      <c r="E484" t="str">
        <f t="shared" ref="E484:E489" si="60">"174"</f>
        <v>174</v>
      </c>
      <c r="F484" t="s">
        <v>217</v>
      </c>
      <c r="G484" t="str">
        <f>"004"</f>
        <v>004</v>
      </c>
      <c r="H484" t="str">
        <f>"2793"</f>
        <v>2793</v>
      </c>
      <c r="I484" s="3">
        <v>3810100</v>
      </c>
      <c r="J484" s="3">
        <v>100</v>
      </c>
      <c r="K484" s="3">
        <v>3810100</v>
      </c>
      <c r="L484" s="3">
        <v>0</v>
      </c>
      <c r="M484" s="3">
        <v>3810100</v>
      </c>
      <c r="N484" s="3">
        <v>0</v>
      </c>
      <c r="O484" s="3">
        <v>0</v>
      </c>
      <c r="P484" s="3">
        <v>0</v>
      </c>
      <c r="Q484" s="3">
        <v>0</v>
      </c>
      <c r="R484" s="3">
        <v>29300</v>
      </c>
      <c r="S484" s="3">
        <v>0</v>
      </c>
      <c r="T484" s="3">
        <v>0</v>
      </c>
      <c r="U484" s="3">
        <v>0</v>
      </c>
      <c r="V484" s="3">
        <v>2007</v>
      </c>
      <c r="W484" s="3">
        <v>166100</v>
      </c>
      <c r="X484" s="3">
        <v>3839400</v>
      </c>
      <c r="Y484" s="3">
        <v>3673300</v>
      </c>
      <c r="Z484" s="3">
        <v>3242900</v>
      </c>
      <c r="AA484" s="3">
        <v>596500</v>
      </c>
      <c r="AB484" s="3">
        <v>18</v>
      </c>
    </row>
    <row r="485" spans="1:28" x14ac:dyDescent="0.35">
      <c r="A485">
        <v>2022</v>
      </c>
      <c r="B485" t="str">
        <f t="shared" si="59"/>
        <v>30</v>
      </c>
      <c r="C485" t="s">
        <v>214</v>
      </c>
      <c r="D485" t="s">
        <v>33</v>
      </c>
      <c r="E485" t="str">
        <f t="shared" si="60"/>
        <v>174</v>
      </c>
      <c r="F485" t="s">
        <v>217</v>
      </c>
      <c r="G485" t="str">
        <f>"005"</f>
        <v>005</v>
      </c>
      <c r="H485" t="str">
        <f>"0665"</f>
        <v>0665</v>
      </c>
      <c r="I485" s="3">
        <v>282738400</v>
      </c>
      <c r="J485" s="3">
        <v>100</v>
      </c>
      <c r="K485" s="3">
        <v>282738400</v>
      </c>
      <c r="L485" s="3">
        <v>0</v>
      </c>
      <c r="M485" s="3">
        <v>282738400</v>
      </c>
      <c r="N485" s="3">
        <v>0</v>
      </c>
      <c r="O485" s="3">
        <v>0</v>
      </c>
      <c r="P485" s="3">
        <v>0</v>
      </c>
      <c r="Q485" s="3">
        <v>0</v>
      </c>
      <c r="R485" s="3">
        <v>1172700</v>
      </c>
      <c r="S485" s="3">
        <v>0</v>
      </c>
      <c r="T485" s="3">
        <v>0</v>
      </c>
      <c r="U485" s="3">
        <v>0</v>
      </c>
      <c r="V485" s="3">
        <v>2017</v>
      </c>
      <c r="W485" s="3">
        <v>14372700</v>
      </c>
      <c r="X485" s="3">
        <v>283911100</v>
      </c>
      <c r="Y485" s="3">
        <v>269538400</v>
      </c>
      <c r="Z485" s="3">
        <v>161975800</v>
      </c>
      <c r="AA485" s="3">
        <v>121935300</v>
      </c>
      <c r="AB485" s="3">
        <v>75</v>
      </c>
    </row>
    <row r="486" spans="1:28" x14ac:dyDescent="0.35">
      <c r="A486">
        <v>2022</v>
      </c>
      <c r="B486" t="str">
        <f t="shared" si="59"/>
        <v>30</v>
      </c>
      <c r="C486" t="s">
        <v>214</v>
      </c>
      <c r="D486" t="s">
        <v>33</v>
      </c>
      <c r="E486" t="str">
        <f t="shared" si="60"/>
        <v>174</v>
      </c>
      <c r="F486" t="s">
        <v>217</v>
      </c>
      <c r="G486" t="str">
        <f>"005"</f>
        <v>005</v>
      </c>
      <c r="H486" t="str">
        <f>"2793"</f>
        <v>2793</v>
      </c>
      <c r="I486" s="3">
        <v>21943600</v>
      </c>
      <c r="J486" s="3">
        <v>100</v>
      </c>
      <c r="K486" s="3">
        <v>21943600</v>
      </c>
      <c r="L486" s="3">
        <v>0</v>
      </c>
      <c r="M486" s="3">
        <v>21943600</v>
      </c>
      <c r="N486" s="3">
        <v>0</v>
      </c>
      <c r="O486" s="3">
        <v>0</v>
      </c>
      <c r="P486" s="3">
        <v>0</v>
      </c>
      <c r="Q486" s="3">
        <v>0</v>
      </c>
      <c r="R486" s="3">
        <v>199700</v>
      </c>
      <c r="S486" s="3">
        <v>0</v>
      </c>
      <c r="T486" s="3">
        <v>0</v>
      </c>
      <c r="U486" s="3">
        <v>0</v>
      </c>
      <c r="V486" s="3">
        <v>2017</v>
      </c>
      <c r="W486" s="3">
        <v>10697200</v>
      </c>
      <c r="X486" s="3">
        <v>22143300</v>
      </c>
      <c r="Y486" s="3">
        <v>11446100</v>
      </c>
      <c r="Z486" s="3">
        <v>27617900</v>
      </c>
      <c r="AA486" s="3">
        <v>-5474600</v>
      </c>
      <c r="AB486" s="3">
        <v>-20</v>
      </c>
    </row>
    <row r="487" spans="1:28" x14ac:dyDescent="0.35">
      <c r="A487">
        <v>2022</v>
      </c>
      <c r="B487" t="str">
        <f t="shared" si="59"/>
        <v>30</v>
      </c>
      <c r="C487" t="s">
        <v>214</v>
      </c>
      <c r="D487" t="s">
        <v>33</v>
      </c>
      <c r="E487" t="str">
        <f t="shared" si="60"/>
        <v>174</v>
      </c>
      <c r="F487" t="s">
        <v>217</v>
      </c>
      <c r="G487" t="str">
        <f>"006"</f>
        <v>006</v>
      </c>
      <c r="H487" t="str">
        <f>"2793"</f>
        <v>2793</v>
      </c>
      <c r="I487" s="3">
        <v>18855900</v>
      </c>
      <c r="J487" s="3">
        <v>100</v>
      </c>
      <c r="K487" s="3">
        <v>18855900</v>
      </c>
      <c r="L487" s="3">
        <v>0</v>
      </c>
      <c r="M487" s="3">
        <v>18855900</v>
      </c>
      <c r="N487" s="3">
        <v>0</v>
      </c>
      <c r="O487" s="3">
        <v>0</v>
      </c>
      <c r="P487" s="3">
        <v>0</v>
      </c>
      <c r="Q487" s="3">
        <v>0</v>
      </c>
      <c r="R487" s="3">
        <v>126600</v>
      </c>
      <c r="S487" s="3">
        <v>0</v>
      </c>
      <c r="T487" s="3">
        <v>0</v>
      </c>
      <c r="U487" s="3">
        <v>0</v>
      </c>
      <c r="V487" s="3">
        <v>2018</v>
      </c>
      <c r="W487" s="3">
        <v>88900</v>
      </c>
      <c r="X487" s="3">
        <v>18982500</v>
      </c>
      <c r="Y487" s="3">
        <v>18893600</v>
      </c>
      <c r="Z487" s="3">
        <v>17487800</v>
      </c>
      <c r="AA487" s="3">
        <v>1494700</v>
      </c>
      <c r="AB487" s="3">
        <v>9</v>
      </c>
    </row>
    <row r="488" spans="1:28" x14ac:dyDescent="0.35">
      <c r="A488">
        <v>2022</v>
      </c>
      <c r="B488" t="str">
        <f t="shared" si="59"/>
        <v>30</v>
      </c>
      <c r="C488" t="s">
        <v>214</v>
      </c>
      <c r="D488" t="s">
        <v>33</v>
      </c>
      <c r="E488" t="str">
        <f t="shared" si="60"/>
        <v>174</v>
      </c>
      <c r="F488" t="s">
        <v>217</v>
      </c>
      <c r="G488" t="str">
        <f>"007"</f>
        <v>007</v>
      </c>
      <c r="H488" t="str">
        <f>"2793"</f>
        <v>2793</v>
      </c>
      <c r="I488" s="3">
        <v>64420200</v>
      </c>
      <c r="J488" s="3">
        <v>100</v>
      </c>
      <c r="K488" s="3">
        <v>64420200</v>
      </c>
      <c r="L488" s="3">
        <v>0</v>
      </c>
      <c r="M488" s="3">
        <v>64420200</v>
      </c>
      <c r="N488" s="3">
        <v>0</v>
      </c>
      <c r="O488" s="3">
        <v>0</v>
      </c>
      <c r="P488" s="3">
        <v>0</v>
      </c>
      <c r="Q488" s="3">
        <v>0</v>
      </c>
      <c r="R488" s="3">
        <v>30417200</v>
      </c>
      <c r="S488" s="3">
        <v>0</v>
      </c>
      <c r="T488" s="3">
        <v>0</v>
      </c>
      <c r="U488" s="3">
        <v>0</v>
      </c>
      <c r="V488" s="3">
        <v>2018</v>
      </c>
      <c r="W488" s="3">
        <v>832500</v>
      </c>
      <c r="X488" s="3">
        <v>94837400</v>
      </c>
      <c r="Y488" s="3">
        <v>94004900</v>
      </c>
      <c r="Z488" s="3">
        <v>35350800</v>
      </c>
      <c r="AA488" s="3">
        <v>59486600</v>
      </c>
      <c r="AB488" s="3">
        <v>168</v>
      </c>
    </row>
    <row r="489" spans="1:28" x14ac:dyDescent="0.35">
      <c r="A489">
        <v>2022</v>
      </c>
      <c r="B489" t="str">
        <f t="shared" si="59"/>
        <v>30</v>
      </c>
      <c r="C489" t="s">
        <v>214</v>
      </c>
      <c r="D489" t="s">
        <v>33</v>
      </c>
      <c r="E489" t="str">
        <f t="shared" si="60"/>
        <v>174</v>
      </c>
      <c r="F489" t="s">
        <v>217</v>
      </c>
      <c r="G489" t="str">
        <f>"008"</f>
        <v>008</v>
      </c>
      <c r="H489" t="str">
        <f>"2793"</f>
        <v>2793</v>
      </c>
      <c r="I489" s="3">
        <v>21080500</v>
      </c>
      <c r="J489" s="3">
        <v>100</v>
      </c>
      <c r="K489" s="3">
        <v>21080500</v>
      </c>
      <c r="L489" s="3">
        <v>0</v>
      </c>
      <c r="M489" s="3">
        <v>21080500</v>
      </c>
      <c r="N489" s="3">
        <v>0</v>
      </c>
      <c r="O489" s="3">
        <v>0</v>
      </c>
      <c r="P489" s="3">
        <v>0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3">
        <v>2021</v>
      </c>
      <c r="W489" s="3">
        <v>12458700</v>
      </c>
      <c r="X489" s="3">
        <v>21080500</v>
      </c>
      <c r="Y489" s="3">
        <v>8621800</v>
      </c>
      <c r="Z489" s="3">
        <v>12458700</v>
      </c>
      <c r="AA489" s="3">
        <v>8621800</v>
      </c>
      <c r="AB489" s="3">
        <v>69</v>
      </c>
    </row>
    <row r="490" spans="1:28" x14ac:dyDescent="0.35">
      <c r="A490">
        <v>2022</v>
      </c>
      <c r="B490" t="str">
        <f t="shared" si="59"/>
        <v>30</v>
      </c>
      <c r="C490" t="s">
        <v>214</v>
      </c>
      <c r="D490" t="s">
        <v>33</v>
      </c>
      <c r="E490" t="str">
        <f>"179"</f>
        <v>179</v>
      </c>
      <c r="F490" t="s">
        <v>218</v>
      </c>
      <c r="G490" t="str">
        <f>"001"</f>
        <v>001</v>
      </c>
      <c r="H490" t="str">
        <f>"5780"</f>
        <v>5780</v>
      </c>
      <c r="I490" s="3">
        <v>4455700</v>
      </c>
      <c r="J490" s="3">
        <v>88.01</v>
      </c>
      <c r="K490" s="3">
        <v>5062700</v>
      </c>
      <c r="L490" s="3">
        <v>0</v>
      </c>
      <c r="M490" s="3">
        <v>5062700</v>
      </c>
      <c r="N490" s="3">
        <v>17693400</v>
      </c>
      <c r="O490" s="3">
        <v>17693400</v>
      </c>
      <c r="P490" s="3">
        <v>707000</v>
      </c>
      <c r="Q490" s="3">
        <v>707000</v>
      </c>
      <c r="R490" s="3">
        <v>231700</v>
      </c>
      <c r="S490" s="3">
        <v>0</v>
      </c>
      <c r="T490" s="3">
        <v>0</v>
      </c>
      <c r="U490" s="3">
        <v>0</v>
      </c>
      <c r="V490" s="3">
        <v>2015</v>
      </c>
      <c r="W490" s="3">
        <v>29500</v>
      </c>
      <c r="X490" s="3">
        <v>23694800</v>
      </c>
      <c r="Y490" s="3">
        <v>23665300</v>
      </c>
      <c r="Z490" s="3">
        <v>17493700</v>
      </c>
      <c r="AA490" s="3">
        <v>6201100</v>
      </c>
      <c r="AB490" s="3">
        <v>35</v>
      </c>
    </row>
    <row r="491" spans="1:28" x14ac:dyDescent="0.35">
      <c r="A491">
        <v>2022</v>
      </c>
      <c r="B491" t="str">
        <f t="shared" si="59"/>
        <v>30</v>
      </c>
      <c r="C491" t="s">
        <v>214</v>
      </c>
      <c r="D491" t="s">
        <v>33</v>
      </c>
      <c r="E491" t="str">
        <f t="shared" ref="E491:E501" si="61">"182"</f>
        <v>182</v>
      </c>
      <c r="F491" t="s">
        <v>219</v>
      </c>
      <c r="G491" t="str">
        <f>"001"</f>
        <v>001</v>
      </c>
      <c r="H491" t="str">
        <f t="shared" ref="H491:H501" si="62">"2793"</f>
        <v>2793</v>
      </c>
      <c r="I491" s="3">
        <v>50862000</v>
      </c>
      <c r="J491" s="3">
        <v>84.51</v>
      </c>
      <c r="K491" s="3">
        <v>60184600</v>
      </c>
      <c r="L491" s="3">
        <v>0</v>
      </c>
      <c r="M491" s="3">
        <v>60184600</v>
      </c>
      <c r="N491" s="3">
        <v>0</v>
      </c>
      <c r="O491" s="3">
        <v>0</v>
      </c>
      <c r="P491" s="3">
        <v>0</v>
      </c>
      <c r="Q491" s="3">
        <v>0</v>
      </c>
      <c r="R491" s="3">
        <v>-16800</v>
      </c>
      <c r="S491" s="3">
        <v>0</v>
      </c>
      <c r="T491" s="3">
        <v>0</v>
      </c>
      <c r="U491" s="3">
        <v>0</v>
      </c>
      <c r="V491" s="3">
        <v>2015</v>
      </c>
      <c r="W491" s="3">
        <v>476300</v>
      </c>
      <c r="X491" s="3">
        <v>60167800</v>
      </c>
      <c r="Y491" s="3">
        <v>59691500</v>
      </c>
      <c r="Z491" s="3">
        <v>52939100</v>
      </c>
      <c r="AA491" s="3">
        <v>7228700</v>
      </c>
      <c r="AB491" s="3">
        <v>14</v>
      </c>
    </row>
    <row r="492" spans="1:28" x14ac:dyDescent="0.35">
      <c r="A492">
        <v>2022</v>
      </c>
      <c r="B492" t="str">
        <f t="shared" si="59"/>
        <v>30</v>
      </c>
      <c r="C492" t="s">
        <v>214</v>
      </c>
      <c r="D492" t="s">
        <v>33</v>
      </c>
      <c r="E492" t="str">
        <f t="shared" si="61"/>
        <v>182</v>
      </c>
      <c r="F492" t="s">
        <v>219</v>
      </c>
      <c r="G492" t="str">
        <f>"002"</f>
        <v>002</v>
      </c>
      <c r="H492" t="str">
        <f t="shared" si="62"/>
        <v>2793</v>
      </c>
      <c r="I492" s="3">
        <v>73641200</v>
      </c>
      <c r="J492" s="3">
        <v>84.51</v>
      </c>
      <c r="K492" s="3">
        <v>87139000</v>
      </c>
      <c r="L492" s="3">
        <v>0</v>
      </c>
      <c r="M492" s="3">
        <v>87139000</v>
      </c>
      <c r="N492" s="3">
        <v>0</v>
      </c>
      <c r="O492" s="3">
        <v>0</v>
      </c>
      <c r="P492" s="3">
        <v>0</v>
      </c>
      <c r="Q492" s="3">
        <v>0</v>
      </c>
      <c r="R492" s="3">
        <v>-23600</v>
      </c>
      <c r="S492" s="3">
        <v>0</v>
      </c>
      <c r="T492" s="3">
        <v>0</v>
      </c>
      <c r="U492" s="3">
        <v>0</v>
      </c>
      <c r="V492" s="3">
        <v>2015</v>
      </c>
      <c r="W492" s="3">
        <v>5810800</v>
      </c>
      <c r="X492" s="3">
        <v>87115400</v>
      </c>
      <c r="Y492" s="3">
        <v>81304600</v>
      </c>
      <c r="Z492" s="3">
        <v>91626800</v>
      </c>
      <c r="AA492" s="3">
        <v>-4511400</v>
      </c>
      <c r="AB492" s="3">
        <v>-5</v>
      </c>
    </row>
    <row r="493" spans="1:28" x14ac:dyDescent="0.35">
      <c r="A493">
        <v>2022</v>
      </c>
      <c r="B493" t="str">
        <f t="shared" si="59"/>
        <v>30</v>
      </c>
      <c r="C493" t="s">
        <v>214</v>
      </c>
      <c r="D493" t="s">
        <v>33</v>
      </c>
      <c r="E493" t="str">
        <f t="shared" si="61"/>
        <v>182</v>
      </c>
      <c r="F493" t="s">
        <v>219</v>
      </c>
      <c r="G493" t="str">
        <f>"003"</f>
        <v>003</v>
      </c>
      <c r="H493" t="str">
        <f t="shared" si="62"/>
        <v>2793</v>
      </c>
      <c r="I493" s="3">
        <v>2907700</v>
      </c>
      <c r="J493" s="3">
        <v>84.51</v>
      </c>
      <c r="K493" s="3">
        <v>3440700</v>
      </c>
      <c r="L493" s="3">
        <v>0</v>
      </c>
      <c r="M493" s="3">
        <v>3440700</v>
      </c>
      <c r="N493" s="3">
        <v>0</v>
      </c>
      <c r="O493" s="3">
        <v>0</v>
      </c>
      <c r="P493" s="3">
        <v>0</v>
      </c>
      <c r="Q493" s="3">
        <v>0</v>
      </c>
      <c r="R493" s="3">
        <v>-800</v>
      </c>
      <c r="S493" s="3">
        <v>0</v>
      </c>
      <c r="T493" s="3">
        <v>0</v>
      </c>
      <c r="U493" s="3">
        <v>0</v>
      </c>
      <c r="V493" s="3">
        <v>2018</v>
      </c>
      <c r="W493" s="3">
        <v>1779800</v>
      </c>
      <c r="X493" s="3">
        <v>3439900</v>
      </c>
      <c r="Y493" s="3">
        <v>1660100</v>
      </c>
      <c r="Z493" s="3">
        <v>3078900</v>
      </c>
      <c r="AA493" s="3">
        <v>361000</v>
      </c>
      <c r="AB493" s="3">
        <v>12</v>
      </c>
    </row>
    <row r="494" spans="1:28" x14ac:dyDescent="0.35">
      <c r="A494">
        <v>2022</v>
      </c>
      <c r="B494" t="str">
        <f t="shared" si="59"/>
        <v>30</v>
      </c>
      <c r="C494" t="s">
        <v>214</v>
      </c>
      <c r="D494" t="s">
        <v>33</v>
      </c>
      <c r="E494" t="str">
        <f t="shared" si="61"/>
        <v>182</v>
      </c>
      <c r="F494" t="s">
        <v>219</v>
      </c>
      <c r="G494" t="str">
        <f>"004"</f>
        <v>004</v>
      </c>
      <c r="H494" t="str">
        <f t="shared" si="62"/>
        <v>2793</v>
      </c>
      <c r="I494" s="3">
        <v>36251600</v>
      </c>
      <c r="J494" s="3">
        <v>84.51</v>
      </c>
      <c r="K494" s="3">
        <v>42896200</v>
      </c>
      <c r="L494" s="3">
        <v>0</v>
      </c>
      <c r="M494" s="3">
        <v>42896200</v>
      </c>
      <c r="N494" s="3">
        <v>0</v>
      </c>
      <c r="O494" s="3">
        <v>0</v>
      </c>
      <c r="P494" s="3">
        <v>0</v>
      </c>
      <c r="Q494" s="3">
        <v>0</v>
      </c>
      <c r="R494" s="3">
        <v>-11400</v>
      </c>
      <c r="S494" s="3">
        <v>0</v>
      </c>
      <c r="T494" s="3">
        <v>0</v>
      </c>
      <c r="U494" s="3">
        <v>0</v>
      </c>
      <c r="V494" s="3">
        <v>2018</v>
      </c>
      <c r="W494" s="3">
        <v>1767500</v>
      </c>
      <c r="X494" s="3">
        <v>42884800</v>
      </c>
      <c r="Y494" s="3">
        <v>41117300</v>
      </c>
      <c r="Z494" s="3">
        <v>39960600</v>
      </c>
      <c r="AA494" s="3">
        <v>2924200</v>
      </c>
      <c r="AB494" s="3">
        <v>7</v>
      </c>
    </row>
    <row r="495" spans="1:28" x14ac:dyDescent="0.35">
      <c r="A495">
        <v>2022</v>
      </c>
      <c r="B495" t="str">
        <f t="shared" si="59"/>
        <v>30</v>
      </c>
      <c r="C495" t="s">
        <v>214</v>
      </c>
      <c r="D495" t="s">
        <v>33</v>
      </c>
      <c r="E495" t="str">
        <f t="shared" si="61"/>
        <v>182</v>
      </c>
      <c r="F495" t="s">
        <v>219</v>
      </c>
      <c r="G495" t="str">
        <f>"005"</f>
        <v>005</v>
      </c>
      <c r="H495" t="str">
        <f t="shared" si="62"/>
        <v>2793</v>
      </c>
      <c r="I495" s="3">
        <v>1307100</v>
      </c>
      <c r="J495" s="3">
        <v>84.51</v>
      </c>
      <c r="K495" s="3">
        <v>1546700</v>
      </c>
      <c r="L495" s="3">
        <v>0</v>
      </c>
      <c r="M495" s="3">
        <v>1546700</v>
      </c>
      <c r="N495" s="3">
        <v>0</v>
      </c>
      <c r="O495" s="3">
        <v>0</v>
      </c>
      <c r="P495" s="3">
        <v>0</v>
      </c>
      <c r="Q495" s="3">
        <v>0</v>
      </c>
      <c r="R495" s="3">
        <v>-400</v>
      </c>
      <c r="S495" s="3">
        <v>0</v>
      </c>
      <c r="T495" s="3">
        <v>0</v>
      </c>
      <c r="U495" s="3">
        <v>0</v>
      </c>
      <c r="V495" s="3">
        <v>2018</v>
      </c>
      <c r="W495" s="3">
        <v>1148400</v>
      </c>
      <c r="X495" s="3">
        <v>1546300</v>
      </c>
      <c r="Y495" s="3">
        <v>397900</v>
      </c>
      <c r="Z495" s="3">
        <v>1173200</v>
      </c>
      <c r="AA495" s="3">
        <v>373100</v>
      </c>
      <c r="AB495" s="3">
        <v>32</v>
      </c>
    </row>
    <row r="496" spans="1:28" x14ac:dyDescent="0.35">
      <c r="A496">
        <v>2022</v>
      </c>
      <c r="B496" t="str">
        <f t="shared" si="59"/>
        <v>30</v>
      </c>
      <c r="C496" t="s">
        <v>214</v>
      </c>
      <c r="D496" t="s">
        <v>33</v>
      </c>
      <c r="E496" t="str">
        <f t="shared" si="61"/>
        <v>182</v>
      </c>
      <c r="F496" t="s">
        <v>219</v>
      </c>
      <c r="G496" t="str">
        <f>"006"</f>
        <v>006</v>
      </c>
      <c r="H496" t="str">
        <f t="shared" si="62"/>
        <v>2793</v>
      </c>
      <c r="I496" s="3">
        <v>3293700</v>
      </c>
      <c r="J496" s="3">
        <v>84.51</v>
      </c>
      <c r="K496" s="3">
        <v>3897400</v>
      </c>
      <c r="L496" s="3">
        <v>0</v>
      </c>
      <c r="M496" s="3">
        <v>3897400</v>
      </c>
      <c r="N496" s="3">
        <v>0</v>
      </c>
      <c r="O496" s="3">
        <v>0</v>
      </c>
      <c r="P496" s="3">
        <v>0</v>
      </c>
      <c r="Q496" s="3">
        <v>0</v>
      </c>
      <c r="R496" s="3">
        <v>-1000</v>
      </c>
      <c r="S496" s="3">
        <v>0</v>
      </c>
      <c r="T496" s="3">
        <v>0</v>
      </c>
      <c r="U496" s="3">
        <v>0</v>
      </c>
      <c r="V496" s="3">
        <v>2018</v>
      </c>
      <c r="W496" s="3">
        <v>2894000</v>
      </c>
      <c r="X496" s="3">
        <v>3896400</v>
      </c>
      <c r="Y496" s="3">
        <v>1002400</v>
      </c>
      <c r="Z496" s="3">
        <v>3247300</v>
      </c>
      <c r="AA496" s="3">
        <v>649100</v>
      </c>
      <c r="AB496" s="3">
        <v>20</v>
      </c>
    </row>
    <row r="497" spans="1:28" x14ac:dyDescent="0.35">
      <c r="A497">
        <v>2022</v>
      </c>
      <c r="B497" t="str">
        <f t="shared" si="59"/>
        <v>30</v>
      </c>
      <c r="C497" t="s">
        <v>214</v>
      </c>
      <c r="D497" t="s">
        <v>33</v>
      </c>
      <c r="E497" t="str">
        <f t="shared" si="61"/>
        <v>182</v>
      </c>
      <c r="F497" t="s">
        <v>219</v>
      </c>
      <c r="G497" t="str">
        <f>"007"</f>
        <v>007</v>
      </c>
      <c r="H497" t="str">
        <f t="shared" si="62"/>
        <v>2793</v>
      </c>
      <c r="I497" s="3">
        <v>9350800</v>
      </c>
      <c r="J497" s="3">
        <v>84.51</v>
      </c>
      <c r="K497" s="3">
        <v>11064700</v>
      </c>
      <c r="L497" s="3">
        <v>0</v>
      </c>
      <c r="M497" s="3">
        <v>11064700</v>
      </c>
      <c r="N497" s="3">
        <v>0</v>
      </c>
      <c r="O497" s="3">
        <v>0</v>
      </c>
      <c r="P497" s="3">
        <v>0</v>
      </c>
      <c r="Q497" s="3">
        <v>0</v>
      </c>
      <c r="R497" s="3">
        <v>-3000</v>
      </c>
      <c r="S497" s="3">
        <v>0</v>
      </c>
      <c r="T497" s="3">
        <v>0</v>
      </c>
      <c r="U497" s="3">
        <v>0</v>
      </c>
      <c r="V497" s="3">
        <v>2018</v>
      </c>
      <c r="W497" s="3">
        <v>8364800</v>
      </c>
      <c r="X497" s="3">
        <v>11061700</v>
      </c>
      <c r="Y497" s="3">
        <v>2696900</v>
      </c>
      <c r="Z497" s="3">
        <v>9906700</v>
      </c>
      <c r="AA497" s="3">
        <v>1155000</v>
      </c>
      <c r="AB497" s="3">
        <v>12</v>
      </c>
    </row>
    <row r="498" spans="1:28" x14ac:dyDescent="0.35">
      <c r="A498">
        <v>2022</v>
      </c>
      <c r="B498" t="str">
        <f t="shared" si="59"/>
        <v>30</v>
      </c>
      <c r="C498" t="s">
        <v>214</v>
      </c>
      <c r="D498" t="s">
        <v>33</v>
      </c>
      <c r="E498" t="str">
        <f t="shared" si="61"/>
        <v>182</v>
      </c>
      <c r="F498" t="s">
        <v>219</v>
      </c>
      <c r="G498" t="str">
        <f>"008"</f>
        <v>008</v>
      </c>
      <c r="H498" t="str">
        <f t="shared" si="62"/>
        <v>2793</v>
      </c>
      <c r="I498" s="3">
        <v>364300</v>
      </c>
      <c r="J498" s="3">
        <v>84.51</v>
      </c>
      <c r="K498" s="3">
        <v>431100</v>
      </c>
      <c r="L498" s="3">
        <v>0</v>
      </c>
      <c r="M498" s="3">
        <v>431100</v>
      </c>
      <c r="N498" s="3">
        <v>0</v>
      </c>
      <c r="O498" s="3">
        <v>0</v>
      </c>
      <c r="P498" s="3">
        <v>0</v>
      </c>
      <c r="Q498" s="3">
        <v>0</v>
      </c>
      <c r="R498" s="3">
        <v>-100</v>
      </c>
      <c r="S498" s="3">
        <v>0</v>
      </c>
      <c r="T498" s="3">
        <v>0</v>
      </c>
      <c r="U498" s="3">
        <v>0</v>
      </c>
      <c r="V498" s="3">
        <v>2018</v>
      </c>
      <c r="W498" s="3">
        <v>362100</v>
      </c>
      <c r="X498" s="3">
        <v>431000</v>
      </c>
      <c r="Y498" s="3">
        <v>68900</v>
      </c>
      <c r="Z498" s="3">
        <v>379000</v>
      </c>
      <c r="AA498" s="3">
        <v>52000</v>
      </c>
      <c r="AB498" s="3">
        <v>14</v>
      </c>
    </row>
    <row r="499" spans="1:28" x14ac:dyDescent="0.35">
      <c r="A499">
        <v>2022</v>
      </c>
      <c r="B499" t="str">
        <f t="shared" si="59"/>
        <v>30</v>
      </c>
      <c r="C499" t="s">
        <v>214</v>
      </c>
      <c r="D499" t="s">
        <v>33</v>
      </c>
      <c r="E499" t="str">
        <f t="shared" si="61"/>
        <v>182</v>
      </c>
      <c r="F499" t="s">
        <v>219</v>
      </c>
      <c r="G499" t="str">
        <f>"009"</f>
        <v>009</v>
      </c>
      <c r="H499" t="str">
        <f t="shared" si="62"/>
        <v>2793</v>
      </c>
      <c r="I499" s="3">
        <v>1951100</v>
      </c>
      <c r="J499" s="3">
        <v>84.51</v>
      </c>
      <c r="K499" s="3">
        <v>2308700</v>
      </c>
      <c r="L499" s="3">
        <v>0</v>
      </c>
      <c r="M499" s="3">
        <v>2308700</v>
      </c>
      <c r="N499" s="3">
        <v>0</v>
      </c>
      <c r="O499" s="3">
        <v>0</v>
      </c>
      <c r="P499" s="3">
        <v>0</v>
      </c>
      <c r="Q499" s="3">
        <v>0</v>
      </c>
      <c r="R499" s="3">
        <v>-700</v>
      </c>
      <c r="S499" s="3">
        <v>0</v>
      </c>
      <c r="T499" s="3">
        <v>0</v>
      </c>
      <c r="U499" s="3">
        <v>0</v>
      </c>
      <c r="V499" s="3">
        <v>2018</v>
      </c>
      <c r="W499" s="3">
        <v>2081700</v>
      </c>
      <c r="X499" s="3">
        <v>2308000</v>
      </c>
      <c r="Y499" s="3">
        <v>226300</v>
      </c>
      <c r="Z499" s="3">
        <v>2045400</v>
      </c>
      <c r="AA499" s="3">
        <v>262600</v>
      </c>
      <c r="AB499" s="3">
        <v>13</v>
      </c>
    </row>
    <row r="500" spans="1:28" x14ac:dyDescent="0.35">
      <c r="A500">
        <v>2022</v>
      </c>
      <c r="B500" t="str">
        <f t="shared" si="59"/>
        <v>30</v>
      </c>
      <c r="C500" t="s">
        <v>214</v>
      </c>
      <c r="D500" t="s">
        <v>33</v>
      </c>
      <c r="E500" t="str">
        <f t="shared" si="61"/>
        <v>182</v>
      </c>
      <c r="F500" t="s">
        <v>219</v>
      </c>
      <c r="G500" t="str">
        <f>"010"</f>
        <v>010</v>
      </c>
      <c r="H500" t="str">
        <f t="shared" si="62"/>
        <v>2793</v>
      </c>
      <c r="I500" s="3">
        <v>4004800</v>
      </c>
      <c r="J500" s="3">
        <v>84.51</v>
      </c>
      <c r="K500" s="3">
        <v>4738800</v>
      </c>
      <c r="L500" s="3">
        <v>0</v>
      </c>
      <c r="M500" s="3">
        <v>4738800</v>
      </c>
      <c r="N500" s="3">
        <v>0</v>
      </c>
      <c r="O500" s="3">
        <v>0</v>
      </c>
      <c r="P500" s="3">
        <v>0</v>
      </c>
      <c r="Q500" s="3">
        <v>0</v>
      </c>
      <c r="R500" s="3">
        <v>-1100</v>
      </c>
      <c r="S500" s="3">
        <v>0</v>
      </c>
      <c r="T500" s="3">
        <v>0</v>
      </c>
      <c r="U500" s="3">
        <v>0</v>
      </c>
      <c r="V500" s="3">
        <v>2018</v>
      </c>
      <c r="W500" s="3">
        <v>3219200</v>
      </c>
      <c r="X500" s="3">
        <v>4737700</v>
      </c>
      <c r="Y500" s="3">
        <v>1518500</v>
      </c>
      <c r="Z500" s="3">
        <v>3219200</v>
      </c>
      <c r="AA500" s="3">
        <v>1518500</v>
      </c>
      <c r="AB500" s="3">
        <v>47</v>
      </c>
    </row>
    <row r="501" spans="1:28" x14ac:dyDescent="0.35">
      <c r="A501">
        <v>2022</v>
      </c>
      <c r="B501" t="str">
        <f t="shared" si="59"/>
        <v>30</v>
      </c>
      <c r="C501" t="s">
        <v>214</v>
      </c>
      <c r="D501" t="s">
        <v>33</v>
      </c>
      <c r="E501" t="str">
        <f t="shared" si="61"/>
        <v>182</v>
      </c>
      <c r="F501" t="s">
        <v>219</v>
      </c>
      <c r="G501" t="str">
        <f>"011"</f>
        <v>011</v>
      </c>
      <c r="H501" t="str">
        <f t="shared" si="62"/>
        <v>2793</v>
      </c>
      <c r="I501" s="3">
        <v>213800</v>
      </c>
      <c r="J501" s="3">
        <v>84.51</v>
      </c>
      <c r="K501" s="3">
        <v>253000</v>
      </c>
      <c r="L501" s="3">
        <v>0</v>
      </c>
      <c r="M501" s="3">
        <v>253000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2018</v>
      </c>
      <c r="W501" s="3">
        <v>195100</v>
      </c>
      <c r="X501" s="3">
        <v>253000</v>
      </c>
      <c r="Y501" s="3">
        <v>57900</v>
      </c>
      <c r="Z501" s="3">
        <v>250700</v>
      </c>
      <c r="AA501" s="3">
        <v>2300</v>
      </c>
      <c r="AB501" s="3">
        <v>1</v>
      </c>
    </row>
    <row r="502" spans="1:28" x14ac:dyDescent="0.35">
      <c r="A502">
        <v>2022</v>
      </c>
      <c r="B502" t="str">
        <f t="shared" si="59"/>
        <v>30</v>
      </c>
      <c r="C502" t="s">
        <v>214</v>
      </c>
      <c r="D502" t="s">
        <v>33</v>
      </c>
      <c r="E502" t="str">
        <f>"186"</f>
        <v>186</v>
      </c>
      <c r="F502" t="s">
        <v>220</v>
      </c>
      <c r="G502" t="str">
        <f>"001"</f>
        <v>001</v>
      </c>
      <c r="H502" t="str">
        <f>"4627"</f>
        <v>4627</v>
      </c>
      <c r="I502" s="3">
        <v>9366000</v>
      </c>
      <c r="J502" s="3">
        <v>82.67</v>
      </c>
      <c r="K502" s="3">
        <v>11329400</v>
      </c>
      <c r="L502" s="3">
        <v>0</v>
      </c>
      <c r="M502" s="3">
        <v>11329400</v>
      </c>
      <c r="N502" s="3">
        <v>0</v>
      </c>
      <c r="O502" s="3">
        <v>0</v>
      </c>
      <c r="P502" s="3">
        <v>0</v>
      </c>
      <c r="Q502" s="3">
        <v>0</v>
      </c>
      <c r="R502" s="3">
        <v>-523800</v>
      </c>
      <c r="S502" s="3">
        <v>0</v>
      </c>
      <c r="T502" s="3">
        <v>0</v>
      </c>
      <c r="U502" s="3">
        <v>0</v>
      </c>
      <c r="V502" s="3">
        <v>2007</v>
      </c>
      <c r="W502" s="3">
        <v>8799700</v>
      </c>
      <c r="X502" s="3">
        <v>10805600</v>
      </c>
      <c r="Y502" s="3">
        <v>2005900</v>
      </c>
      <c r="Z502" s="3">
        <v>11121700</v>
      </c>
      <c r="AA502" s="3">
        <v>-316100</v>
      </c>
      <c r="AB502" s="3">
        <v>-3</v>
      </c>
    </row>
    <row r="503" spans="1:28" x14ac:dyDescent="0.35">
      <c r="A503">
        <v>2022</v>
      </c>
      <c r="B503" t="str">
        <f t="shared" si="59"/>
        <v>30</v>
      </c>
      <c r="C503" t="s">
        <v>214</v>
      </c>
      <c r="D503" t="s">
        <v>33</v>
      </c>
      <c r="E503" t="str">
        <f>"186"</f>
        <v>186</v>
      </c>
      <c r="F503" t="s">
        <v>220</v>
      </c>
      <c r="G503" t="str">
        <f>"001"</f>
        <v>001</v>
      </c>
      <c r="H503" t="str">
        <f>"5817"</f>
        <v>5817</v>
      </c>
      <c r="I503" s="3">
        <v>37692900</v>
      </c>
      <c r="J503" s="3">
        <v>82.67</v>
      </c>
      <c r="K503" s="3">
        <v>45594400</v>
      </c>
      <c r="L503" s="3">
        <v>0</v>
      </c>
      <c r="M503" s="3">
        <v>45594400</v>
      </c>
      <c r="N503" s="3">
        <v>0</v>
      </c>
      <c r="O503" s="3">
        <v>0</v>
      </c>
      <c r="P503" s="3">
        <v>0</v>
      </c>
      <c r="Q503" s="3">
        <v>0</v>
      </c>
      <c r="R503" s="3">
        <v>1430000</v>
      </c>
      <c r="S503" s="3">
        <v>0</v>
      </c>
      <c r="T503" s="3">
        <v>0</v>
      </c>
      <c r="U503" s="3">
        <v>0</v>
      </c>
      <c r="V503" s="3">
        <v>2007</v>
      </c>
      <c r="W503" s="3">
        <v>35244700</v>
      </c>
      <c r="X503" s="3">
        <v>47024400</v>
      </c>
      <c r="Y503" s="3">
        <v>11779700</v>
      </c>
      <c r="Z503" s="3">
        <v>40189900</v>
      </c>
      <c r="AA503" s="3">
        <v>6834500</v>
      </c>
      <c r="AB503" s="3">
        <v>17</v>
      </c>
    </row>
    <row r="504" spans="1:28" x14ac:dyDescent="0.35">
      <c r="A504">
        <v>2022</v>
      </c>
      <c r="B504" t="str">
        <f t="shared" si="59"/>
        <v>30</v>
      </c>
      <c r="C504" t="s">
        <v>214</v>
      </c>
      <c r="D504" t="s">
        <v>35</v>
      </c>
      <c r="E504" t="str">
        <f t="shared" ref="E504:E529" si="63">"241"</f>
        <v>241</v>
      </c>
      <c r="F504" t="s">
        <v>214</v>
      </c>
      <c r="G504" t="str">
        <f>"004"</f>
        <v>004</v>
      </c>
      <c r="H504" t="str">
        <f t="shared" ref="H504:H518" si="64">"2793"</f>
        <v>2793</v>
      </c>
      <c r="I504" s="3">
        <v>103583000</v>
      </c>
      <c r="J504" s="3">
        <v>74.790000000000006</v>
      </c>
      <c r="K504" s="3">
        <v>138498500</v>
      </c>
      <c r="L504" s="3">
        <v>0</v>
      </c>
      <c r="M504" s="3">
        <v>138498500</v>
      </c>
      <c r="N504" s="3">
        <v>0</v>
      </c>
      <c r="O504" s="3">
        <v>0</v>
      </c>
      <c r="P504" s="3">
        <v>0</v>
      </c>
      <c r="Q504" s="3">
        <v>0</v>
      </c>
      <c r="R504" s="3">
        <v>-247700</v>
      </c>
      <c r="S504" s="3">
        <v>0</v>
      </c>
      <c r="T504" s="3">
        <v>0</v>
      </c>
      <c r="U504" s="3">
        <v>1617300</v>
      </c>
      <c r="V504" s="3">
        <v>1989</v>
      </c>
      <c r="W504" s="3">
        <v>16173300</v>
      </c>
      <c r="X504" s="3">
        <v>139868100</v>
      </c>
      <c r="Y504" s="3">
        <v>123694800</v>
      </c>
      <c r="Z504" s="3">
        <v>128716700</v>
      </c>
      <c r="AA504" s="3">
        <v>11151400</v>
      </c>
      <c r="AB504" s="3">
        <v>9</v>
      </c>
    </row>
    <row r="505" spans="1:28" x14ac:dyDescent="0.35">
      <c r="A505">
        <v>2022</v>
      </c>
      <c r="B505" t="str">
        <f t="shared" si="59"/>
        <v>30</v>
      </c>
      <c r="C505" t="s">
        <v>214</v>
      </c>
      <c r="D505" t="s">
        <v>35</v>
      </c>
      <c r="E505" t="str">
        <f t="shared" si="63"/>
        <v>241</v>
      </c>
      <c r="F505" t="s">
        <v>214</v>
      </c>
      <c r="G505" t="str">
        <f>"005"</f>
        <v>005</v>
      </c>
      <c r="H505" t="str">
        <f t="shared" si="64"/>
        <v>2793</v>
      </c>
      <c r="I505" s="3">
        <v>62598100</v>
      </c>
      <c r="J505" s="3">
        <v>74.790000000000006</v>
      </c>
      <c r="K505" s="3">
        <v>83698500</v>
      </c>
      <c r="L505" s="3">
        <v>0</v>
      </c>
      <c r="M505" s="3">
        <v>83698500</v>
      </c>
      <c r="N505" s="3">
        <v>49426500</v>
      </c>
      <c r="O505" s="3">
        <v>49426500</v>
      </c>
      <c r="P505" s="3">
        <v>3554800</v>
      </c>
      <c r="Q505" s="3">
        <v>3554800</v>
      </c>
      <c r="R505" s="3">
        <v>-105300</v>
      </c>
      <c r="S505" s="3">
        <v>0</v>
      </c>
      <c r="T505" s="3">
        <v>0</v>
      </c>
      <c r="U505" s="3">
        <v>0</v>
      </c>
      <c r="V505" s="3">
        <v>1994</v>
      </c>
      <c r="W505" s="3">
        <v>319700</v>
      </c>
      <c r="X505" s="3">
        <v>136574500</v>
      </c>
      <c r="Y505" s="3">
        <v>136254800</v>
      </c>
      <c r="Z505" s="3">
        <v>114909800</v>
      </c>
      <c r="AA505" s="3">
        <v>21664700</v>
      </c>
      <c r="AB505" s="3">
        <v>19</v>
      </c>
    </row>
    <row r="506" spans="1:28" x14ac:dyDescent="0.35">
      <c r="A506">
        <v>2022</v>
      </c>
      <c r="B506" t="str">
        <f t="shared" si="59"/>
        <v>30</v>
      </c>
      <c r="C506" t="s">
        <v>214</v>
      </c>
      <c r="D506" t="s">
        <v>35</v>
      </c>
      <c r="E506" t="str">
        <f t="shared" si="63"/>
        <v>241</v>
      </c>
      <c r="F506" t="s">
        <v>214</v>
      </c>
      <c r="G506" t="str">
        <f>"006"</f>
        <v>006</v>
      </c>
      <c r="H506" t="str">
        <f t="shared" si="64"/>
        <v>2793</v>
      </c>
      <c r="I506" s="3">
        <v>15054500</v>
      </c>
      <c r="J506" s="3">
        <v>74.790000000000006</v>
      </c>
      <c r="K506" s="3">
        <v>20129000</v>
      </c>
      <c r="L506" s="3">
        <v>0</v>
      </c>
      <c r="M506" s="3">
        <v>20129000</v>
      </c>
      <c r="N506" s="3">
        <v>0</v>
      </c>
      <c r="O506" s="3">
        <v>0</v>
      </c>
      <c r="P506" s="3">
        <v>1600</v>
      </c>
      <c r="Q506" s="3">
        <v>1600</v>
      </c>
      <c r="R506" s="3">
        <v>-35600</v>
      </c>
      <c r="S506" s="3">
        <v>0</v>
      </c>
      <c r="T506" s="3">
        <v>0</v>
      </c>
      <c r="U506" s="3">
        <v>619400</v>
      </c>
      <c r="V506" s="3">
        <v>1997</v>
      </c>
      <c r="W506" s="3">
        <v>3716200</v>
      </c>
      <c r="X506" s="3">
        <v>20714400</v>
      </c>
      <c r="Y506" s="3">
        <v>16998200</v>
      </c>
      <c r="Z506" s="3">
        <v>18899500</v>
      </c>
      <c r="AA506" s="3">
        <v>1814900</v>
      </c>
      <c r="AB506" s="3">
        <v>10</v>
      </c>
    </row>
    <row r="507" spans="1:28" x14ac:dyDescent="0.35">
      <c r="A507">
        <v>2022</v>
      </c>
      <c r="B507" t="str">
        <f t="shared" si="59"/>
        <v>30</v>
      </c>
      <c r="C507" t="s">
        <v>214</v>
      </c>
      <c r="D507" t="s">
        <v>35</v>
      </c>
      <c r="E507" t="str">
        <f t="shared" si="63"/>
        <v>241</v>
      </c>
      <c r="F507" t="s">
        <v>214</v>
      </c>
      <c r="G507" t="str">
        <f>"007"</f>
        <v>007</v>
      </c>
      <c r="H507" t="str">
        <f t="shared" si="64"/>
        <v>2793</v>
      </c>
      <c r="I507" s="3">
        <v>10516300</v>
      </c>
      <c r="J507" s="3">
        <v>74.790000000000006</v>
      </c>
      <c r="K507" s="3">
        <v>14061100</v>
      </c>
      <c r="L507" s="3">
        <v>0</v>
      </c>
      <c r="M507" s="3">
        <v>14061100</v>
      </c>
      <c r="N507" s="3">
        <v>0</v>
      </c>
      <c r="O507" s="3">
        <v>0</v>
      </c>
      <c r="P507" s="3">
        <v>0</v>
      </c>
      <c r="Q507" s="3">
        <v>0</v>
      </c>
      <c r="R507" s="3">
        <v>-24700</v>
      </c>
      <c r="S507" s="3">
        <v>0</v>
      </c>
      <c r="T507" s="3">
        <v>0</v>
      </c>
      <c r="U507" s="3">
        <v>0</v>
      </c>
      <c r="V507" s="3">
        <v>2002</v>
      </c>
      <c r="W507" s="3">
        <v>1178600</v>
      </c>
      <c r="X507" s="3">
        <v>14036400</v>
      </c>
      <c r="Y507" s="3">
        <v>12857800</v>
      </c>
      <c r="Z507" s="3">
        <v>12669500</v>
      </c>
      <c r="AA507" s="3">
        <v>1366900</v>
      </c>
      <c r="AB507" s="3">
        <v>11</v>
      </c>
    </row>
    <row r="508" spans="1:28" x14ac:dyDescent="0.35">
      <c r="A508">
        <v>2022</v>
      </c>
      <c r="B508" t="str">
        <f t="shared" si="59"/>
        <v>30</v>
      </c>
      <c r="C508" t="s">
        <v>214</v>
      </c>
      <c r="D508" t="s">
        <v>35</v>
      </c>
      <c r="E508" t="str">
        <f t="shared" si="63"/>
        <v>241</v>
      </c>
      <c r="F508" t="s">
        <v>214</v>
      </c>
      <c r="G508" t="str">
        <f>"008"</f>
        <v>008</v>
      </c>
      <c r="H508" t="str">
        <f t="shared" si="64"/>
        <v>2793</v>
      </c>
      <c r="I508" s="3">
        <v>38747500</v>
      </c>
      <c r="J508" s="3">
        <v>74.790000000000006</v>
      </c>
      <c r="K508" s="3">
        <v>51808400</v>
      </c>
      <c r="L508" s="3">
        <v>0</v>
      </c>
      <c r="M508" s="3">
        <v>51808400</v>
      </c>
      <c r="N508" s="3">
        <v>36532500</v>
      </c>
      <c r="O508" s="3">
        <v>36532500</v>
      </c>
      <c r="P508" s="3">
        <v>1682100</v>
      </c>
      <c r="Q508" s="3">
        <v>1682100</v>
      </c>
      <c r="R508" s="3">
        <v>-74900</v>
      </c>
      <c r="S508" s="3">
        <v>0</v>
      </c>
      <c r="T508" s="3">
        <v>0</v>
      </c>
      <c r="U508" s="3">
        <v>0</v>
      </c>
      <c r="V508" s="3">
        <v>2002</v>
      </c>
      <c r="W508" s="3">
        <v>245900</v>
      </c>
      <c r="X508" s="3">
        <v>89948100</v>
      </c>
      <c r="Y508" s="3">
        <v>89702200</v>
      </c>
      <c r="Z508" s="3">
        <v>71148100</v>
      </c>
      <c r="AA508" s="3">
        <v>18800000</v>
      </c>
      <c r="AB508" s="3">
        <v>26</v>
      </c>
    </row>
    <row r="509" spans="1:28" x14ac:dyDescent="0.35">
      <c r="A509">
        <v>2022</v>
      </c>
      <c r="B509" t="str">
        <f t="shared" si="59"/>
        <v>30</v>
      </c>
      <c r="C509" t="s">
        <v>214</v>
      </c>
      <c r="D509" t="s">
        <v>35</v>
      </c>
      <c r="E509" t="str">
        <f t="shared" si="63"/>
        <v>241</v>
      </c>
      <c r="F509" t="s">
        <v>214</v>
      </c>
      <c r="G509" t="str">
        <f>"009"</f>
        <v>009</v>
      </c>
      <c r="H509" t="str">
        <f t="shared" si="64"/>
        <v>2793</v>
      </c>
      <c r="I509" s="3">
        <v>36202600</v>
      </c>
      <c r="J509" s="3">
        <v>74.790000000000006</v>
      </c>
      <c r="K509" s="3">
        <v>48405700</v>
      </c>
      <c r="L509" s="3">
        <v>0</v>
      </c>
      <c r="M509" s="3">
        <v>48405700</v>
      </c>
      <c r="N509" s="3">
        <v>829100</v>
      </c>
      <c r="O509" s="3">
        <v>829100</v>
      </c>
      <c r="P509" s="3">
        <v>16400</v>
      </c>
      <c r="Q509" s="3">
        <v>16400</v>
      </c>
      <c r="R509" s="3">
        <v>-86000</v>
      </c>
      <c r="S509" s="3">
        <v>0</v>
      </c>
      <c r="T509" s="3">
        <v>0</v>
      </c>
      <c r="U509" s="3">
        <v>0</v>
      </c>
      <c r="V509" s="3">
        <v>2003</v>
      </c>
      <c r="W509" s="3">
        <v>24538700</v>
      </c>
      <c r="X509" s="3">
        <v>49165200</v>
      </c>
      <c r="Y509" s="3">
        <v>24626500</v>
      </c>
      <c r="Z509" s="3">
        <v>44950300</v>
      </c>
      <c r="AA509" s="3">
        <v>4214900</v>
      </c>
      <c r="AB509" s="3">
        <v>9</v>
      </c>
    </row>
    <row r="510" spans="1:28" x14ac:dyDescent="0.35">
      <c r="A510">
        <v>2022</v>
      </c>
      <c r="B510" t="str">
        <f t="shared" si="59"/>
        <v>30</v>
      </c>
      <c r="C510" t="s">
        <v>214</v>
      </c>
      <c r="D510" t="s">
        <v>35</v>
      </c>
      <c r="E510" t="str">
        <f t="shared" si="63"/>
        <v>241</v>
      </c>
      <c r="F510" t="s">
        <v>214</v>
      </c>
      <c r="G510" t="str">
        <f>"010"</f>
        <v>010</v>
      </c>
      <c r="H510" t="str">
        <f t="shared" si="64"/>
        <v>2793</v>
      </c>
      <c r="I510" s="3">
        <v>20485700</v>
      </c>
      <c r="J510" s="3">
        <v>74.790000000000006</v>
      </c>
      <c r="K510" s="3">
        <v>27391000</v>
      </c>
      <c r="L510" s="3">
        <v>0</v>
      </c>
      <c r="M510" s="3">
        <v>27391000</v>
      </c>
      <c r="N510" s="3">
        <v>0</v>
      </c>
      <c r="O510" s="3">
        <v>0</v>
      </c>
      <c r="P510" s="3">
        <v>0</v>
      </c>
      <c r="Q510" s="3">
        <v>0</v>
      </c>
      <c r="R510" s="3">
        <v>-35200</v>
      </c>
      <c r="S510" s="3">
        <v>0</v>
      </c>
      <c r="T510" s="3">
        <v>0</v>
      </c>
      <c r="U510" s="3">
        <v>0</v>
      </c>
      <c r="V510" s="3">
        <v>2005</v>
      </c>
      <c r="W510" s="3">
        <v>12297700</v>
      </c>
      <c r="X510" s="3">
        <v>27355800</v>
      </c>
      <c r="Y510" s="3">
        <v>15058100</v>
      </c>
      <c r="Z510" s="3">
        <v>18031000</v>
      </c>
      <c r="AA510" s="3">
        <v>9324800</v>
      </c>
      <c r="AB510" s="3">
        <v>52</v>
      </c>
    </row>
    <row r="511" spans="1:28" x14ac:dyDescent="0.35">
      <c r="A511">
        <v>2022</v>
      </c>
      <c r="B511" t="str">
        <f t="shared" si="59"/>
        <v>30</v>
      </c>
      <c r="C511" t="s">
        <v>214</v>
      </c>
      <c r="D511" t="s">
        <v>35</v>
      </c>
      <c r="E511" t="str">
        <f t="shared" si="63"/>
        <v>241</v>
      </c>
      <c r="F511" t="s">
        <v>214</v>
      </c>
      <c r="G511" t="str">
        <f>"011"</f>
        <v>011</v>
      </c>
      <c r="H511" t="str">
        <f t="shared" si="64"/>
        <v>2793</v>
      </c>
      <c r="I511" s="3">
        <v>99913900</v>
      </c>
      <c r="J511" s="3">
        <v>74.790000000000006</v>
      </c>
      <c r="K511" s="3">
        <v>133592600</v>
      </c>
      <c r="L511" s="3">
        <v>0</v>
      </c>
      <c r="M511" s="3">
        <v>133592600</v>
      </c>
      <c r="N511" s="3">
        <v>0</v>
      </c>
      <c r="O511" s="3">
        <v>0</v>
      </c>
      <c r="P511" s="3">
        <v>0</v>
      </c>
      <c r="Q511" s="3">
        <v>0</v>
      </c>
      <c r="R511" s="3">
        <v>-238400</v>
      </c>
      <c r="S511" s="3">
        <v>0</v>
      </c>
      <c r="T511" s="3">
        <v>0</v>
      </c>
      <c r="U511" s="3">
        <v>0</v>
      </c>
      <c r="V511" s="3">
        <v>2006</v>
      </c>
      <c r="W511" s="3">
        <v>2873300</v>
      </c>
      <c r="X511" s="3">
        <v>133354200</v>
      </c>
      <c r="Y511" s="3">
        <v>130480900</v>
      </c>
      <c r="Z511" s="3">
        <v>122375900</v>
      </c>
      <c r="AA511" s="3">
        <v>10978300</v>
      </c>
      <c r="AB511" s="3">
        <v>9</v>
      </c>
    </row>
    <row r="512" spans="1:28" x14ac:dyDescent="0.35">
      <c r="A512">
        <v>2022</v>
      </c>
      <c r="B512" t="str">
        <f t="shared" ref="B512:B529" si="65">"30"</f>
        <v>30</v>
      </c>
      <c r="C512" t="s">
        <v>214</v>
      </c>
      <c r="D512" t="s">
        <v>35</v>
      </c>
      <c r="E512" t="str">
        <f t="shared" si="63"/>
        <v>241</v>
      </c>
      <c r="F512" t="s">
        <v>214</v>
      </c>
      <c r="G512" t="str">
        <f>"013"</f>
        <v>013</v>
      </c>
      <c r="H512" t="str">
        <f t="shared" si="64"/>
        <v>2793</v>
      </c>
      <c r="I512" s="3">
        <v>50113500</v>
      </c>
      <c r="J512" s="3">
        <v>74.790000000000006</v>
      </c>
      <c r="K512" s="3">
        <v>67005600</v>
      </c>
      <c r="L512" s="3">
        <v>0</v>
      </c>
      <c r="M512" s="3">
        <v>67005600</v>
      </c>
      <c r="N512" s="3">
        <v>0</v>
      </c>
      <c r="O512" s="3">
        <v>0</v>
      </c>
      <c r="P512" s="3">
        <v>0</v>
      </c>
      <c r="Q512" s="3">
        <v>0</v>
      </c>
      <c r="R512" s="3">
        <v>-118200</v>
      </c>
      <c r="S512" s="3">
        <v>0</v>
      </c>
      <c r="T512" s="3">
        <v>0</v>
      </c>
      <c r="U512" s="3">
        <v>0</v>
      </c>
      <c r="V512" s="3">
        <v>2008</v>
      </c>
      <c r="W512" s="3">
        <v>625100</v>
      </c>
      <c r="X512" s="3">
        <v>66887400</v>
      </c>
      <c r="Y512" s="3">
        <v>66262300</v>
      </c>
      <c r="Z512" s="3">
        <v>60658700</v>
      </c>
      <c r="AA512" s="3">
        <v>6228700</v>
      </c>
      <c r="AB512" s="3">
        <v>10</v>
      </c>
    </row>
    <row r="513" spans="1:28" x14ac:dyDescent="0.35">
      <c r="A513">
        <v>2022</v>
      </c>
      <c r="B513" t="str">
        <f t="shared" si="65"/>
        <v>30</v>
      </c>
      <c r="C513" t="s">
        <v>214</v>
      </c>
      <c r="D513" t="s">
        <v>35</v>
      </c>
      <c r="E513" t="str">
        <f t="shared" si="63"/>
        <v>241</v>
      </c>
      <c r="F513" t="s">
        <v>214</v>
      </c>
      <c r="G513" t="str">
        <f>"015"</f>
        <v>015</v>
      </c>
      <c r="H513" t="str">
        <f t="shared" si="64"/>
        <v>2793</v>
      </c>
      <c r="I513" s="3">
        <v>1517700</v>
      </c>
      <c r="J513" s="3">
        <v>74.790000000000006</v>
      </c>
      <c r="K513" s="3">
        <v>2029300</v>
      </c>
      <c r="L513" s="3">
        <v>0</v>
      </c>
      <c r="M513" s="3">
        <v>2029300</v>
      </c>
      <c r="N513" s="3">
        <v>0</v>
      </c>
      <c r="O513" s="3">
        <v>0</v>
      </c>
      <c r="P513" s="3">
        <v>0</v>
      </c>
      <c r="Q513" s="3">
        <v>0</v>
      </c>
      <c r="R513" s="3">
        <v>-3600</v>
      </c>
      <c r="S513" s="3">
        <v>0</v>
      </c>
      <c r="T513" s="3">
        <v>0</v>
      </c>
      <c r="U513" s="3">
        <v>0</v>
      </c>
      <c r="V513" s="3">
        <v>2013</v>
      </c>
      <c r="W513" s="3">
        <v>291500</v>
      </c>
      <c r="X513" s="3">
        <v>2025700</v>
      </c>
      <c r="Y513" s="3">
        <v>1734200</v>
      </c>
      <c r="Z513" s="3">
        <v>1503600</v>
      </c>
      <c r="AA513" s="3">
        <v>522100</v>
      </c>
      <c r="AB513" s="3">
        <v>35</v>
      </c>
    </row>
    <row r="514" spans="1:28" x14ac:dyDescent="0.35">
      <c r="A514">
        <v>2022</v>
      </c>
      <c r="B514" t="str">
        <f t="shared" si="65"/>
        <v>30</v>
      </c>
      <c r="C514" t="s">
        <v>214</v>
      </c>
      <c r="D514" t="s">
        <v>35</v>
      </c>
      <c r="E514" t="str">
        <f t="shared" si="63"/>
        <v>241</v>
      </c>
      <c r="F514" t="s">
        <v>214</v>
      </c>
      <c r="G514" t="str">
        <f>"016"</f>
        <v>016</v>
      </c>
      <c r="H514" t="str">
        <f t="shared" si="64"/>
        <v>2793</v>
      </c>
      <c r="I514" s="3">
        <v>140968600</v>
      </c>
      <c r="J514" s="3">
        <v>74.790000000000006</v>
      </c>
      <c r="K514" s="3">
        <v>188485900</v>
      </c>
      <c r="L514" s="3">
        <v>0</v>
      </c>
      <c r="M514" s="3">
        <v>188485900</v>
      </c>
      <c r="N514" s="3">
        <v>0</v>
      </c>
      <c r="O514" s="3">
        <v>0</v>
      </c>
      <c r="P514" s="3">
        <v>0</v>
      </c>
      <c r="Q514" s="3">
        <v>0</v>
      </c>
      <c r="R514" s="3">
        <v>-343200</v>
      </c>
      <c r="S514" s="3">
        <v>0</v>
      </c>
      <c r="T514" s="3">
        <v>0</v>
      </c>
      <c r="U514" s="3">
        <v>0</v>
      </c>
      <c r="V514" s="3">
        <v>2013</v>
      </c>
      <c r="W514" s="3">
        <v>1571900</v>
      </c>
      <c r="X514" s="3">
        <v>188142700</v>
      </c>
      <c r="Y514" s="3">
        <v>186570800</v>
      </c>
      <c r="Z514" s="3">
        <v>176188000</v>
      </c>
      <c r="AA514" s="3">
        <v>11954700</v>
      </c>
      <c r="AB514" s="3">
        <v>7</v>
      </c>
    </row>
    <row r="515" spans="1:28" x14ac:dyDescent="0.35">
      <c r="A515">
        <v>2022</v>
      </c>
      <c r="B515" t="str">
        <f t="shared" si="65"/>
        <v>30</v>
      </c>
      <c r="C515" t="s">
        <v>214</v>
      </c>
      <c r="D515" t="s">
        <v>35</v>
      </c>
      <c r="E515" t="str">
        <f t="shared" si="63"/>
        <v>241</v>
      </c>
      <c r="F515" t="s">
        <v>214</v>
      </c>
      <c r="G515" t="str">
        <f>"017"</f>
        <v>017</v>
      </c>
      <c r="H515" t="str">
        <f t="shared" si="64"/>
        <v>2793</v>
      </c>
      <c r="I515" s="3">
        <v>8162300</v>
      </c>
      <c r="J515" s="3">
        <v>74.790000000000006</v>
      </c>
      <c r="K515" s="3">
        <v>10913600</v>
      </c>
      <c r="L515" s="3">
        <v>0</v>
      </c>
      <c r="M515" s="3">
        <v>10913600</v>
      </c>
      <c r="N515" s="3">
        <v>0</v>
      </c>
      <c r="O515" s="3">
        <v>0</v>
      </c>
      <c r="P515" s="3">
        <v>0</v>
      </c>
      <c r="Q515" s="3">
        <v>0</v>
      </c>
      <c r="R515" s="3">
        <v>-19400</v>
      </c>
      <c r="S515" s="3">
        <v>0</v>
      </c>
      <c r="T515" s="3">
        <v>0</v>
      </c>
      <c r="U515" s="3">
        <v>0</v>
      </c>
      <c r="V515" s="3">
        <v>2014</v>
      </c>
      <c r="W515" s="3">
        <v>50900</v>
      </c>
      <c r="X515" s="3">
        <v>10894200</v>
      </c>
      <c r="Y515" s="3">
        <v>10843300</v>
      </c>
      <c r="Z515" s="3">
        <v>9943500</v>
      </c>
      <c r="AA515" s="3">
        <v>950700</v>
      </c>
      <c r="AB515" s="3">
        <v>10</v>
      </c>
    </row>
    <row r="516" spans="1:28" x14ac:dyDescent="0.35">
      <c r="A516">
        <v>2022</v>
      </c>
      <c r="B516" t="str">
        <f t="shared" si="65"/>
        <v>30</v>
      </c>
      <c r="C516" t="s">
        <v>214</v>
      </c>
      <c r="D516" t="s">
        <v>35</v>
      </c>
      <c r="E516" t="str">
        <f t="shared" si="63"/>
        <v>241</v>
      </c>
      <c r="F516" t="s">
        <v>214</v>
      </c>
      <c r="G516" t="str">
        <f>"018"</f>
        <v>018</v>
      </c>
      <c r="H516" t="str">
        <f t="shared" si="64"/>
        <v>2793</v>
      </c>
      <c r="I516" s="3">
        <v>11796700</v>
      </c>
      <c r="J516" s="3">
        <v>74.790000000000006</v>
      </c>
      <c r="K516" s="3">
        <v>15773100</v>
      </c>
      <c r="L516" s="3">
        <v>0</v>
      </c>
      <c r="M516" s="3">
        <v>15773100</v>
      </c>
      <c r="N516" s="3">
        <v>0</v>
      </c>
      <c r="O516" s="3">
        <v>0</v>
      </c>
      <c r="P516" s="3">
        <v>0</v>
      </c>
      <c r="Q516" s="3">
        <v>0</v>
      </c>
      <c r="R516" s="3">
        <v>-28700</v>
      </c>
      <c r="S516" s="3">
        <v>0</v>
      </c>
      <c r="T516" s="3">
        <v>0</v>
      </c>
      <c r="U516" s="3">
        <v>0</v>
      </c>
      <c r="V516" s="3">
        <v>2015</v>
      </c>
      <c r="W516" s="3">
        <v>182300</v>
      </c>
      <c r="X516" s="3">
        <v>15744400</v>
      </c>
      <c r="Y516" s="3">
        <v>15562100</v>
      </c>
      <c r="Z516" s="3">
        <v>14756200</v>
      </c>
      <c r="AA516" s="3">
        <v>988200</v>
      </c>
      <c r="AB516" s="3">
        <v>7</v>
      </c>
    </row>
    <row r="517" spans="1:28" x14ac:dyDescent="0.35">
      <c r="A517">
        <v>2022</v>
      </c>
      <c r="B517" t="str">
        <f t="shared" si="65"/>
        <v>30</v>
      </c>
      <c r="C517" t="s">
        <v>214</v>
      </c>
      <c r="D517" t="s">
        <v>35</v>
      </c>
      <c r="E517" t="str">
        <f t="shared" si="63"/>
        <v>241</v>
      </c>
      <c r="F517" t="s">
        <v>214</v>
      </c>
      <c r="G517" t="str">
        <f>"019"</f>
        <v>019</v>
      </c>
      <c r="H517" t="str">
        <f t="shared" si="64"/>
        <v>2793</v>
      </c>
      <c r="I517" s="3">
        <v>317900</v>
      </c>
      <c r="J517" s="3">
        <v>74.790000000000006</v>
      </c>
      <c r="K517" s="3">
        <v>425100</v>
      </c>
      <c r="L517" s="3">
        <v>0</v>
      </c>
      <c r="M517" s="3">
        <v>425100</v>
      </c>
      <c r="N517" s="3">
        <v>0</v>
      </c>
      <c r="O517" s="3">
        <v>0</v>
      </c>
      <c r="P517" s="3">
        <v>0</v>
      </c>
      <c r="Q517" s="3">
        <v>0</v>
      </c>
      <c r="R517" s="3">
        <v>-700</v>
      </c>
      <c r="S517" s="3">
        <v>0</v>
      </c>
      <c r="T517" s="3">
        <v>0</v>
      </c>
      <c r="U517" s="3">
        <v>0</v>
      </c>
      <c r="V517" s="3">
        <v>2017</v>
      </c>
      <c r="W517" s="3">
        <v>400900</v>
      </c>
      <c r="X517" s="3">
        <v>424400</v>
      </c>
      <c r="Y517" s="3">
        <v>23500</v>
      </c>
      <c r="Z517" s="3">
        <v>387200</v>
      </c>
      <c r="AA517" s="3">
        <v>37200</v>
      </c>
      <c r="AB517" s="3">
        <v>10</v>
      </c>
    </row>
    <row r="518" spans="1:28" x14ac:dyDescent="0.35">
      <c r="A518">
        <v>2022</v>
      </c>
      <c r="B518" t="str">
        <f t="shared" si="65"/>
        <v>30</v>
      </c>
      <c r="C518" t="s">
        <v>214</v>
      </c>
      <c r="D518" t="s">
        <v>35</v>
      </c>
      <c r="E518" t="str">
        <f t="shared" si="63"/>
        <v>241</v>
      </c>
      <c r="F518" t="s">
        <v>214</v>
      </c>
      <c r="G518" t="str">
        <f>"020"</f>
        <v>020</v>
      </c>
      <c r="H518" t="str">
        <f t="shared" si="64"/>
        <v>2793</v>
      </c>
      <c r="I518" s="3">
        <v>15528200</v>
      </c>
      <c r="J518" s="3">
        <v>74.790000000000006</v>
      </c>
      <c r="K518" s="3">
        <v>20762400</v>
      </c>
      <c r="L518" s="3">
        <v>0</v>
      </c>
      <c r="M518" s="3">
        <v>20762400</v>
      </c>
      <c r="N518" s="3">
        <v>0</v>
      </c>
      <c r="O518" s="3">
        <v>0</v>
      </c>
      <c r="P518" s="3">
        <v>0</v>
      </c>
      <c r="Q518" s="3">
        <v>0</v>
      </c>
      <c r="R518" s="3">
        <v>-36800</v>
      </c>
      <c r="S518" s="3">
        <v>0</v>
      </c>
      <c r="T518" s="3">
        <v>0</v>
      </c>
      <c r="U518" s="3">
        <v>0</v>
      </c>
      <c r="V518" s="3">
        <v>2017</v>
      </c>
      <c r="W518" s="3">
        <v>4000</v>
      </c>
      <c r="X518" s="3">
        <v>20725600</v>
      </c>
      <c r="Y518" s="3">
        <v>20721600</v>
      </c>
      <c r="Z518" s="3">
        <v>18915700</v>
      </c>
      <c r="AA518" s="3">
        <v>1809900</v>
      </c>
      <c r="AB518" s="3">
        <v>10</v>
      </c>
    </row>
    <row r="519" spans="1:28" x14ac:dyDescent="0.35">
      <c r="A519">
        <v>2022</v>
      </c>
      <c r="B519" t="str">
        <f t="shared" si="65"/>
        <v>30</v>
      </c>
      <c r="C519" t="s">
        <v>214</v>
      </c>
      <c r="D519" t="s">
        <v>35</v>
      </c>
      <c r="E519" t="str">
        <f t="shared" si="63"/>
        <v>241</v>
      </c>
      <c r="F519" t="s">
        <v>214</v>
      </c>
      <c r="G519" t="str">
        <f>"021"</f>
        <v>021</v>
      </c>
      <c r="H519" t="str">
        <f>"4235"</f>
        <v>4235</v>
      </c>
      <c r="I519" s="3">
        <v>54043900</v>
      </c>
      <c r="J519" s="3">
        <v>74.790000000000006</v>
      </c>
      <c r="K519" s="3">
        <v>72260900</v>
      </c>
      <c r="L519" s="3">
        <v>0</v>
      </c>
      <c r="M519" s="3">
        <v>72260900</v>
      </c>
      <c r="N519" s="3">
        <v>0</v>
      </c>
      <c r="O519" s="3">
        <v>0</v>
      </c>
      <c r="P519" s="3">
        <v>0</v>
      </c>
      <c r="Q519" s="3">
        <v>0</v>
      </c>
      <c r="R519" s="3">
        <v>-103900</v>
      </c>
      <c r="S519" s="3">
        <v>0</v>
      </c>
      <c r="T519" s="3">
        <v>0</v>
      </c>
      <c r="U519" s="3">
        <v>0</v>
      </c>
      <c r="V519" s="3">
        <v>2017</v>
      </c>
      <c r="W519" s="3">
        <v>19400</v>
      </c>
      <c r="X519" s="3">
        <v>72157000</v>
      </c>
      <c r="Y519" s="3">
        <v>72137600</v>
      </c>
      <c r="Z519" s="3">
        <v>53358400</v>
      </c>
      <c r="AA519" s="3">
        <v>18798600</v>
      </c>
      <c r="AB519" s="3">
        <v>35</v>
      </c>
    </row>
    <row r="520" spans="1:28" x14ac:dyDescent="0.35">
      <c r="A520">
        <v>2022</v>
      </c>
      <c r="B520" t="str">
        <f t="shared" si="65"/>
        <v>30</v>
      </c>
      <c r="C520" t="s">
        <v>214</v>
      </c>
      <c r="D520" t="s">
        <v>35</v>
      </c>
      <c r="E520" t="str">
        <f t="shared" si="63"/>
        <v>241</v>
      </c>
      <c r="F520" t="s">
        <v>214</v>
      </c>
      <c r="G520" t="str">
        <f>"023"</f>
        <v>023</v>
      </c>
      <c r="H520" t="str">
        <f t="shared" ref="H520:H529" si="66">"2793"</f>
        <v>2793</v>
      </c>
      <c r="I520" s="3">
        <v>0</v>
      </c>
      <c r="J520" s="3">
        <v>74.790000000000006</v>
      </c>
      <c r="K520" s="3">
        <v>0</v>
      </c>
      <c r="L520" s="3">
        <v>0</v>
      </c>
      <c r="M520" s="3">
        <v>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  <c r="V520" s="3">
        <v>2018</v>
      </c>
      <c r="W520" s="3">
        <v>0</v>
      </c>
      <c r="X520" s="3">
        <v>0</v>
      </c>
      <c r="Y520" s="3">
        <v>0</v>
      </c>
      <c r="Z520" s="3">
        <v>0</v>
      </c>
      <c r="AA520" s="3">
        <v>0</v>
      </c>
      <c r="AB520" s="3">
        <v>0</v>
      </c>
    </row>
    <row r="521" spans="1:28" x14ac:dyDescent="0.35">
      <c r="A521">
        <v>2022</v>
      </c>
      <c r="B521" t="str">
        <f t="shared" si="65"/>
        <v>30</v>
      </c>
      <c r="C521" t="s">
        <v>214</v>
      </c>
      <c r="D521" t="s">
        <v>35</v>
      </c>
      <c r="E521" t="str">
        <f t="shared" si="63"/>
        <v>241</v>
      </c>
      <c r="F521" t="s">
        <v>214</v>
      </c>
      <c r="G521" t="str">
        <f>"024"</f>
        <v>024</v>
      </c>
      <c r="H521" t="str">
        <f t="shared" si="66"/>
        <v>2793</v>
      </c>
      <c r="I521" s="3">
        <v>0</v>
      </c>
      <c r="J521" s="3">
        <v>74.790000000000006</v>
      </c>
      <c r="K521" s="3">
        <v>0</v>
      </c>
      <c r="L521" s="3">
        <v>0</v>
      </c>
      <c r="M521" s="3">
        <v>0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  <c r="S521" s="3">
        <v>0</v>
      </c>
      <c r="T521" s="3">
        <v>0</v>
      </c>
      <c r="U521" s="3">
        <v>0</v>
      </c>
      <c r="V521" s="3">
        <v>2018</v>
      </c>
      <c r="W521" s="3">
        <v>0</v>
      </c>
      <c r="X521" s="3">
        <v>0</v>
      </c>
      <c r="Y521" s="3">
        <v>0</v>
      </c>
      <c r="Z521" s="3">
        <v>0</v>
      </c>
      <c r="AA521" s="3">
        <v>0</v>
      </c>
      <c r="AB521" s="3">
        <v>0</v>
      </c>
    </row>
    <row r="522" spans="1:28" x14ac:dyDescent="0.35">
      <c r="A522">
        <v>2022</v>
      </c>
      <c r="B522" t="str">
        <f t="shared" si="65"/>
        <v>30</v>
      </c>
      <c r="C522" t="s">
        <v>214</v>
      </c>
      <c r="D522" t="s">
        <v>35</v>
      </c>
      <c r="E522" t="str">
        <f t="shared" si="63"/>
        <v>241</v>
      </c>
      <c r="F522" t="s">
        <v>214</v>
      </c>
      <c r="G522" t="str">
        <f>"025"</f>
        <v>025</v>
      </c>
      <c r="H522" t="str">
        <f t="shared" si="66"/>
        <v>2793</v>
      </c>
      <c r="I522" s="3">
        <v>894500</v>
      </c>
      <c r="J522" s="3">
        <v>74.790000000000006</v>
      </c>
      <c r="K522" s="3">
        <v>1196000</v>
      </c>
      <c r="L522" s="3">
        <v>0</v>
      </c>
      <c r="M522" s="3">
        <v>1196000</v>
      </c>
      <c r="N522" s="3">
        <v>0</v>
      </c>
      <c r="O522" s="3">
        <v>0</v>
      </c>
      <c r="P522" s="3">
        <v>0</v>
      </c>
      <c r="Q522" s="3">
        <v>0</v>
      </c>
      <c r="R522" s="3">
        <v>-300</v>
      </c>
      <c r="S522" s="3">
        <v>0</v>
      </c>
      <c r="T522" s="3">
        <v>0</v>
      </c>
      <c r="U522" s="3">
        <v>0</v>
      </c>
      <c r="V522" s="3">
        <v>2018</v>
      </c>
      <c r="W522" s="3">
        <v>121800</v>
      </c>
      <c r="X522" s="3">
        <v>1195700</v>
      </c>
      <c r="Y522" s="3">
        <v>1073900</v>
      </c>
      <c r="Z522" s="3">
        <v>144700</v>
      </c>
      <c r="AA522" s="3">
        <v>1051000</v>
      </c>
      <c r="AB522" s="3">
        <v>726</v>
      </c>
    </row>
    <row r="523" spans="1:28" x14ac:dyDescent="0.35">
      <c r="A523">
        <v>2022</v>
      </c>
      <c r="B523" t="str">
        <f t="shared" si="65"/>
        <v>30</v>
      </c>
      <c r="C523" t="s">
        <v>214</v>
      </c>
      <c r="D523" t="s">
        <v>35</v>
      </c>
      <c r="E523" t="str">
        <f t="shared" si="63"/>
        <v>241</v>
      </c>
      <c r="F523" t="s">
        <v>214</v>
      </c>
      <c r="G523" t="str">
        <f>"026"</f>
        <v>026</v>
      </c>
      <c r="H523" t="str">
        <f t="shared" si="66"/>
        <v>2793</v>
      </c>
      <c r="I523" s="3">
        <v>23014700</v>
      </c>
      <c r="J523" s="3">
        <v>74.790000000000006</v>
      </c>
      <c r="K523" s="3">
        <v>30772400</v>
      </c>
      <c r="L523" s="3">
        <v>0</v>
      </c>
      <c r="M523" s="3">
        <v>30772400</v>
      </c>
      <c r="N523" s="3">
        <v>0</v>
      </c>
      <c r="O523" s="3">
        <v>0</v>
      </c>
      <c r="P523" s="3">
        <v>0</v>
      </c>
      <c r="Q523" s="3">
        <v>0</v>
      </c>
      <c r="R523" s="3">
        <v>-54600</v>
      </c>
      <c r="S523" s="3">
        <v>0</v>
      </c>
      <c r="T523" s="3">
        <v>0</v>
      </c>
      <c r="U523" s="3">
        <v>0</v>
      </c>
      <c r="V523" s="3">
        <v>2018</v>
      </c>
      <c r="W523" s="3">
        <v>4635200</v>
      </c>
      <c r="X523" s="3">
        <v>30717800</v>
      </c>
      <c r="Y523" s="3">
        <v>26082600</v>
      </c>
      <c r="Z523" s="3">
        <v>28051000</v>
      </c>
      <c r="AA523" s="3">
        <v>2666800</v>
      </c>
      <c r="AB523" s="3">
        <v>10</v>
      </c>
    </row>
    <row r="524" spans="1:28" x14ac:dyDescent="0.35">
      <c r="A524">
        <v>2022</v>
      </c>
      <c r="B524" t="str">
        <f t="shared" si="65"/>
        <v>30</v>
      </c>
      <c r="C524" t="s">
        <v>214</v>
      </c>
      <c r="D524" t="s">
        <v>35</v>
      </c>
      <c r="E524" t="str">
        <f t="shared" si="63"/>
        <v>241</v>
      </c>
      <c r="F524" t="s">
        <v>214</v>
      </c>
      <c r="G524" t="str">
        <f>"027"</f>
        <v>027</v>
      </c>
      <c r="H524" t="str">
        <f t="shared" si="66"/>
        <v>2793</v>
      </c>
      <c r="I524" s="3">
        <v>2398100</v>
      </c>
      <c r="J524" s="3">
        <v>74.790000000000006</v>
      </c>
      <c r="K524" s="3">
        <v>3206400</v>
      </c>
      <c r="L524" s="3">
        <v>0</v>
      </c>
      <c r="M524" s="3">
        <v>3206400</v>
      </c>
      <c r="N524" s="3">
        <v>0</v>
      </c>
      <c r="O524" s="3">
        <v>0</v>
      </c>
      <c r="P524" s="3">
        <v>0</v>
      </c>
      <c r="Q524" s="3">
        <v>0</v>
      </c>
      <c r="R524" s="3">
        <v>-5700</v>
      </c>
      <c r="S524" s="3">
        <v>0</v>
      </c>
      <c r="T524" s="3">
        <v>0</v>
      </c>
      <c r="U524" s="3">
        <v>0</v>
      </c>
      <c r="V524" s="3">
        <v>2019</v>
      </c>
      <c r="W524" s="3">
        <v>2792200</v>
      </c>
      <c r="X524" s="3">
        <v>3200700</v>
      </c>
      <c r="Y524" s="3">
        <v>408500</v>
      </c>
      <c r="Z524" s="3">
        <v>2942900</v>
      </c>
      <c r="AA524" s="3">
        <v>257800</v>
      </c>
      <c r="AB524" s="3">
        <v>9</v>
      </c>
    </row>
    <row r="525" spans="1:28" x14ac:dyDescent="0.35">
      <c r="A525">
        <v>2022</v>
      </c>
      <c r="B525" t="str">
        <f t="shared" si="65"/>
        <v>30</v>
      </c>
      <c r="C525" t="s">
        <v>214</v>
      </c>
      <c r="D525" t="s">
        <v>35</v>
      </c>
      <c r="E525" t="str">
        <f t="shared" si="63"/>
        <v>241</v>
      </c>
      <c r="F525" t="s">
        <v>214</v>
      </c>
      <c r="G525" t="str">
        <f>"029"</f>
        <v>029</v>
      </c>
      <c r="H525" t="str">
        <f t="shared" si="66"/>
        <v>2793</v>
      </c>
      <c r="I525" s="3">
        <v>28803500</v>
      </c>
      <c r="J525" s="3">
        <v>74.790000000000006</v>
      </c>
      <c r="K525" s="3">
        <v>38512500</v>
      </c>
      <c r="L525" s="3">
        <v>0</v>
      </c>
      <c r="M525" s="3">
        <v>38512500</v>
      </c>
      <c r="N525" s="3">
        <v>0</v>
      </c>
      <c r="O525" s="3">
        <v>0</v>
      </c>
      <c r="P525" s="3">
        <v>0</v>
      </c>
      <c r="Q525" s="3">
        <v>0</v>
      </c>
      <c r="R525" s="3">
        <v>-37400</v>
      </c>
      <c r="S525" s="3">
        <v>0</v>
      </c>
      <c r="T525" s="3">
        <v>0</v>
      </c>
      <c r="U525" s="3">
        <v>0</v>
      </c>
      <c r="V525" s="3">
        <v>2020</v>
      </c>
      <c r="W525" s="3">
        <v>17774400</v>
      </c>
      <c r="X525" s="3">
        <v>38475100</v>
      </c>
      <c r="Y525" s="3">
        <v>20700700</v>
      </c>
      <c r="Z525" s="3">
        <v>19234400</v>
      </c>
      <c r="AA525" s="3">
        <v>19240700</v>
      </c>
      <c r="AB525" s="3">
        <v>100</v>
      </c>
    </row>
    <row r="526" spans="1:28" x14ac:dyDescent="0.35">
      <c r="A526">
        <v>2022</v>
      </c>
      <c r="B526" t="str">
        <f t="shared" si="65"/>
        <v>30</v>
      </c>
      <c r="C526" t="s">
        <v>214</v>
      </c>
      <c r="D526" t="s">
        <v>35</v>
      </c>
      <c r="E526" t="str">
        <f t="shared" si="63"/>
        <v>241</v>
      </c>
      <c r="F526" t="s">
        <v>214</v>
      </c>
      <c r="G526" t="str">
        <f>"030"</f>
        <v>030</v>
      </c>
      <c r="H526" t="str">
        <f t="shared" si="66"/>
        <v>2793</v>
      </c>
      <c r="I526" s="3">
        <v>0</v>
      </c>
      <c r="J526" s="3">
        <v>74.790000000000006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V526" s="3">
        <v>2020</v>
      </c>
      <c r="W526" s="3">
        <v>300500</v>
      </c>
      <c r="X526" s="3">
        <v>0</v>
      </c>
      <c r="Y526" s="3">
        <v>-300500</v>
      </c>
      <c r="Z526" s="3">
        <v>320200</v>
      </c>
      <c r="AA526" s="3">
        <v>-320200</v>
      </c>
      <c r="AB526" s="3">
        <v>-100</v>
      </c>
    </row>
    <row r="527" spans="1:28" x14ac:dyDescent="0.35">
      <c r="A527">
        <v>2022</v>
      </c>
      <c r="B527" t="str">
        <f t="shared" si="65"/>
        <v>30</v>
      </c>
      <c r="C527" t="s">
        <v>214</v>
      </c>
      <c r="D527" t="s">
        <v>35</v>
      </c>
      <c r="E527" t="str">
        <f t="shared" si="63"/>
        <v>241</v>
      </c>
      <c r="F527" t="s">
        <v>214</v>
      </c>
      <c r="G527" t="str">
        <f>"031"</f>
        <v>031</v>
      </c>
      <c r="H527" t="str">
        <f t="shared" si="66"/>
        <v>2793</v>
      </c>
      <c r="I527" s="3">
        <v>0</v>
      </c>
      <c r="J527" s="3">
        <v>74.790000000000006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2020</v>
      </c>
      <c r="W527" s="3">
        <v>214900</v>
      </c>
      <c r="X527" s="3">
        <v>0</v>
      </c>
      <c r="Y527" s="3">
        <v>-214900</v>
      </c>
      <c r="Z527" s="3">
        <v>221400</v>
      </c>
      <c r="AA527" s="3">
        <v>-221400</v>
      </c>
      <c r="AB527" s="3">
        <v>-100</v>
      </c>
    </row>
    <row r="528" spans="1:28" x14ac:dyDescent="0.35">
      <c r="A528">
        <v>2022</v>
      </c>
      <c r="B528" t="str">
        <f t="shared" si="65"/>
        <v>30</v>
      </c>
      <c r="C528" t="s">
        <v>214</v>
      </c>
      <c r="D528" t="s">
        <v>35</v>
      </c>
      <c r="E528" t="str">
        <f t="shared" si="63"/>
        <v>241</v>
      </c>
      <c r="F528" t="s">
        <v>214</v>
      </c>
      <c r="G528" t="str">
        <f>"032"</f>
        <v>032</v>
      </c>
      <c r="H528" t="str">
        <f t="shared" si="66"/>
        <v>2793</v>
      </c>
      <c r="I528" s="3">
        <v>6145700</v>
      </c>
      <c r="J528" s="3">
        <v>74.790000000000006</v>
      </c>
      <c r="K528" s="3">
        <v>8217300</v>
      </c>
      <c r="L528" s="3">
        <v>0</v>
      </c>
      <c r="M528" s="3">
        <v>8217300</v>
      </c>
      <c r="N528" s="3">
        <v>0</v>
      </c>
      <c r="O528" s="3">
        <v>0</v>
      </c>
      <c r="P528" s="3">
        <v>0</v>
      </c>
      <c r="Q528" s="3">
        <v>0</v>
      </c>
      <c r="R528" s="3">
        <v>0</v>
      </c>
      <c r="S528" s="3">
        <v>0</v>
      </c>
      <c r="T528" s="3">
        <v>0</v>
      </c>
      <c r="U528" s="3">
        <v>0</v>
      </c>
      <c r="V528" s="3">
        <v>2021</v>
      </c>
      <c r="W528" s="3">
        <v>9669200</v>
      </c>
      <c r="X528" s="3">
        <v>8217300</v>
      </c>
      <c r="Y528" s="3">
        <v>-1451900</v>
      </c>
      <c r="Z528" s="3">
        <v>9669200</v>
      </c>
      <c r="AA528" s="3">
        <v>-1451900</v>
      </c>
      <c r="AB528" s="3">
        <v>-15</v>
      </c>
    </row>
    <row r="529" spans="1:28" x14ac:dyDescent="0.35">
      <c r="A529">
        <v>2022</v>
      </c>
      <c r="B529" t="str">
        <f t="shared" si="65"/>
        <v>30</v>
      </c>
      <c r="C529" t="s">
        <v>214</v>
      </c>
      <c r="D529" t="s">
        <v>35</v>
      </c>
      <c r="E529" t="str">
        <f t="shared" si="63"/>
        <v>241</v>
      </c>
      <c r="F529" t="s">
        <v>214</v>
      </c>
      <c r="G529" t="str">
        <f>"033"</f>
        <v>033</v>
      </c>
      <c r="H529" t="str">
        <f t="shared" si="66"/>
        <v>2793</v>
      </c>
      <c r="I529" s="3">
        <v>3046600</v>
      </c>
      <c r="J529" s="3">
        <v>74.790000000000006</v>
      </c>
      <c r="K529" s="3">
        <v>4073500</v>
      </c>
      <c r="L529" s="3">
        <v>0</v>
      </c>
      <c r="M529" s="3">
        <v>4073500</v>
      </c>
      <c r="N529" s="3">
        <v>0</v>
      </c>
      <c r="O529" s="3">
        <v>0</v>
      </c>
      <c r="P529" s="3">
        <v>0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  <c r="V529" s="3">
        <v>2021</v>
      </c>
      <c r="W529" s="3">
        <v>3715600</v>
      </c>
      <c r="X529" s="3">
        <v>4073500</v>
      </c>
      <c r="Y529" s="3">
        <v>357900</v>
      </c>
      <c r="Z529" s="3">
        <v>3715600</v>
      </c>
      <c r="AA529" s="3">
        <v>357900</v>
      </c>
      <c r="AB529" s="3">
        <v>10</v>
      </c>
    </row>
    <row r="530" spans="1:28" x14ac:dyDescent="0.35">
      <c r="A530">
        <v>2022</v>
      </c>
      <c r="B530" t="str">
        <f t="shared" ref="B530:B535" si="67">"31"</f>
        <v>31</v>
      </c>
      <c r="C530" t="s">
        <v>221</v>
      </c>
      <c r="D530" t="s">
        <v>33</v>
      </c>
      <c r="E530" t="str">
        <f>"146"</f>
        <v>146</v>
      </c>
      <c r="F530" t="s">
        <v>222</v>
      </c>
      <c r="G530" t="str">
        <f>"001"</f>
        <v>001</v>
      </c>
      <c r="H530" t="str">
        <f>"3220"</f>
        <v>3220</v>
      </c>
      <c r="I530" s="3">
        <v>33097900</v>
      </c>
      <c r="J530" s="3">
        <v>75.290000000000006</v>
      </c>
      <c r="K530" s="3">
        <v>43960600</v>
      </c>
      <c r="L530" s="3">
        <v>0</v>
      </c>
      <c r="M530" s="3">
        <v>43960600</v>
      </c>
      <c r="N530" s="3">
        <v>7287900</v>
      </c>
      <c r="O530" s="3">
        <v>7287900</v>
      </c>
      <c r="P530" s="3">
        <v>2331300</v>
      </c>
      <c r="Q530" s="3">
        <v>2331300</v>
      </c>
      <c r="R530" s="3">
        <v>-116600</v>
      </c>
      <c r="S530" s="3">
        <v>0</v>
      </c>
      <c r="T530" s="3">
        <v>0</v>
      </c>
      <c r="U530" s="3">
        <v>0</v>
      </c>
      <c r="V530" s="3">
        <v>1995</v>
      </c>
      <c r="W530" s="3">
        <v>4720200</v>
      </c>
      <c r="X530" s="3">
        <v>53463200</v>
      </c>
      <c r="Y530" s="3">
        <v>48743000</v>
      </c>
      <c r="Z530" s="3">
        <v>47149200</v>
      </c>
      <c r="AA530" s="3">
        <v>6314000</v>
      </c>
      <c r="AB530" s="3">
        <v>13</v>
      </c>
    </row>
    <row r="531" spans="1:28" x14ac:dyDescent="0.35">
      <c r="A531">
        <v>2022</v>
      </c>
      <c r="B531" t="str">
        <f t="shared" si="67"/>
        <v>31</v>
      </c>
      <c r="C531" t="s">
        <v>221</v>
      </c>
      <c r="D531" t="s">
        <v>35</v>
      </c>
      <c r="E531" t="str">
        <f>"201"</f>
        <v>201</v>
      </c>
      <c r="F531" t="s">
        <v>223</v>
      </c>
      <c r="G531" t="str">
        <f>"001"</f>
        <v>001</v>
      </c>
      <c r="H531" t="str">
        <f>"0070"</f>
        <v>0070</v>
      </c>
      <c r="I531" s="3">
        <v>9468600</v>
      </c>
      <c r="J531" s="3">
        <v>100</v>
      </c>
      <c r="K531" s="3">
        <v>9468600</v>
      </c>
      <c r="L531" s="3">
        <v>0</v>
      </c>
      <c r="M531" s="3">
        <v>9468600</v>
      </c>
      <c r="N531" s="3">
        <v>139500</v>
      </c>
      <c r="O531" s="3">
        <v>139500</v>
      </c>
      <c r="P531" s="3">
        <v>4200</v>
      </c>
      <c r="Q531" s="3">
        <v>4200</v>
      </c>
      <c r="R531" s="3">
        <v>-12200</v>
      </c>
      <c r="S531" s="3">
        <v>0</v>
      </c>
      <c r="T531" s="3">
        <v>0</v>
      </c>
      <c r="U531" s="3">
        <v>0</v>
      </c>
      <c r="V531" s="3">
        <v>2005</v>
      </c>
      <c r="W531" s="3">
        <v>7899200</v>
      </c>
      <c r="X531" s="3">
        <v>9600100</v>
      </c>
      <c r="Y531" s="3">
        <v>1700900</v>
      </c>
      <c r="Z531" s="3">
        <v>8817600</v>
      </c>
      <c r="AA531" s="3">
        <v>782500</v>
      </c>
      <c r="AB531" s="3">
        <v>9</v>
      </c>
    </row>
    <row r="532" spans="1:28" x14ac:dyDescent="0.35">
      <c r="A532">
        <v>2022</v>
      </c>
      <c r="B532" t="str">
        <f t="shared" si="67"/>
        <v>31</v>
      </c>
      <c r="C532" t="s">
        <v>221</v>
      </c>
      <c r="D532" t="s">
        <v>35</v>
      </c>
      <c r="E532" t="str">
        <f>"201"</f>
        <v>201</v>
      </c>
      <c r="F532" t="s">
        <v>223</v>
      </c>
      <c r="G532" t="str">
        <f>"002"</f>
        <v>002</v>
      </c>
      <c r="H532" t="str">
        <f>"0070"</f>
        <v>0070</v>
      </c>
      <c r="I532" s="3">
        <v>7495800</v>
      </c>
      <c r="J532" s="3">
        <v>100</v>
      </c>
      <c r="K532" s="3">
        <v>7495800</v>
      </c>
      <c r="L532" s="3">
        <v>0</v>
      </c>
      <c r="M532" s="3">
        <v>7495800</v>
      </c>
      <c r="N532" s="3">
        <v>0</v>
      </c>
      <c r="O532" s="3">
        <v>0</v>
      </c>
      <c r="P532" s="3">
        <v>0</v>
      </c>
      <c r="Q532" s="3">
        <v>0</v>
      </c>
      <c r="R532" s="3">
        <v>-10300</v>
      </c>
      <c r="S532" s="3">
        <v>0</v>
      </c>
      <c r="T532" s="3">
        <v>0</v>
      </c>
      <c r="U532" s="3">
        <v>0</v>
      </c>
      <c r="V532" s="3">
        <v>2006</v>
      </c>
      <c r="W532" s="3">
        <v>1910700</v>
      </c>
      <c r="X532" s="3">
        <v>7485500</v>
      </c>
      <c r="Y532" s="3">
        <v>5574800</v>
      </c>
      <c r="Z532" s="3">
        <v>7326300</v>
      </c>
      <c r="AA532" s="3">
        <v>159200</v>
      </c>
      <c r="AB532" s="3">
        <v>2</v>
      </c>
    </row>
    <row r="533" spans="1:28" x14ac:dyDescent="0.35">
      <c r="A533">
        <v>2022</v>
      </c>
      <c r="B533" t="str">
        <f t="shared" si="67"/>
        <v>31</v>
      </c>
      <c r="C533" t="s">
        <v>221</v>
      </c>
      <c r="D533" t="s">
        <v>35</v>
      </c>
      <c r="E533" t="str">
        <f>"201"</f>
        <v>201</v>
      </c>
      <c r="F533" t="s">
        <v>223</v>
      </c>
      <c r="G533" t="str">
        <f>"003"</f>
        <v>003</v>
      </c>
      <c r="H533" t="str">
        <f>"0070"</f>
        <v>0070</v>
      </c>
      <c r="I533" s="3">
        <v>3436200</v>
      </c>
      <c r="J533" s="3">
        <v>100</v>
      </c>
      <c r="K533" s="3">
        <v>3436200</v>
      </c>
      <c r="L533" s="3">
        <v>0</v>
      </c>
      <c r="M533" s="3">
        <v>3436200</v>
      </c>
      <c r="N533" s="3">
        <v>0</v>
      </c>
      <c r="O533" s="3">
        <v>0</v>
      </c>
      <c r="P533" s="3">
        <v>0</v>
      </c>
      <c r="Q533" s="3">
        <v>0</v>
      </c>
      <c r="R533" s="3">
        <v>-3700</v>
      </c>
      <c r="S533" s="3">
        <v>0</v>
      </c>
      <c r="T533" s="3">
        <v>0</v>
      </c>
      <c r="U533" s="3">
        <v>0</v>
      </c>
      <c r="V533" s="3">
        <v>2019</v>
      </c>
      <c r="W533" s="3">
        <v>517700</v>
      </c>
      <c r="X533" s="3">
        <v>3432500</v>
      </c>
      <c r="Y533" s="3">
        <v>2914800</v>
      </c>
      <c r="Z533" s="3">
        <v>2587200</v>
      </c>
      <c r="AA533" s="3">
        <v>845300</v>
      </c>
      <c r="AB533" s="3">
        <v>33</v>
      </c>
    </row>
    <row r="534" spans="1:28" x14ac:dyDescent="0.35">
      <c r="A534">
        <v>2022</v>
      </c>
      <c r="B534" t="str">
        <f t="shared" si="67"/>
        <v>31</v>
      </c>
      <c r="C534" t="s">
        <v>221</v>
      </c>
      <c r="D534" t="s">
        <v>35</v>
      </c>
      <c r="E534" t="str">
        <f>"241"</f>
        <v>241</v>
      </c>
      <c r="F534" t="s">
        <v>221</v>
      </c>
      <c r="G534" t="str">
        <f>"002"</f>
        <v>002</v>
      </c>
      <c r="H534" t="str">
        <f>"2814"</f>
        <v>2814</v>
      </c>
      <c r="I534" s="3">
        <v>8248700</v>
      </c>
      <c r="J534" s="3">
        <v>100</v>
      </c>
      <c r="K534" s="3">
        <v>8248700</v>
      </c>
      <c r="L534" s="3">
        <v>0</v>
      </c>
      <c r="M534" s="3">
        <v>8248700</v>
      </c>
      <c r="N534" s="3">
        <v>28400</v>
      </c>
      <c r="O534" s="3">
        <v>28400</v>
      </c>
      <c r="P534" s="3">
        <v>0</v>
      </c>
      <c r="Q534" s="3">
        <v>0</v>
      </c>
      <c r="R534" s="3">
        <v>22400</v>
      </c>
      <c r="S534" s="3">
        <v>0</v>
      </c>
      <c r="T534" s="3">
        <v>0</v>
      </c>
      <c r="U534" s="3">
        <v>0</v>
      </c>
      <c r="V534" s="3">
        <v>1994</v>
      </c>
      <c r="W534" s="3">
        <v>399000</v>
      </c>
      <c r="X534" s="3">
        <v>8299500</v>
      </c>
      <c r="Y534" s="3">
        <v>7900500</v>
      </c>
      <c r="Z534" s="3">
        <v>7514600</v>
      </c>
      <c r="AA534" s="3">
        <v>784900</v>
      </c>
      <c r="AB534" s="3">
        <v>10</v>
      </c>
    </row>
    <row r="535" spans="1:28" x14ac:dyDescent="0.35">
      <c r="A535">
        <v>2022</v>
      </c>
      <c r="B535" t="str">
        <f t="shared" si="67"/>
        <v>31</v>
      </c>
      <c r="C535" t="s">
        <v>221</v>
      </c>
      <c r="D535" t="s">
        <v>35</v>
      </c>
      <c r="E535" t="str">
        <f>"241"</f>
        <v>241</v>
      </c>
      <c r="F535" t="s">
        <v>221</v>
      </c>
      <c r="G535" t="str">
        <f>"003"</f>
        <v>003</v>
      </c>
      <c r="H535" t="str">
        <f>"2814"</f>
        <v>2814</v>
      </c>
      <c r="I535" s="3">
        <v>4510900</v>
      </c>
      <c r="J535" s="3">
        <v>100</v>
      </c>
      <c r="K535" s="3">
        <v>4510900</v>
      </c>
      <c r="L535" s="3">
        <v>0</v>
      </c>
      <c r="M535" s="3">
        <v>4510900</v>
      </c>
      <c r="N535" s="3">
        <v>1251900</v>
      </c>
      <c r="O535" s="3">
        <v>1251900</v>
      </c>
      <c r="P535" s="3">
        <v>67600</v>
      </c>
      <c r="Q535" s="3">
        <v>67600</v>
      </c>
      <c r="R535" s="3">
        <v>12300</v>
      </c>
      <c r="S535" s="3">
        <v>0</v>
      </c>
      <c r="T535" s="3">
        <v>0</v>
      </c>
      <c r="U535" s="3">
        <v>0</v>
      </c>
      <c r="V535" s="3">
        <v>2020</v>
      </c>
      <c r="W535" s="3">
        <v>5692100</v>
      </c>
      <c r="X535" s="3">
        <v>5842700</v>
      </c>
      <c r="Y535" s="3">
        <v>150600</v>
      </c>
      <c r="Z535" s="3">
        <v>5406600</v>
      </c>
      <c r="AA535" s="3">
        <v>436100</v>
      </c>
      <c r="AB535" s="3">
        <v>8</v>
      </c>
    </row>
    <row r="536" spans="1:28" x14ac:dyDescent="0.35">
      <c r="A536">
        <v>2022</v>
      </c>
      <c r="B536" t="str">
        <f t="shared" ref="B536:B554" si="68">"32"</f>
        <v>32</v>
      </c>
      <c r="C536" t="s">
        <v>224</v>
      </c>
      <c r="D536" t="s">
        <v>33</v>
      </c>
      <c r="E536" t="str">
        <f>"106"</f>
        <v>106</v>
      </c>
      <c r="F536" t="s">
        <v>225</v>
      </c>
      <c r="G536" t="str">
        <f>"001"</f>
        <v>001</v>
      </c>
      <c r="H536" t="str">
        <f>"0245"</f>
        <v>0245</v>
      </c>
      <c r="I536" s="3">
        <v>2286100</v>
      </c>
      <c r="J536" s="3">
        <v>100</v>
      </c>
      <c r="K536" s="3">
        <v>2286100</v>
      </c>
      <c r="L536" s="3">
        <v>0</v>
      </c>
      <c r="M536" s="3">
        <v>2286100</v>
      </c>
      <c r="N536" s="3">
        <v>0</v>
      </c>
      <c r="O536" s="3">
        <v>0</v>
      </c>
      <c r="P536" s="3">
        <v>0</v>
      </c>
      <c r="Q536" s="3">
        <v>0</v>
      </c>
      <c r="R536" s="3">
        <v>-700</v>
      </c>
      <c r="S536" s="3">
        <v>0</v>
      </c>
      <c r="T536" s="3">
        <v>0</v>
      </c>
      <c r="U536" s="3">
        <v>0</v>
      </c>
      <c r="V536" s="3">
        <v>2008</v>
      </c>
      <c r="W536" s="3">
        <v>484800</v>
      </c>
      <c r="X536" s="3">
        <v>2285400</v>
      </c>
      <c r="Y536" s="3">
        <v>1800600</v>
      </c>
      <c r="Z536" s="3">
        <v>397000</v>
      </c>
      <c r="AA536" s="3">
        <v>1888400</v>
      </c>
      <c r="AB536" s="3">
        <v>476</v>
      </c>
    </row>
    <row r="537" spans="1:28" x14ac:dyDescent="0.35">
      <c r="A537">
        <v>2022</v>
      </c>
      <c r="B537" t="str">
        <f t="shared" si="68"/>
        <v>32</v>
      </c>
      <c r="C537" t="s">
        <v>224</v>
      </c>
      <c r="D537" t="s">
        <v>33</v>
      </c>
      <c r="E537" t="str">
        <f>"106"</f>
        <v>106</v>
      </c>
      <c r="F537" t="s">
        <v>225</v>
      </c>
      <c r="G537" t="str">
        <f>"002"</f>
        <v>002</v>
      </c>
      <c r="H537" t="str">
        <f>"0245"</f>
        <v>0245</v>
      </c>
      <c r="I537" s="3">
        <v>2660900</v>
      </c>
      <c r="J537" s="3">
        <v>100</v>
      </c>
      <c r="K537" s="3">
        <v>2660900</v>
      </c>
      <c r="L537" s="3">
        <v>0</v>
      </c>
      <c r="M537" s="3">
        <v>2660900</v>
      </c>
      <c r="N537" s="3">
        <v>0</v>
      </c>
      <c r="O537" s="3">
        <v>0</v>
      </c>
      <c r="P537" s="3">
        <v>0</v>
      </c>
      <c r="Q537" s="3">
        <v>0</v>
      </c>
      <c r="R537" s="3">
        <v>-4200</v>
      </c>
      <c r="S537" s="3">
        <v>0</v>
      </c>
      <c r="T537" s="3">
        <v>0</v>
      </c>
      <c r="U537" s="3">
        <v>0</v>
      </c>
      <c r="V537" s="3">
        <v>2015</v>
      </c>
      <c r="W537" s="3">
        <v>620500</v>
      </c>
      <c r="X537" s="3">
        <v>2656700</v>
      </c>
      <c r="Y537" s="3">
        <v>2036200</v>
      </c>
      <c r="Z537" s="3">
        <v>2664400</v>
      </c>
      <c r="AA537" s="3">
        <v>-7700</v>
      </c>
      <c r="AB537" s="3">
        <v>0</v>
      </c>
    </row>
    <row r="538" spans="1:28" x14ac:dyDescent="0.35">
      <c r="A538">
        <v>2022</v>
      </c>
      <c r="B538" t="str">
        <f t="shared" si="68"/>
        <v>32</v>
      </c>
      <c r="C538" t="s">
        <v>224</v>
      </c>
      <c r="D538" t="s">
        <v>33</v>
      </c>
      <c r="E538" t="str">
        <f>"136"</f>
        <v>136</v>
      </c>
      <c r="F538" t="s">
        <v>226</v>
      </c>
      <c r="G538" t="str">
        <f>"002"</f>
        <v>002</v>
      </c>
      <c r="H538" t="str">
        <f>"2562"</f>
        <v>2562</v>
      </c>
      <c r="I538" s="3">
        <v>55728400</v>
      </c>
      <c r="J538" s="3">
        <v>83.25</v>
      </c>
      <c r="K538" s="3">
        <v>66941000</v>
      </c>
      <c r="L538" s="3">
        <v>0</v>
      </c>
      <c r="M538" s="3">
        <v>66941000</v>
      </c>
      <c r="N538" s="3">
        <v>14144300</v>
      </c>
      <c r="O538" s="3">
        <v>14144300</v>
      </c>
      <c r="P538" s="3">
        <v>1648100</v>
      </c>
      <c r="Q538" s="3">
        <v>1648100</v>
      </c>
      <c r="R538" s="3">
        <v>-77400</v>
      </c>
      <c r="S538" s="3">
        <v>0</v>
      </c>
      <c r="T538" s="3">
        <v>0</v>
      </c>
      <c r="U538" s="3">
        <v>0</v>
      </c>
      <c r="V538" s="3">
        <v>2009</v>
      </c>
      <c r="W538" s="3">
        <v>2647000</v>
      </c>
      <c r="X538" s="3">
        <v>82656000</v>
      </c>
      <c r="Y538" s="3">
        <v>80009000</v>
      </c>
      <c r="Z538" s="3">
        <v>57695300</v>
      </c>
      <c r="AA538" s="3">
        <v>24960700</v>
      </c>
      <c r="AB538" s="3">
        <v>43</v>
      </c>
    </row>
    <row r="539" spans="1:28" x14ac:dyDescent="0.35">
      <c r="A539">
        <v>2022</v>
      </c>
      <c r="B539" t="str">
        <f t="shared" si="68"/>
        <v>32</v>
      </c>
      <c r="C539" t="s">
        <v>224</v>
      </c>
      <c r="D539" t="s">
        <v>33</v>
      </c>
      <c r="E539" t="str">
        <f>"136"</f>
        <v>136</v>
      </c>
      <c r="F539" t="s">
        <v>226</v>
      </c>
      <c r="G539" t="str">
        <f>"003"</f>
        <v>003</v>
      </c>
      <c r="H539" t="str">
        <f>"2562"</f>
        <v>2562</v>
      </c>
      <c r="I539" s="3">
        <v>93230600</v>
      </c>
      <c r="J539" s="3">
        <v>83.25</v>
      </c>
      <c r="K539" s="3">
        <v>111988700</v>
      </c>
      <c r="L539" s="3">
        <v>0</v>
      </c>
      <c r="M539" s="3">
        <v>111988700</v>
      </c>
      <c r="N539" s="3">
        <v>1248200</v>
      </c>
      <c r="O539" s="3">
        <v>1248200</v>
      </c>
      <c r="P539" s="3">
        <v>500</v>
      </c>
      <c r="Q539" s="3">
        <v>500</v>
      </c>
      <c r="R539" s="3">
        <v>-178600</v>
      </c>
      <c r="S539" s="3">
        <v>0</v>
      </c>
      <c r="T539" s="3">
        <v>0</v>
      </c>
      <c r="U539" s="3">
        <v>0</v>
      </c>
      <c r="V539" s="3">
        <v>2015</v>
      </c>
      <c r="W539" s="3">
        <v>37362300</v>
      </c>
      <c r="X539" s="3">
        <v>113058800</v>
      </c>
      <c r="Y539" s="3">
        <v>75696500</v>
      </c>
      <c r="Z539" s="3">
        <v>97114400</v>
      </c>
      <c r="AA539" s="3">
        <v>15944400</v>
      </c>
      <c r="AB539" s="3">
        <v>16</v>
      </c>
    </row>
    <row r="540" spans="1:28" x14ac:dyDescent="0.35">
      <c r="A540">
        <v>2022</v>
      </c>
      <c r="B540" t="str">
        <f t="shared" si="68"/>
        <v>32</v>
      </c>
      <c r="C540" t="s">
        <v>224</v>
      </c>
      <c r="D540" t="s">
        <v>33</v>
      </c>
      <c r="E540" t="str">
        <f>"176"</f>
        <v>176</v>
      </c>
      <c r="F540" t="s">
        <v>227</v>
      </c>
      <c r="G540" t="str">
        <f>"001"</f>
        <v>001</v>
      </c>
      <c r="H540" t="str">
        <f>"0245"</f>
        <v>0245</v>
      </c>
      <c r="I540" s="3">
        <v>6180800</v>
      </c>
      <c r="J540" s="3">
        <v>82.15</v>
      </c>
      <c r="K540" s="3">
        <v>7523800</v>
      </c>
      <c r="L540" s="3">
        <v>0</v>
      </c>
      <c r="M540" s="3">
        <v>7523800</v>
      </c>
      <c r="N540" s="3">
        <v>584200</v>
      </c>
      <c r="O540" s="3">
        <v>584200</v>
      </c>
      <c r="P540" s="3">
        <v>105300</v>
      </c>
      <c r="Q540" s="3">
        <v>105300</v>
      </c>
      <c r="R540" s="3">
        <v>1500</v>
      </c>
      <c r="S540" s="3">
        <v>0</v>
      </c>
      <c r="T540" s="3">
        <v>0</v>
      </c>
      <c r="U540" s="3">
        <v>0</v>
      </c>
      <c r="V540" s="3">
        <v>2010</v>
      </c>
      <c r="W540" s="3">
        <v>1176300</v>
      </c>
      <c r="X540" s="3">
        <v>8214800</v>
      </c>
      <c r="Y540" s="3">
        <v>7038500</v>
      </c>
      <c r="Z540" s="3">
        <v>7414300</v>
      </c>
      <c r="AA540" s="3">
        <v>800500</v>
      </c>
      <c r="AB540" s="3">
        <v>11</v>
      </c>
    </row>
    <row r="541" spans="1:28" x14ac:dyDescent="0.35">
      <c r="A541">
        <v>2022</v>
      </c>
      <c r="B541" t="str">
        <f t="shared" si="68"/>
        <v>32</v>
      </c>
      <c r="C541" t="s">
        <v>224</v>
      </c>
      <c r="D541" t="s">
        <v>33</v>
      </c>
      <c r="E541" t="str">
        <f>"191"</f>
        <v>191</v>
      </c>
      <c r="F541" t="s">
        <v>228</v>
      </c>
      <c r="G541" t="str">
        <f>"001"</f>
        <v>001</v>
      </c>
      <c r="H541" t="str">
        <f>"6370"</f>
        <v>6370</v>
      </c>
      <c r="I541" s="3">
        <v>21338800</v>
      </c>
      <c r="J541" s="3">
        <v>75.209999999999994</v>
      </c>
      <c r="K541" s="3">
        <v>28372300</v>
      </c>
      <c r="L541" s="3">
        <v>0</v>
      </c>
      <c r="M541" s="3">
        <v>28372300</v>
      </c>
      <c r="N541" s="3">
        <v>3435000</v>
      </c>
      <c r="O541" s="3">
        <v>3435000</v>
      </c>
      <c r="P541" s="3">
        <v>118200</v>
      </c>
      <c r="Q541" s="3">
        <v>118200</v>
      </c>
      <c r="R541" s="3">
        <v>-118700</v>
      </c>
      <c r="S541" s="3">
        <v>0</v>
      </c>
      <c r="T541" s="3">
        <v>0</v>
      </c>
      <c r="U541" s="3">
        <v>0</v>
      </c>
      <c r="V541" s="3">
        <v>2007</v>
      </c>
      <c r="W541" s="3">
        <v>4910800</v>
      </c>
      <c r="X541" s="3">
        <v>31806800</v>
      </c>
      <c r="Y541" s="3">
        <v>26896000</v>
      </c>
      <c r="Z541" s="3">
        <v>27109400</v>
      </c>
      <c r="AA541" s="3">
        <v>4697400</v>
      </c>
      <c r="AB541" s="3">
        <v>17</v>
      </c>
    </row>
    <row r="542" spans="1:28" x14ac:dyDescent="0.35">
      <c r="A542">
        <v>2022</v>
      </c>
      <c r="B542" t="str">
        <f t="shared" si="68"/>
        <v>32</v>
      </c>
      <c r="C542" t="s">
        <v>224</v>
      </c>
      <c r="D542" t="s">
        <v>35</v>
      </c>
      <c r="E542" t="str">
        <f t="shared" ref="E542:E552" si="69">"246"</f>
        <v>246</v>
      </c>
      <c r="F542" t="s">
        <v>224</v>
      </c>
      <c r="G542" t="str">
        <f>"010"</f>
        <v>010</v>
      </c>
      <c r="H542" t="str">
        <f t="shared" ref="H542:H552" si="70">"2849"</f>
        <v>2849</v>
      </c>
      <c r="I542" s="3">
        <v>16941300</v>
      </c>
      <c r="J542" s="3">
        <v>100</v>
      </c>
      <c r="K542" s="3">
        <v>16941300</v>
      </c>
      <c r="L542" s="3">
        <v>0</v>
      </c>
      <c r="M542" s="3">
        <v>16941300</v>
      </c>
      <c r="N542" s="3">
        <v>0</v>
      </c>
      <c r="O542" s="3">
        <v>0</v>
      </c>
      <c r="P542" s="3">
        <v>0</v>
      </c>
      <c r="Q542" s="3">
        <v>0</v>
      </c>
      <c r="R542" s="3">
        <v>-570100</v>
      </c>
      <c r="S542" s="3">
        <v>0</v>
      </c>
      <c r="T542" s="3">
        <v>0</v>
      </c>
      <c r="U542" s="3">
        <v>0</v>
      </c>
      <c r="V542" s="3">
        <v>2003</v>
      </c>
      <c r="W542" s="3">
        <v>2540100</v>
      </c>
      <c r="X542" s="3">
        <v>16371200</v>
      </c>
      <c r="Y542" s="3">
        <v>13831100</v>
      </c>
      <c r="Z542" s="3">
        <v>15429800</v>
      </c>
      <c r="AA542" s="3">
        <v>941400</v>
      </c>
      <c r="AB542" s="3">
        <v>6</v>
      </c>
    </row>
    <row r="543" spans="1:28" x14ac:dyDescent="0.35">
      <c r="A543">
        <v>2022</v>
      </c>
      <c r="B543" t="str">
        <f t="shared" si="68"/>
        <v>32</v>
      </c>
      <c r="C543" t="s">
        <v>224</v>
      </c>
      <c r="D543" t="s">
        <v>35</v>
      </c>
      <c r="E543" t="str">
        <f t="shared" si="69"/>
        <v>246</v>
      </c>
      <c r="F543" t="s">
        <v>224</v>
      </c>
      <c r="G543" t="str">
        <f>"011"</f>
        <v>011</v>
      </c>
      <c r="H543" t="str">
        <f t="shared" si="70"/>
        <v>2849</v>
      </c>
      <c r="I543" s="3">
        <v>294981700</v>
      </c>
      <c r="J543" s="3">
        <v>100</v>
      </c>
      <c r="K543" s="3">
        <v>294981700</v>
      </c>
      <c r="L543" s="3">
        <v>0</v>
      </c>
      <c r="M543" s="3">
        <v>294981700</v>
      </c>
      <c r="N543" s="3">
        <v>4206100</v>
      </c>
      <c r="O543" s="3">
        <v>4206100</v>
      </c>
      <c r="P543" s="3">
        <v>316900</v>
      </c>
      <c r="Q543" s="3">
        <v>316900</v>
      </c>
      <c r="R543" s="3">
        <v>-12166600</v>
      </c>
      <c r="S543" s="3">
        <v>0</v>
      </c>
      <c r="T543" s="3">
        <v>0</v>
      </c>
      <c r="U543" s="3">
        <v>2150600</v>
      </c>
      <c r="V543" s="3">
        <v>2005</v>
      </c>
      <c r="W543" s="3">
        <v>132955800</v>
      </c>
      <c r="X543" s="3">
        <v>289488700</v>
      </c>
      <c r="Y543" s="3">
        <v>156532900</v>
      </c>
      <c r="Z543" s="3">
        <v>334785000</v>
      </c>
      <c r="AA543" s="3">
        <v>-45296300</v>
      </c>
      <c r="AB543" s="3">
        <v>-14</v>
      </c>
    </row>
    <row r="544" spans="1:28" x14ac:dyDescent="0.35">
      <c r="A544">
        <v>2022</v>
      </c>
      <c r="B544" t="str">
        <f t="shared" si="68"/>
        <v>32</v>
      </c>
      <c r="C544" t="s">
        <v>224</v>
      </c>
      <c r="D544" t="s">
        <v>35</v>
      </c>
      <c r="E544" t="str">
        <f t="shared" si="69"/>
        <v>246</v>
      </c>
      <c r="F544" t="s">
        <v>224</v>
      </c>
      <c r="G544" t="str">
        <f>"012"</f>
        <v>012</v>
      </c>
      <c r="H544" t="str">
        <f t="shared" si="70"/>
        <v>2849</v>
      </c>
      <c r="I544" s="3">
        <v>32499200</v>
      </c>
      <c r="J544" s="3">
        <v>100</v>
      </c>
      <c r="K544" s="3">
        <v>32499200</v>
      </c>
      <c r="L544" s="3">
        <v>0</v>
      </c>
      <c r="M544" s="3">
        <v>32499200</v>
      </c>
      <c r="N544" s="3">
        <v>4244000</v>
      </c>
      <c r="O544" s="3">
        <v>4244000</v>
      </c>
      <c r="P544" s="3">
        <v>177700</v>
      </c>
      <c r="Q544" s="3">
        <v>177700</v>
      </c>
      <c r="R544" s="3">
        <v>-1265600</v>
      </c>
      <c r="S544" s="3">
        <v>0</v>
      </c>
      <c r="T544" s="3">
        <v>0</v>
      </c>
      <c r="U544" s="3">
        <v>6707300</v>
      </c>
      <c r="V544" s="3">
        <v>2005</v>
      </c>
      <c r="W544" s="3">
        <v>19363800</v>
      </c>
      <c r="X544" s="3">
        <v>42362600</v>
      </c>
      <c r="Y544" s="3">
        <v>22998800</v>
      </c>
      <c r="Z544" s="3">
        <v>45154800</v>
      </c>
      <c r="AA544" s="3">
        <v>-2792200</v>
      </c>
      <c r="AB544" s="3">
        <v>-6</v>
      </c>
    </row>
    <row r="545" spans="1:28" x14ac:dyDescent="0.35">
      <c r="A545">
        <v>2022</v>
      </c>
      <c r="B545" t="str">
        <f t="shared" si="68"/>
        <v>32</v>
      </c>
      <c r="C545" t="s">
        <v>224</v>
      </c>
      <c r="D545" t="s">
        <v>35</v>
      </c>
      <c r="E545" t="str">
        <f t="shared" si="69"/>
        <v>246</v>
      </c>
      <c r="F545" t="s">
        <v>224</v>
      </c>
      <c r="G545" t="str">
        <f>"013"</f>
        <v>013</v>
      </c>
      <c r="H545" t="str">
        <f t="shared" si="70"/>
        <v>2849</v>
      </c>
      <c r="I545" s="3">
        <v>98517500</v>
      </c>
      <c r="J545" s="3">
        <v>100</v>
      </c>
      <c r="K545" s="3">
        <v>98517500</v>
      </c>
      <c r="L545" s="3">
        <v>0</v>
      </c>
      <c r="M545" s="3">
        <v>98517500</v>
      </c>
      <c r="N545" s="3">
        <v>57675900</v>
      </c>
      <c r="O545" s="3">
        <v>57675900</v>
      </c>
      <c r="P545" s="3">
        <v>40775200</v>
      </c>
      <c r="Q545" s="3">
        <v>40775200</v>
      </c>
      <c r="R545" s="3">
        <v>-4245900</v>
      </c>
      <c r="S545" s="3">
        <v>0</v>
      </c>
      <c r="T545" s="3">
        <v>0</v>
      </c>
      <c r="U545" s="3">
        <v>0</v>
      </c>
      <c r="V545" s="3">
        <v>2006</v>
      </c>
      <c r="W545" s="3">
        <v>53725800</v>
      </c>
      <c r="X545" s="3">
        <v>192722700</v>
      </c>
      <c r="Y545" s="3">
        <v>138996900</v>
      </c>
      <c r="Z545" s="3">
        <v>212712100</v>
      </c>
      <c r="AA545" s="3">
        <v>-19989400</v>
      </c>
      <c r="AB545" s="3">
        <v>-9</v>
      </c>
    </row>
    <row r="546" spans="1:28" x14ac:dyDescent="0.35">
      <c r="A546">
        <v>2022</v>
      </c>
      <c r="B546" t="str">
        <f t="shared" si="68"/>
        <v>32</v>
      </c>
      <c r="C546" t="s">
        <v>224</v>
      </c>
      <c r="D546" t="s">
        <v>35</v>
      </c>
      <c r="E546" t="str">
        <f t="shared" si="69"/>
        <v>246</v>
      </c>
      <c r="F546" t="s">
        <v>224</v>
      </c>
      <c r="G546" t="str">
        <f>"014"</f>
        <v>014</v>
      </c>
      <c r="H546" t="str">
        <f t="shared" si="70"/>
        <v>2849</v>
      </c>
      <c r="I546" s="3">
        <v>135952400</v>
      </c>
      <c r="J546" s="3">
        <v>100</v>
      </c>
      <c r="K546" s="3">
        <v>135952400</v>
      </c>
      <c r="L546" s="3">
        <v>0</v>
      </c>
      <c r="M546" s="3">
        <v>135952400</v>
      </c>
      <c r="N546" s="3">
        <v>537000</v>
      </c>
      <c r="O546" s="3">
        <v>537000</v>
      </c>
      <c r="P546" s="3">
        <v>250300</v>
      </c>
      <c r="Q546" s="3">
        <v>250300</v>
      </c>
      <c r="R546" s="3">
        <v>-4888500</v>
      </c>
      <c r="S546" s="3">
        <v>0</v>
      </c>
      <c r="T546" s="3">
        <v>0</v>
      </c>
      <c r="U546" s="3">
        <v>0</v>
      </c>
      <c r="V546" s="3">
        <v>2006</v>
      </c>
      <c r="W546" s="3">
        <v>60747300</v>
      </c>
      <c r="X546" s="3">
        <v>131851200</v>
      </c>
      <c r="Y546" s="3">
        <v>71103900</v>
      </c>
      <c r="Z546" s="3">
        <v>133070500</v>
      </c>
      <c r="AA546" s="3">
        <v>-1219300</v>
      </c>
      <c r="AB546" s="3">
        <v>-1</v>
      </c>
    </row>
    <row r="547" spans="1:28" x14ac:dyDescent="0.35">
      <c r="A547">
        <v>2022</v>
      </c>
      <c r="B547" t="str">
        <f t="shared" si="68"/>
        <v>32</v>
      </c>
      <c r="C547" t="s">
        <v>224</v>
      </c>
      <c r="D547" t="s">
        <v>35</v>
      </c>
      <c r="E547" t="str">
        <f t="shared" si="69"/>
        <v>246</v>
      </c>
      <c r="F547" t="s">
        <v>224</v>
      </c>
      <c r="G547" t="str">
        <f>"015"</f>
        <v>015</v>
      </c>
      <c r="H547" t="str">
        <f t="shared" si="70"/>
        <v>2849</v>
      </c>
      <c r="I547" s="3">
        <v>47288700</v>
      </c>
      <c r="J547" s="3">
        <v>100</v>
      </c>
      <c r="K547" s="3">
        <v>47288700</v>
      </c>
      <c r="L547" s="3">
        <v>0</v>
      </c>
      <c r="M547" s="3">
        <v>47288700</v>
      </c>
      <c r="N547" s="3">
        <v>40093400</v>
      </c>
      <c r="O547" s="3">
        <v>40093400</v>
      </c>
      <c r="P547" s="3">
        <v>19950600</v>
      </c>
      <c r="Q547" s="3">
        <v>19950600</v>
      </c>
      <c r="R547" s="3">
        <v>-1706500</v>
      </c>
      <c r="S547" s="3">
        <v>0</v>
      </c>
      <c r="T547" s="3">
        <v>0</v>
      </c>
      <c r="U547" s="3">
        <v>0</v>
      </c>
      <c r="V547" s="3">
        <v>2013</v>
      </c>
      <c r="W547" s="3">
        <v>62802000</v>
      </c>
      <c r="X547" s="3">
        <v>105626200</v>
      </c>
      <c r="Y547" s="3">
        <v>42824200</v>
      </c>
      <c r="Z547" s="3">
        <v>102177200</v>
      </c>
      <c r="AA547" s="3">
        <v>3449000</v>
      </c>
      <c r="AB547" s="3">
        <v>3</v>
      </c>
    </row>
    <row r="548" spans="1:28" x14ac:dyDescent="0.35">
      <c r="A548">
        <v>2022</v>
      </c>
      <c r="B548" t="str">
        <f t="shared" si="68"/>
        <v>32</v>
      </c>
      <c r="C548" t="s">
        <v>224</v>
      </c>
      <c r="D548" t="s">
        <v>35</v>
      </c>
      <c r="E548" t="str">
        <f t="shared" si="69"/>
        <v>246</v>
      </c>
      <c r="F548" t="s">
        <v>224</v>
      </c>
      <c r="G548" t="str">
        <f>"016"</f>
        <v>016</v>
      </c>
      <c r="H548" t="str">
        <f t="shared" si="70"/>
        <v>2849</v>
      </c>
      <c r="I548" s="3">
        <v>33352200</v>
      </c>
      <c r="J548" s="3">
        <v>100</v>
      </c>
      <c r="K548" s="3">
        <v>33352200</v>
      </c>
      <c r="L548" s="3">
        <v>0</v>
      </c>
      <c r="M548" s="3">
        <v>33352200</v>
      </c>
      <c r="N548" s="3">
        <v>0</v>
      </c>
      <c r="O548" s="3">
        <v>0</v>
      </c>
      <c r="P548" s="3">
        <v>30600</v>
      </c>
      <c r="Q548" s="3">
        <v>30600</v>
      </c>
      <c r="R548" s="3">
        <v>-1204900</v>
      </c>
      <c r="S548" s="3">
        <v>0</v>
      </c>
      <c r="T548" s="3">
        <v>0</v>
      </c>
      <c r="U548" s="3">
        <v>0</v>
      </c>
      <c r="V548" s="3">
        <v>2014</v>
      </c>
      <c r="W548" s="3">
        <v>18087300</v>
      </c>
      <c r="X548" s="3">
        <v>32177900</v>
      </c>
      <c r="Y548" s="3">
        <v>14090600</v>
      </c>
      <c r="Z548" s="3">
        <v>32644000</v>
      </c>
      <c r="AA548" s="3">
        <v>-466100</v>
      </c>
      <c r="AB548" s="3">
        <v>-1</v>
      </c>
    </row>
    <row r="549" spans="1:28" x14ac:dyDescent="0.35">
      <c r="A549">
        <v>2022</v>
      </c>
      <c r="B549" t="str">
        <f t="shared" si="68"/>
        <v>32</v>
      </c>
      <c r="C549" t="s">
        <v>224</v>
      </c>
      <c r="D549" t="s">
        <v>35</v>
      </c>
      <c r="E549" t="str">
        <f t="shared" si="69"/>
        <v>246</v>
      </c>
      <c r="F549" t="s">
        <v>224</v>
      </c>
      <c r="G549" t="str">
        <f>"017"</f>
        <v>017</v>
      </c>
      <c r="H549" t="str">
        <f t="shared" si="70"/>
        <v>2849</v>
      </c>
      <c r="I549" s="3">
        <v>92110500</v>
      </c>
      <c r="J549" s="3">
        <v>100</v>
      </c>
      <c r="K549" s="3">
        <v>92110500</v>
      </c>
      <c r="L549" s="3">
        <v>0</v>
      </c>
      <c r="M549" s="3">
        <v>92110500</v>
      </c>
      <c r="N549" s="3">
        <v>0</v>
      </c>
      <c r="O549" s="3">
        <v>0</v>
      </c>
      <c r="P549" s="3">
        <v>0</v>
      </c>
      <c r="Q549" s="3">
        <v>0</v>
      </c>
      <c r="R549" s="3">
        <v>-3771300</v>
      </c>
      <c r="S549" s="3">
        <v>0</v>
      </c>
      <c r="T549" s="3">
        <v>0</v>
      </c>
      <c r="U549" s="3">
        <v>0</v>
      </c>
      <c r="V549" s="3">
        <v>2015</v>
      </c>
      <c r="W549" s="3">
        <v>11744600</v>
      </c>
      <c r="X549" s="3">
        <v>88339200</v>
      </c>
      <c r="Y549" s="3">
        <v>76594600</v>
      </c>
      <c r="Z549" s="3">
        <v>102065200</v>
      </c>
      <c r="AA549" s="3">
        <v>-13726000</v>
      </c>
      <c r="AB549" s="3">
        <v>-13</v>
      </c>
    </row>
    <row r="550" spans="1:28" x14ac:dyDescent="0.35">
      <c r="A550">
        <v>2022</v>
      </c>
      <c r="B550" t="str">
        <f t="shared" si="68"/>
        <v>32</v>
      </c>
      <c r="C550" t="s">
        <v>224</v>
      </c>
      <c r="D550" t="s">
        <v>35</v>
      </c>
      <c r="E550" t="str">
        <f t="shared" si="69"/>
        <v>246</v>
      </c>
      <c r="F550" t="s">
        <v>224</v>
      </c>
      <c r="G550" t="str">
        <f>"018"</f>
        <v>018</v>
      </c>
      <c r="H550" t="str">
        <f t="shared" si="70"/>
        <v>2849</v>
      </c>
      <c r="I550" s="3">
        <v>6499700</v>
      </c>
      <c r="J550" s="3">
        <v>100</v>
      </c>
      <c r="K550" s="3">
        <v>6499700</v>
      </c>
      <c r="L550" s="3">
        <v>0</v>
      </c>
      <c r="M550" s="3">
        <v>6499700</v>
      </c>
      <c r="N550" s="3">
        <v>0</v>
      </c>
      <c r="O550" s="3">
        <v>0</v>
      </c>
      <c r="P550" s="3">
        <v>0</v>
      </c>
      <c r="Q550" s="3">
        <v>0</v>
      </c>
      <c r="R550" s="3">
        <v>-275300</v>
      </c>
      <c r="S550" s="3">
        <v>0</v>
      </c>
      <c r="T550" s="3">
        <v>0</v>
      </c>
      <c r="U550" s="3">
        <v>0</v>
      </c>
      <c r="V550" s="3">
        <v>2020</v>
      </c>
      <c r="W550" s="3">
        <v>6846400</v>
      </c>
      <c r="X550" s="3">
        <v>6224400</v>
      </c>
      <c r="Y550" s="3">
        <v>-622000</v>
      </c>
      <c r="Z550" s="3">
        <v>7463000</v>
      </c>
      <c r="AA550" s="3">
        <v>-1238600</v>
      </c>
      <c r="AB550" s="3">
        <v>-17</v>
      </c>
    </row>
    <row r="551" spans="1:28" x14ac:dyDescent="0.35">
      <c r="A551">
        <v>2022</v>
      </c>
      <c r="B551" t="str">
        <f t="shared" si="68"/>
        <v>32</v>
      </c>
      <c r="C551" t="s">
        <v>224</v>
      </c>
      <c r="D551" t="s">
        <v>35</v>
      </c>
      <c r="E551" t="str">
        <f t="shared" si="69"/>
        <v>246</v>
      </c>
      <c r="F551" t="s">
        <v>224</v>
      </c>
      <c r="G551" t="str">
        <f>"019"</f>
        <v>019</v>
      </c>
      <c r="H551" t="str">
        <f t="shared" si="70"/>
        <v>2849</v>
      </c>
      <c r="I551" s="3">
        <v>4625600</v>
      </c>
      <c r="J551" s="3">
        <v>100</v>
      </c>
      <c r="K551" s="3">
        <v>4625600</v>
      </c>
      <c r="L551" s="3">
        <v>0</v>
      </c>
      <c r="M551" s="3">
        <v>4625600</v>
      </c>
      <c r="N551" s="3">
        <v>0</v>
      </c>
      <c r="O551" s="3">
        <v>0</v>
      </c>
      <c r="P551" s="3">
        <v>0</v>
      </c>
      <c r="Q551" s="3">
        <v>0</v>
      </c>
      <c r="R551" s="3">
        <v>-167000</v>
      </c>
      <c r="S551" s="3">
        <v>0</v>
      </c>
      <c r="T551" s="3">
        <v>0</v>
      </c>
      <c r="U551" s="3">
        <v>0</v>
      </c>
      <c r="V551" s="3">
        <v>2020</v>
      </c>
      <c r="W551" s="3">
        <v>5061100</v>
      </c>
      <c r="X551" s="3">
        <v>4458600</v>
      </c>
      <c r="Y551" s="3">
        <v>-602500</v>
      </c>
      <c r="Z551" s="3">
        <v>4528700</v>
      </c>
      <c r="AA551" s="3">
        <v>-70100</v>
      </c>
      <c r="AB551" s="3">
        <v>-2</v>
      </c>
    </row>
    <row r="552" spans="1:28" x14ac:dyDescent="0.35">
      <c r="A552">
        <v>2022</v>
      </c>
      <c r="B552" t="str">
        <f t="shared" si="68"/>
        <v>32</v>
      </c>
      <c r="C552" t="s">
        <v>224</v>
      </c>
      <c r="D552" t="s">
        <v>35</v>
      </c>
      <c r="E552" t="str">
        <f t="shared" si="69"/>
        <v>246</v>
      </c>
      <c r="F552" t="s">
        <v>224</v>
      </c>
      <c r="G552" t="str">
        <f>"020"</f>
        <v>020</v>
      </c>
      <c r="H552" t="str">
        <f t="shared" si="70"/>
        <v>2849</v>
      </c>
      <c r="I552" s="3">
        <v>16110200</v>
      </c>
      <c r="J552" s="3">
        <v>100</v>
      </c>
      <c r="K552" s="3">
        <v>16110200</v>
      </c>
      <c r="L552" s="3">
        <v>0</v>
      </c>
      <c r="M552" s="3">
        <v>16110200</v>
      </c>
      <c r="N552" s="3">
        <v>0</v>
      </c>
      <c r="O552" s="3">
        <v>0</v>
      </c>
      <c r="P552" s="3">
        <v>0</v>
      </c>
      <c r="Q552" s="3">
        <v>0</v>
      </c>
      <c r="R552" s="3">
        <v>-596000</v>
      </c>
      <c r="S552" s="3">
        <v>0</v>
      </c>
      <c r="T552" s="3">
        <v>0</v>
      </c>
      <c r="U552" s="3">
        <v>0</v>
      </c>
      <c r="V552" s="3">
        <v>2020</v>
      </c>
      <c r="W552" s="3">
        <v>15187600</v>
      </c>
      <c r="X552" s="3">
        <v>15514200</v>
      </c>
      <c r="Y552" s="3">
        <v>326600</v>
      </c>
      <c r="Z552" s="3">
        <v>16153500</v>
      </c>
      <c r="AA552" s="3">
        <v>-639300</v>
      </c>
      <c r="AB552" s="3">
        <v>-4</v>
      </c>
    </row>
    <row r="553" spans="1:28" x14ac:dyDescent="0.35">
      <c r="A553">
        <v>2022</v>
      </c>
      <c r="B553" t="str">
        <f t="shared" si="68"/>
        <v>32</v>
      </c>
      <c r="C553" t="s">
        <v>224</v>
      </c>
      <c r="D553" t="s">
        <v>35</v>
      </c>
      <c r="E553" t="str">
        <f>"265"</f>
        <v>265</v>
      </c>
      <c r="F553" t="s">
        <v>229</v>
      </c>
      <c r="G553" t="str">
        <f>"005"</f>
        <v>005</v>
      </c>
      <c r="H553" t="str">
        <f>"4095"</f>
        <v>4095</v>
      </c>
      <c r="I553" s="3">
        <v>11208900</v>
      </c>
      <c r="J553" s="3">
        <v>80.260000000000005</v>
      </c>
      <c r="K553" s="3">
        <v>13965700</v>
      </c>
      <c r="L553" s="3">
        <v>0</v>
      </c>
      <c r="M553" s="3">
        <v>13965700</v>
      </c>
      <c r="N553" s="3">
        <v>0</v>
      </c>
      <c r="O553" s="3">
        <v>0</v>
      </c>
      <c r="P553" s="3">
        <v>0</v>
      </c>
      <c r="Q553" s="3">
        <v>0</v>
      </c>
      <c r="R553" s="3">
        <v>18000</v>
      </c>
      <c r="S553" s="3">
        <v>0</v>
      </c>
      <c r="T553" s="3">
        <v>0</v>
      </c>
      <c r="U553" s="3">
        <v>0</v>
      </c>
      <c r="V553" s="3">
        <v>2019</v>
      </c>
      <c r="W553" s="3">
        <v>0</v>
      </c>
      <c r="X553" s="3">
        <v>13983700</v>
      </c>
      <c r="Y553" s="3">
        <v>13983700</v>
      </c>
      <c r="Z553" s="3">
        <v>12429800</v>
      </c>
      <c r="AA553" s="3">
        <v>1553900</v>
      </c>
      <c r="AB553" s="3">
        <v>13</v>
      </c>
    </row>
    <row r="554" spans="1:28" x14ac:dyDescent="0.35">
      <c r="A554">
        <v>2022</v>
      </c>
      <c r="B554" t="str">
        <f t="shared" si="68"/>
        <v>32</v>
      </c>
      <c r="C554" t="s">
        <v>224</v>
      </c>
      <c r="D554" t="s">
        <v>35</v>
      </c>
      <c r="E554" t="str">
        <f>"265"</f>
        <v>265</v>
      </c>
      <c r="F554" t="s">
        <v>229</v>
      </c>
      <c r="G554" t="str">
        <f>"006"</f>
        <v>006</v>
      </c>
      <c r="H554" t="str">
        <f>"2562"</f>
        <v>2562</v>
      </c>
      <c r="I554" s="3">
        <v>14528200</v>
      </c>
      <c r="J554" s="3">
        <v>80.260000000000005</v>
      </c>
      <c r="K554" s="3">
        <v>18101400</v>
      </c>
      <c r="L554" s="3">
        <v>0</v>
      </c>
      <c r="M554" s="3">
        <v>18101400</v>
      </c>
      <c r="N554" s="3">
        <v>0</v>
      </c>
      <c r="O554" s="3">
        <v>0</v>
      </c>
      <c r="P554" s="3">
        <v>0</v>
      </c>
      <c r="Q554" s="3">
        <v>0</v>
      </c>
      <c r="R554" s="3">
        <v>-17300</v>
      </c>
      <c r="S554" s="3">
        <v>0</v>
      </c>
      <c r="T554" s="3">
        <v>0</v>
      </c>
      <c r="U554" s="3">
        <v>0</v>
      </c>
      <c r="V554" s="3">
        <v>2020</v>
      </c>
      <c r="W554" s="3">
        <v>15535100</v>
      </c>
      <c r="X554" s="3">
        <v>18084100</v>
      </c>
      <c r="Y554" s="3">
        <v>2549000</v>
      </c>
      <c r="Z554" s="3">
        <v>16156200</v>
      </c>
      <c r="AA554" s="3">
        <v>1927900</v>
      </c>
      <c r="AB554" s="3">
        <v>12</v>
      </c>
    </row>
    <row r="555" spans="1:28" x14ac:dyDescent="0.35">
      <c r="A555">
        <v>2022</v>
      </c>
      <c r="B555" t="str">
        <f t="shared" ref="B555:B567" si="71">"33"</f>
        <v>33</v>
      </c>
      <c r="C555" t="s">
        <v>230</v>
      </c>
      <c r="D555" t="s">
        <v>33</v>
      </c>
      <c r="E555" t="str">
        <f>"101"</f>
        <v>101</v>
      </c>
      <c r="F555" t="s">
        <v>231</v>
      </c>
      <c r="G555" t="str">
        <f>"003"</f>
        <v>003</v>
      </c>
      <c r="H555" t="str">
        <f>"0161"</f>
        <v>0161</v>
      </c>
      <c r="I555" s="3">
        <v>2323900</v>
      </c>
      <c r="J555" s="3">
        <v>78.97</v>
      </c>
      <c r="K555" s="3">
        <v>2942800</v>
      </c>
      <c r="L555" s="3">
        <v>0</v>
      </c>
      <c r="M555" s="3">
        <v>2942800</v>
      </c>
      <c r="N555" s="3">
        <v>0</v>
      </c>
      <c r="O555" s="3">
        <v>0</v>
      </c>
      <c r="P555" s="3">
        <v>0</v>
      </c>
      <c r="Q555" s="3">
        <v>0</v>
      </c>
      <c r="R555" s="3">
        <v>400</v>
      </c>
      <c r="S555" s="3">
        <v>0</v>
      </c>
      <c r="T555" s="3">
        <v>0</v>
      </c>
      <c r="U555" s="3">
        <v>0</v>
      </c>
      <c r="V555" s="3">
        <v>2012</v>
      </c>
      <c r="W555" s="3">
        <v>1751500</v>
      </c>
      <c r="X555" s="3">
        <v>2943200</v>
      </c>
      <c r="Y555" s="3">
        <v>1191700</v>
      </c>
      <c r="Z555" s="3">
        <v>1926500</v>
      </c>
      <c r="AA555" s="3">
        <v>1016700</v>
      </c>
      <c r="AB555" s="3">
        <v>53</v>
      </c>
    </row>
    <row r="556" spans="1:28" x14ac:dyDescent="0.35">
      <c r="A556">
        <v>2022</v>
      </c>
      <c r="B556" t="str">
        <f t="shared" si="71"/>
        <v>33</v>
      </c>
      <c r="C556" t="s">
        <v>230</v>
      </c>
      <c r="D556" t="s">
        <v>33</v>
      </c>
      <c r="E556" t="str">
        <f>"106"</f>
        <v>106</v>
      </c>
      <c r="F556" t="s">
        <v>232</v>
      </c>
      <c r="G556" t="str">
        <f>"001"</f>
        <v>001</v>
      </c>
      <c r="H556" t="str">
        <f>"0364"</f>
        <v>0364</v>
      </c>
      <c r="I556" s="3">
        <v>7497600</v>
      </c>
      <c r="J556" s="3">
        <v>86.36</v>
      </c>
      <c r="K556" s="3">
        <v>8681800</v>
      </c>
      <c r="L556" s="3">
        <v>0</v>
      </c>
      <c r="M556" s="3">
        <v>8681800</v>
      </c>
      <c r="N556" s="3">
        <v>0</v>
      </c>
      <c r="O556" s="3">
        <v>0</v>
      </c>
      <c r="P556" s="3">
        <v>0</v>
      </c>
      <c r="Q556" s="3">
        <v>0</v>
      </c>
      <c r="R556" s="3">
        <v>11700</v>
      </c>
      <c r="S556" s="3">
        <v>0</v>
      </c>
      <c r="T556" s="3">
        <v>0</v>
      </c>
      <c r="U556" s="3">
        <v>0</v>
      </c>
      <c r="V556" s="3">
        <v>2004</v>
      </c>
      <c r="W556" s="3">
        <v>56000</v>
      </c>
      <c r="X556" s="3">
        <v>8693500</v>
      </c>
      <c r="Y556" s="3">
        <v>8637500</v>
      </c>
      <c r="Z556" s="3">
        <v>7745000</v>
      </c>
      <c r="AA556" s="3">
        <v>948500</v>
      </c>
      <c r="AB556" s="3">
        <v>12</v>
      </c>
    </row>
    <row r="557" spans="1:28" x14ac:dyDescent="0.35">
      <c r="A557">
        <v>2022</v>
      </c>
      <c r="B557" t="str">
        <f t="shared" si="71"/>
        <v>33</v>
      </c>
      <c r="C557" t="s">
        <v>230</v>
      </c>
      <c r="D557" t="s">
        <v>33</v>
      </c>
      <c r="E557" t="str">
        <f>"131"</f>
        <v>131</v>
      </c>
      <c r="F557" t="s">
        <v>233</v>
      </c>
      <c r="G557" t="str">
        <f>"001"</f>
        <v>001</v>
      </c>
      <c r="H557" t="str">
        <f>"2240"</f>
        <v>2240</v>
      </c>
      <c r="I557" s="3">
        <v>1440600</v>
      </c>
      <c r="J557" s="3">
        <v>74.11</v>
      </c>
      <c r="K557" s="3">
        <v>1943900</v>
      </c>
      <c r="L557" s="3">
        <v>0</v>
      </c>
      <c r="M557" s="3">
        <v>1943900</v>
      </c>
      <c r="N557" s="3">
        <v>0</v>
      </c>
      <c r="O557" s="3">
        <v>0</v>
      </c>
      <c r="P557" s="3">
        <v>0</v>
      </c>
      <c r="Q557" s="3">
        <v>0</v>
      </c>
      <c r="R557" s="3">
        <v>-5400</v>
      </c>
      <c r="S557" s="3">
        <v>0</v>
      </c>
      <c r="T557" s="3">
        <v>0</v>
      </c>
      <c r="U557" s="3">
        <v>0</v>
      </c>
      <c r="V557" s="3">
        <v>2001</v>
      </c>
      <c r="W557" s="3">
        <v>449900</v>
      </c>
      <c r="X557" s="3">
        <v>1938500</v>
      </c>
      <c r="Y557" s="3">
        <v>1488600</v>
      </c>
      <c r="Z557" s="3">
        <v>1776600</v>
      </c>
      <c r="AA557" s="3">
        <v>161900</v>
      </c>
      <c r="AB557" s="3">
        <v>9</v>
      </c>
    </row>
    <row r="558" spans="1:28" x14ac:dyDescent="0.35">
      <c r="A558">
        <v>2022</v>
      </c>
      <c r="B558" t="str">
        <f t="shared" si="71"/>
        <v>33</v>
      </c>
      <c r="C558" t="s">
        <v>230</v>
      </c>
      <c r="D558" t="s">
        <v>35</v>
      </c>
      <c r="E558" t="str">
        <f>"211"</f>
        <v>211</v>
      </c>
      <c r="F558" t="s">
        <v>180</v>
      </c>
      <c r="G558" t="str">
        <f>"002"</f>
        <v>002</v>
      </c>
      <c r="H558" t="str">
        <f>"1246"</f>
        <v>1246</v>
      </c>
      <c r="I558" s="3">
        <v>0</v>
      </c>
      <c r="J558" s="3">
        <v>82.54</v>
      </c>
      <c r="K558" s="3">
        <v>0</v>
      </c>
      <c r="L558" s="3">
        <v>0</v>
      </c>
      <c r="M558" s="3">
        <v>0</v>
      </c>
      <c r="N558" s="3">
        <v>0</v>
      </c>
      <c r="O558" s="3">
        <v>0</v>
      </c>
      <c r="P558" s="3">
        <v>0</v>
      </c>
      <c r="Q558" s="3">
        <v>0</v>
      </c>
      <c r="R558" s="3">
        <v>0</v>
      </c>
      <c r="S558" s="3">
        <v>0</v>
      </c>
      <c r="T558" s="3">
        <v>0</v>
      </c>
      <c r="U558" s="3">
        <v>2233100</v>
      </c>
      <c r="V558" s="3">
        <v>1999</v>
      </c>
      <c r="W558" s="3">
        <v>66700</v>
      </c>
      <c r="X558" s="3">
        <v>2233100</v>
      </c>
      <c r="Y558" s="3">
        <v>2166400</v>
      </c>
      <c r="Z558" s="3">
        <v>2233100</v>
      </c>
      <c r="AA558" s="3">
        <v>0</v>
      </c>
      <c r="AB558" s="3">
        <v>0</v>
      </c>
    </row>
    <row r="559" spans="1:28" x14ac:dyDescent="0.35">
      <c r="A559">
        <v>2022</v>
      </c>
      <c r="B559" t="str">
        <f t="shared" si="71"/>
        <v>33</v>
      </c>
      <c r="C559" t="s">
        <v>230</v>
      </c>
      <c r="D559" t="s">
        <v>35</v>
      </c>
      <c r="E559" t="str">
        <f>"211"</f>
        <v>211</v>
      </c>
      <c r="F559" t="s">
        <v>180</v>
      </c>
      <c r="G559" t="str">
        <f>"004"</f>
        <v>004</v>
      </c>
      <c r="H559" t="str">
        <f>"1246"</f>
        <v>1246</v>
      </c>
      <c r="I559" s="3">
        <v>2651100</v>
      </c>
      <c r="J559" s="3">
        <v>82.54</v>
      </c>
      <c r="K559" s="3">
        <v>3211900</v>
      </c>
      <c r="L559" s="3">
        <v>0</v>
      </c>
      <c r="M559" s="3">
        <v>3211900</v>
      </c>
      <c r="N559" s="3">
        <v>0</v>
      </c>
      <c r="O559" s="3">
        <v>0</v>
      </c>
      <c r="P559" s="3">
        <v>0</v>
      </c>
      <c r="Q559" s="3">
        <v>0</v>
      </c>
      <c r="R559" s="3">
        <v>-1100</v>
      </c>
      <c r="S559" s="3">
        <v>0</v>
      </c>
      <c r="T559" s="3">
        <v>0</v>
      </c>
      <c r="U559" s="3">
        <v>0</v>
      </c>
      <c r="V559" s="3">
        <v>2019</v>
      </c>
      <c r="W559" s="3">
        <v>2233100</v>
      </c>
      <c r="X559" s="3">
        <v>3210800</v>
      </c>
      <c r="Y559" s="3">
        <v>977700</v>
      </c>
      <c r="Z559" s="3">
        <v>2837700</v>
      </c>
      <c r="AA559" s="3">
        <v>373100</v>
      </c>
      <c r="AB559" s="3">
        <v>13</v>
      </c>
    </row>
    <row r="560" spans="1:28" x14ac:dyDescent="0.35">
      <c r="A560">
        <v>2022</v>
      </c>
      <c r="B560" t="str">
        <f t="shared" si="71"/>
        <v>33</v>
      </c>
      <c r="C560" t="s">
        <v>230</v>
      </c>
      <c r="D560" t="s">
        <v>35</v>
      </c>
      <c r="E560" t="str">
        <f>"216"</f>
        <v>216</v>
      </c>
      <c r="F560" t="s">
        <v>234</v>
      </c>
      <c r="G560" t="str">
        <f>"006"</f>
        <v>006</v>
      </c>
      <c r="H560" t="str">
        <f>"1295"</f>
        <v>1295</v>
      </c>
      <c r="I560" s="3">
        <v>7248700</v>
      </c>
      <c r="J560" s="3">
        <v>82.39</v>
      </c>
      <c r="K560" s="3">
        <v>8798000</v>
      </c>
      <c r="L560" s="3">
        <v>0</v>
      </c>
      <c r="M560" s="3">
        <v>8798000</v>
      </c>
      <c r="N560" s="3">
        <v>19785000</v>
      </c>
      <c r="O560" s="3">
        <v>19785000</v>
      </c>
      <c r="P560" s="3">
        <v>2569700</v>
      </c>
      <c r="Q560" s="3">
        <v>2569700</v>
      </c>
      <c r="R560" s="3">
        <v>-1800</v>
      </c>
      <c r="S560" s="3">
        <v>0</v>
      </c>
      <c r="T560" s="3">
        <v>0</v>
      </c>
      <c r="U560" s="3">
        <v>0</v>
      </c>
      <c r="V560" s="3">
        <v>2003</v>
      </c>
      <c r="W560" s="3">
        <v>4304900</v>
      </c>
      <c r="X560" s="3">
        <v>31150900</v>
      </c>
      <c r="Y560" s="3">
        <v>26846000</v>
      </c>
      <c r="Z560" s="3">
        <v>25103300</v>
      </c>
      <c r="AA560" s="3">
        <v>6047600</v>
      </c>
      <c r="AB560" s="3">
        <v>24</v>
      </c>
    </row>
    <row r="561" spans="1:28" x14ac:dyDescent="0.35">
      <c r="A561">
        <v>2022</v>
      </c>
      <c r="B561" t="str">
        <f t="shared" si="71"/>
        <v>33</v>
      </c>
      <c r="C561" t="s">
        <v>230</v>
      </c>
      <c r="D561" t="s">
        <v>35</v>
      </c>
      <c r="E561" t="str">
        <f>"216"</f>
        <v>216</v>
      </c>
      <c r="F561" t="s">
        <v>234</v>
      </c>
      <c r="G561" t="str">
        <f>"007"</f>
        <v>007</v>
      </c>
      <c r="H561" t="str">
        <f>"1295"</f>
        <v>1295</v>
      </c>
      <c r="I561" s="3">
        <v>4536900</v>
      </c>
      <c r="J561" s="3">
        <v>82.39</v>
      </c>
      <c r="K561" s="3">
        <v>5506600</v>
      </c>
      <c r="L561" s="3">
        <v>0</v>
      </c>
      <c r="M561" s="3">
        <v>5506600</v>
      </c>
      <c r="N561" s="3">
        <v>70000</v>
      </c>
      <c r="O561" s="3">
        <v>70000</v>
      </c>
      <c r="P561" s="3">
        <v>4700</v>
      </c>
      <c r="Q561" s="3">
        <v>4700</v>
      </c>
      <c r="R561" s="3">
        <v>-1100</v>
      </c>
      <c r="S561" s="3">
        <v>0</v>
      </c>
      <c r="T561" s="3">
        <v>0</v>
      </c>
      <c r="U561" s="3">
        <v>0</v>
      </c>
      <c r="V561" s="3">
        <v>2006</v>
      </c>
      <c r="W561" s="3">
        <v>2186300</v>
      </c>
      <c r="X561" s="3">
        <v>5580200</v>
      </c>
      <c r="Y561" s="3">
        <v>3393900</v>
      </c>
      <c r="Z561" s="3">
        <v>5198700</v>
      </c>
      <c r="AA561" s="3">
        <v>381500</v>
      </c>
      <c r="AB561" s="3">
        <v>7</v>
      </c>
    </row>
    <row r="562" spans="1:28" x14ac:dyDescent="0.35">
      <c r="A562">
        <v>2022</v>
      </c>
      <c r="B562" t="str">
        <f t="shared" si="71"/>
        <v>33</v>
      </c>
      <c r="C562" t="s">
        <v>230</v>
      </c>
      <c r="D562" t="s">
        <v>35</v>
      </c>
      <c r="E562" t="str">
        <f>"216"</f>
        <v>216</v>
      </c>
      <c r="F562" t="s">
        <v>234</v>
      </c>
      <c r="G562" t="str">
        <f>"008"</f>
        <v>008</v>
      </c>
      <c r="H562" t="str">
        <f>"1295"</f>
        <v>1295</v>
      </c>
      <c r="I562" s="3">
        <v>13000</v>
      </c>
      <c r="J562" s="3">
        <v>82.39</v>
      </c>
      <c r="K562" s="3">
        <v>15800</v>
      </c>
      <c r="L562" s="3">
        <v>0</v>
      </c>
      <c r="M562" s="3">
        <v>15800</v>
      </c>
      <c r="N562" s="3">
        <v>0</v>
      </c>
      <c r="O562" s="3">
        <v>0</v>
      </c>
      <c r="P562" s="3">
        <v>0</v>
      </c>
      <c r="Q562" s="3">
        <v>0</v>
      </c>
      <c r="R562" s="3">
        <v>0</v>
      </c>
      <c r="S562" s="3">
        <v>0</v>
      </c>
      <c r="T562" s="3">
        <v>0</v>
      </c>
      <c r="U562" s="3">
        <v>0</v>
      </c>
      <c r="V562" s="3">
        <v>2018</v>
      </c>
      <c r="W562" s="3">
        <v>22500</v>
      </c>
      <c r="X562" s="3">
        <v>15800</v>
      </c>
      <c r="Y562" s="3">
        <v>-6700</v>
      </c>
      <c r="Z562" s="3">
        <v>15300</v>
      </c>
      <c r="AA562" s="3">
        <v>500</v>
      </c>
      <c r="AB562" s="3">
        <v>3</v>
      </c>
    </row>
    <row r="563" spans="1:28" x14ac:dyDescent="0.35">
      <c r="A563">
        <v>2022</v>
      </c>
      <c r="B563" t="str">
        <f t="shared" si="71"/>
        <v>33</v>
      </c>
      <c r="C563" t="s">
        <v>230</v>
      </c>
      <c r="D563" t="s">
        <v>35</v>
      </c>
      <c r="E563" t="str">
        <f>"281"</f>
        <v>281</v>
      </c>
      <c r="F563" t="s">
        <v>235</v>
      </c>
      <c r="G563" t="str">
        <f>"003"</f>
        <v>003</v>
      </c>
      <c r="H563" t="str">
        <f>"5362"</f>
        <v>5362</v>
      </c>
      <c r="I563" s="3">
        <v>4956500</v>
      </c>
      <c r="J563" s="3">
        <v>100</v>
      </c>
      <c r="K563" s="3">
        <v>4956500</v>
      </c>
      <c r="L563" s="3">
        <v>0</v>
      </c>
      <c r="M563" s="3">
        <v>4956500</v>
      </c>
      <c r="N563" s="3">
        <v>1025000</v>
      </c>
      <c r="O563" s="3">
        <v>1025000</v>
      </c>
      <c r="P563" s="3">
        <v>0</v>
      </c>
      <c r="Q563" s="3">
        <v>0</v>
      </c>
      <c r="R563" s="3">
        <v>3200</v>
      </c>
      <c r="S563" s="3">
        <v>0</v>
      </c>
      <c r="T563" s="3">
        <v>0</v>
      </c>
      <c r="U563" s="3">
        <v>0</v>
      </c>
      <c r="V563" s="3">
        <v>1997</v>
      </c>
      <c r="W563" s="3">
        <v>1480000</v>
      </c>
      <c r="X563" s="3">
        <v>5984700</v>
      </c>
      <c r="Y563" s="3">
        <v>4504700</v>
      </c>
      <c r="Z563" s="3">
        <v>5547400</v>
      </c>
      <c r="AA563" s="3">
        <v>437300</v>
      </c>
      <c r="AB563" s="3">
        <v>8</v>
      </c>
    </row>
    <row r="564" spans="1:28" x14ac:dyDescent="0.35">
      <c r="A564">
        <v>2022</v>
      </c>
      <c r="B564" t="str">
        <f t="shared" si="71"/>
        <v>33</v>
      </c>
      <c r="C564" t="s">
        <v>230</v>
      </c>
      <c r="D564" t="s">
        <v>35</v>
      </c>
      <c r="E564" t="str">
        <f>"281"</f>
        <v>281</v>
      </c>
      <c r="F564" t="s">
        <v>235</v>
      </c>
      <c r="G564" t="str">
        <f>"004"</f>
        <v>004</v>
      </c>
      <c r="H564" t="str">
        <f>"5362"</f>
        <v>5362</v>
      </c>
      <c r="I564" s="3">
        <v>961500</v>
      </c>
      <c r="J564" s="3">
        <v>100</v>
      </c>
      <c r="K564" s="3">
        <v>961500</v>
      </c>
      <c r="L564" s="3">
        <v>0</v>
      </c>
      <c r="M564" s="3">
        <v>961500</v>
      </c>
      <c r="N564" s="3">
        <v>20000</v>
      </c>
      <c r="O564" s="3">
        <v>20000</v>
      </c>
      <c r="P564" s="3">
        <v>0</v>
      </c>
      <c r="Q564" s="3">
        <v>0</v>
      </c>
      <c r="R564" s="3">
        <v>800</v>
      </c>
      <c r="S564" s="3">
        <v>0</v>
      </c>
      <c r="T564" s="3">
        <v>0</v>
      </c>
      <c r="U564" s="3">
        <v>0</v>
      </c>
      <c r="V564" s="3">
        <v>1997</v>
      </c>
      <c r="W564" s="3">
        <v>15000</v>
      </c>
      <c r="X564" s="3">
        <v>982300</v>
      </c>
      <c r="Y564" s="3">
        <v>967300</v>
      </c>
      <c r="Z564" s="3">
        <v>1132400</v>
      </c>
      <c r="AA564" s="3">
        <v>-150100</v>
      </c>
      <c r="AB564" s="3">
        <v>-13</v>
      </c>
    </row>
    <row r="565" spans="1:28" x14ac:dyDescent="0.35">
      <c r="A565">
        <v>2022</v>
      </c>
      <c r="B565" t="str">
        <f t="shared" si="71"/>
        <v>33</v>
      </c>
      <c r="C565" t="s">
        <v>230</v>
      </c>
      <c r="D565" t="s">
        <v>35</v>
      </c>
      <c r="E565" t="str">
        <f>"281"</f>
        <v>281</v>
      </c>
      <c r="F565" t="s">
        <v>235</v>
      </c>
      <c r="G565" t="str">
        <f>"005"</f>
        <v>005</v>
      </c>
      <c r="H565" t="str">
        <f>"5362"</f>
        <v>5362</v>
      </c>
      <c r="I565" s="3">
        <v>587900</v>
      </c>
      <c r="J565" s="3">
        <v>100</v>
      </c>
      <c r="K565" s="3">
        <v>587900</v>
      </c>
      <c r="L565" s="3">
        <v>0</v>
      </c>
      <c r="M565" s="3">
        <v>587900</v>
      </c>
      <c r="N565" s="3">
        <v>0</v>
      </c>
      <c r="O565" s="3">
        <v>0</v>
      </c>
      <c r="P565" s="3">
        <v>0</v>
      </c>
      <c r="Q565" s="3">
        <v>0</v>
      </c>
      <c r="R565" s="3">
        <v>400</v>
      </c>
      <c r="S565" s="3">
        <v>0</v>
      </c>
      <c r="T565" s="3">
        <v>0</v>
      </c>
      <c r="U565" s="3">
        <v>0</v>
      </c>
      <c r="V565" s="3">
        <v>2005</v>
      </c>
      <c r="W565" s="3">
        <v>161500</v>
      </c>
      <c r="X565" s="3">
        <v>588300</v>
      </c>
      <c r="Y565" s="3">
        <v>426800</v>
      </c>
      <c r="Z565" s="3">
        <v>544400</v>
      </c>
      <c r="AA565" s="3">
        <v>43900</v>
      </c>
      <c r="AB565" s="3">
        <v>8</v>
      </c>
    </row>
    <row r="566" spans="1:28" x14ac:dyDescent="0.35">
      <c r="A566">
        <v>2022</v>
      </c>
      <c r="B566" t="str">
        <f t="shared" si="71"/>
        <v>33</v>
      </c>
      <c r="C566" t="s">
        <v>230</v>
      </c>
      <c r="D566" t="s">
        <v>35</v>
      </c>
      <c r="E566" t="str">
        <f>"281"</f>
        <v>281</v>
      </c>
      <c r="F566" t="s">
        <v>235</v>
      </c>
      <c r="G566" t="str">
        <f>"006"</f>
        <v>006</v>
      </c>
      <c r="H566" t="str">
        <f>"5362"</f>
        <v>5362</v>
      </c>
      <c r="I566" s="3">
        <v>2789200</v>
      </c>
      <c r="J566" s="3">
        <v>100</v>
      </c>
      <c r="K566" s="3">
        <v>2789200</v>
      </c>
      <c r="L566" s="3">
        <v>0</v>
      </c>
      <c r="M566" s="3">
        <v>2789200</v>
      </c>
      <c r="N566" s="3">
        <v>0</v>
      </c>
      <c r="O566" s="3">
        <v>0</v>
      </c>
      <c r="P566" s="3">
        <v>0</v>
      </c>
      <c r="Q566" s="3">
        <v>0</v>
      </c>
      <c r="R566" s="3">
        <v>2200</v>
      </c>
      <c r="S566" s="3">
        <v>0</v>
      </c>
      <c r="T566" s="3">
        <v>0</v>
      </c>
      <c r="U566" s="3">
        <v>0</v>
      </c>
      <c r="V566" s="3">
        <v>2010</v>
      </c>
      <c r="W566" s="3">
        <v>12400</v>
      </c>
      <c r="X566" s="3">
        <v>2791400</v>
      </c>
      <c r="Y566" s="3">
        <v>2779000</v>
      </c>
      <c r="Z566" s="3">
        <v>3134700</v>
      </c>
      <c r="AA566" s="3">
        <v>-343300</v>
      </c>
      <c r="AB566" s="3">
        <v>-11</v>
      </c>
    </row>
    <row r="567" spans="1:28" x14ac:dyDescent="0.35">
      <c r="A567">
        <v>2022</v>
      </c>
      <c r="B567" t="str">
        <f t="shared" si="71"/>
        <v>33</v>
      </c>
      <c r="C567" t="s">
        <v>230</v>
      </c>
      <c r="D567" t="s">
        <v>35</v>
      </c>
      <c r="E567" t="str">
        <f>"281"</f>
        <v>281</v>
      </c>
      <c r="F567" t="s">
        <v>235</v>
      </c>
      <c r="G567" t="str">
        <f>"007"</f>
        <v>007</v>
      </c>
      <c r="H567" t="str">
        <f>"5362"</f>
        <v>5362</v>
      </c>
      <c r="I567" s="3">
        <v>316100</v>
      </c>
      <c r="J567" s="3">
        <v>100</v>
      </c>
      <c r="K567" s="3">
        <v>316100</v>
      </c>
      <c r="L567" s="3">
        <v>0</v>
      </c>
      <c r="M567" s="3">
        <v>316100</v>
      </c>
      <c r="N567" s="3">
        <v>2758900</v>
      </c>
      <c r="O567" s="3">
        <v>2758900</v>
      </c>
      <c r="P567" s="3">
        <v>769500</v>
      </c>
      <c r="Q567" s="3">
        <v>769500</v>
      </c>
      <c r="R567" s="3">
        <v>200</v>
      </c>
      <c r="S567" s="3">
        <v>0</v>
      </c>
      <c r="T567" s="3">
        <v>0</v>
      </c>
      <c r="U567" s="3">
        <v>0</v>
      </c>
      <c r="V567" s="3">
        <v>2010</v>
      </c>
      <c r="W567" s="3">
        <v>1070300</v>
      </c>
      <c r="X567" s="3">
        <v>3844700</v>
      </c>
      <c r="Y567" s="3">
        <v>2774400</v>
      </c>
      <c r="Z567" s="3">
        <v>3443400</v>
      </c>
      <c r="AA567" s="3">
        <v>401300</v>
      </c>
      <c r="AB567" s="3">
        <v>12</v>
      </c>
    </row>
    <row r="568" spans="1:28" x14ac:dyDescent="0.35">
      <c r="A568">
        <v>2022</v>
      </c>
      <c r="B568" t="str">
        <f t="shared" ref="B568:B573" si="72">"34"</f>
        <v>34</v>
      </c>
      <c r="C568" t="s">
        <v>236</v>
      </c>
      <c r="D568" t="s">
        <v>33</v>
      </c>
      <c r="E568" t="str">
        <f>"191"</f>
        <v>191</v>
      </c>
      <c r="F568" t="s">
        <v>237</v>
      </c>
      <c r="G568" t="str">
        <f>"002"</f>
        <v>002</v>
      </c>
      <c r="H568" t="str">
        <f>"6440"</f>
        <v>6440</v>
      </c>
      <c r="I568" s="3">
        <v>2285900</v>
      </c>
      <c r="J568" s="3">
        <v>91.28</v>
      </c>
      <c r="K568" s="3">
        <v>2504300</v>
      </c>
      <c r="L568" s="3">
        <v>0</v>
      </c>
      <c r="M568" s="3">
        <v>2504300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0</v>
      </c>
      <c r="T568" s="3">
        <v>0</v>
      </c>
      <c r="U568" s="3">
        <v>0</v>
      </c>
      <c r="V568" s="3">
        <v>2021</v>
      </c>
      <c r="W568" s="3">
        <v>2332900</v>
      </c>
      <c r="X568" s="3">
        <v>2504300</v>
      </c>
      <c r="Y568" s="3">
        <v>171400</v>
      </c>
      <c r="Z568" s="3">
        <v>2332900</v>
      </c>
      <c r="AA568" s="3">
        <v>171400</v>
      </c>
      <c r="AB568" s="3">
        <v>7</v>
      </c>
    </row>
    <row r="569" spans="1:28" x14ac:dyDescent="0.35">
      <c r="A569">
        <v>2022</v>
      </c>
      <c r="B569" t="str">
        <f t="shared" si="72"/>
        <v>34</v>
      </c>
      <c r="C569" t="s">
        <v>236</v>
      </c>
      <c r="D569" t="s">
        <v>35</v>
      </c>
      <c r="E569" t="str">
        <f>"201"</f>
        <v>201</v>
      </c>
      <c r="F569" t="s">
        <v>238</v>
      </c>
      <c r="G569" t="str">
        <f>"003"</f>
        <v>003</v>
      </c>
      <c r="H569" t="str">
        <f>"0140"</f>
        <v>0140</v>
      </c>
      <c r="I569" s="3">
        <v>4252800</v>
      </c>
      <c r="J569" s="3">
        <v>87.77</v>
      </c>
      <c r="K569" s="3">
        <v>4845400</v>
      </c>
      <c r="L569" s="3">
        <v>0</v>
      </c>
      <c r="M569" s="3">
        <v>4845400</v>
      </c>
      <c r="N569" s="3">
        <v>3767800</v>
      </c>
      <c r="O569" s="3">
        <v>3767800</v>
      </c>
      <c r="P569" s="3">
        <v>384200</v>
      </c>
      <c r="Q569" s="3">
        <v>384200</v>
      </c>
      <c r="R569" s="3">
        <v>3700</v>
      </c>
      <c r="S569" s="3">
        <v>0</v>
      </c>
      <c r="T569" s="3">
        <v>0</v>
      </c>
      <c r="U569" s="3">
        <v>130200</v>
      </c>
      <c r="V569" s="3">
        <v>1999</v>
      </c>
      <c r="W569" s="3">
        <v>5166000</v>
      </c>
      <c r="X569" s="3">
        <v>9131300</v>
      </c>
      <c r="Y569" s="3">
        <v>3965300</v>
      </c>
      <c r="Z569" s="3">
        <v>8690800</v>
      </c>
      <c r="AA569" s="3">
        <v>440500</v>
      </c>
      <c r="AB569" s="3">
        <v>5</v>
      </c>
    </row>
    <row r="570" spans="1:28" x14ac:dyDescent="0.35">
      <c r="A570">
        <v>2022</v>
      </c>
      <c r="B570" t="str">
        <f t="shared" si="72"/>
        <v>34</v>
      </c>
      <c r="C570" t="s">
        <v>236</v>
      </c>
      <c r="D570" t="s">
        <v>35</v>
      </c>
      <c r="E570" t="str">
        <f>"201"</f>
        <v>201</v>
      </c>
      <c r="F570" t="s">
        <v>238</v>
      </c>
      <c r="G570" t="str">
        <f>"004"</f>
        <v>004</v>
      </c>
      <c r="H570" t="str">
        <f>"0140"</f>
        <v>0140</v>
      </c>
      <c r="I570" s="3">
        <v>22048000</v>
      </c>
      <c r="J570" s="3">
        <v>87.77</v>
      </c>
      <c r="K570" s="3">
        <v>25120200</v>
      </c>
      <c r="L570" s="3">
        <v>0</v>
      </c>
      <c r="M570" s="3">
        <v>25120200</v>
      </c>
      <c r="N570" s="3">
        <v>2713200</v>
      </c>
      <c r="O570" s="3">
        <v>2713200</v>
      </c>
      <c r="P570" s="3">
        <v>1617000</v>
      </c>
      <c r="Q570" s="3">
        <v>1617000</v>
      </c>
      <c r="R570" s="3">
        <v>19000</v>
      </c>
      <c r="S570" s="3">
        <v>0</v>
      </c>
      <c r="T570" s="3">
        <v>0</v>
      </c>
      <c r="U570" s="3">
        <v>0</v>
      </c>
      <c r="V570" s="3">
        <v>1999</v>
      </c>
      <c r="W570" s="3">
        <v>18324000</v>
      </c>
      <c r="X570" s="3">
        <v>29469400</v>
      </c>
      <c r="Y570" s="3">
        <v>11145400</v>
      </c>
      <c r="Z570" s="3">
        <v>26753200</v>
      </c>
      <c r="AA570" s="3">
        <v>2716200</v>
      </c>
      <c r="AB570" s="3">
        <v>10</v>
      </c>
    </row>
    <row r="571" spans="1:28" x14ac:dyDescent="0.35">
      <c r="A571">
        <v>2022</v>
      </c>
      <c r="B571" t="str">
        <f t="shared" si="72"/>
        <v>34</v>
      </c>
      <c r="C571" t="s">
        <v>236</v>
      </c>
      <c r="D571" t="s">
        <v>35</v>
      </c>
      <c r="E571" t="str">
        <f>"201"</f>
        <v>201</v>
      </c>
      <c r="F571" t="s">
        <v>238</v>
      </c>
      <c r="G571" t="str">
        <f>"005"</f>
        <v>005</v>
      </c>
      <c r="H571" t="str">
        <f>"0140"</f>
        <v>0140</v>
      </c>
      <c r="I571" s="3">
        <v>8342300</v>
      </c>
      <c r="J571" s="3">
        <v>87.77</v>
      </c>
      <c r="K571" s="3">
        <v>9504700</v>
      </c>
      <c r="L571" s="3">
        <v>0</v>
      </c>
      <c r="M571" s="3">
        <v>9504700</v>
      </c>
      <c r="N571" s="3">
        <v>2398300</v>
      </c>
      <c r="O571" s="3">
        <v>2398300</v>
      </c>
      <c r="P571" s="3">
        <v>40300</v>
      </c>
      <c r="Q571" s="3">
        <v>40300</v>
      </c>
      <c r="R571" s="3">
        <v>7100</v>
      </c>
      <c r="S571" s="3">
        <v>-595000</v>
      </c>
      <c r="T571" s="3">
        <v>0</v>
      </c>
      <c r="U571" s="3">
        <v>0</v>
      </c>
      <c r="V571" s="3">
        <v>2001</v>
      </c>
      <c r="W571" s="3">
        <v>9304200</v>
      </c>
      <c r="X571" s="3">
        <v>11355400</v>
      </c>
      <c r="Y571" s="3">
        <v>2051200</v>
      </c>
      <c r="Z571" s="3">
        <v>12327700</v>
      </c>
      <c r="AA571" s="3">
        <v>-972300</v>
      </c>
      <c r="AB571" s="3">
        <v>-8</v>
      </c>
    </row>
    <row r="572" spans="1:28" x14ac:dyDescent="0.35">
      <c r="A572">
        <v>2022</v>
      </c>
      <c r="B572" t="str">
        <f t="shared" si="72"/>
        <v>34</v>
      </c>
      <c r="C572" t="s">
        <v>236</v>
      </c>
      <c r="D572" t="s">
        <v>35</v>
      </c>
      <c r="E572" t="str">
        <f>"201"</f>
        <v>201</v>
      </c>
      <c r="F572" t="s">
        <v>238</v>
      </c>
      <c r="G572" t="str">
        <f>"006"</f>
        <v>006</v>
      </c>
      <c r="H572" t="str">
        <f>"0140"</f>
        <v>0140</v>
      </c>
      <c r="I572" s="3">
        <v>7703100</v>
      </c>
      <c r="J572" s="3">
        <v>87.77</v>
      </c>
      <c r="K572" s="3">
        <v>8776500</v>
      </c>
      <c r="L572" s="3">
        <v>0</v>
      </c>
      <c r="M572" s="3">
        <v>8776500</v>
      </c>
      <c r="N572" s="3">
        <v>0</v>
      </c>
      <c r="O572" s="3">
        <v>0</v>
      </c>
      <c r="P572" s="3">
        <v>0</v>
      </c>
      <c r="Q572" s="3">
        <v>0</v>
      </c>
      <c r="R572" s="3">
        <v>6800</v>
      </c>
      <c r="S572" s="3">
        <v>0</v>
      </c>
      <c r="T572" s="3">
        <v>0</v>
      </c>
      <c r="U572" s="3">
        <v>0</v>
      </c>
      <c r="V572" s="3">
        <v>2008</v>
      </c>
      <c r="W572" s="3">
        <v>629800</v>
      </c>
      <c r="X572" s="3">
        <v>8783300</v>
      </c>
      <c r="Y572" s="3">
        <v>8153500</v>
      </c>
      <c r="Z572" s="3">
        <v>8067100</v>
      </c>
      <c r="AA572" s="3">
        <v>716200</v>
      </c>
      <c r="AB572" s="3">
        <v>9</v>
      </c>
    </row>
    <row r="573" spans="1:28" x14ac:dyDescent="0.35">
      <c r="A573">
        <v>2022</v>
      </c>
      <c r="B573" t="str">
        <f t="shared" si="72"/>
        <v>34</v>
      </c>
      <c r="C573" t="s">
        <v>236</v>
      </c>
      <c r="D573" t="s">
        <v>35</v>
      </c>
      <c r="E573" t="str">
        <f>"201"</f>
        <v>201</v>
      </c>
      <c r="F573" t="s">
        <v>238</v>
      </c>
      <c r="G573" t="str">
        <f>"007"</f>
        <v>007</v>
      </c>
      <c r="H573" t="str">
        <f>"0140"</f>
        <v>0140</v>
      </c>
      <c r="I573" s="3">
        <v>4998300</v>
      </c>
      <c r="J573" s="3">
        <v>87.77</v>
      </c>
      <c r="K573" s="3">
        <v>5694800</v>
      </c>
      <c r="L573" s="3">
        <v>0</v>
      </c>
      <c r="M573" s="3">
        <v>5694800</v>
      </c>
      <c r="N573" s="3">
        <v>8262600</v>
      </c>
      <c r="O573" s="3">
        <v>8262600</v>
      </c>
      <c r="P573" s="3">
        <v>695900</v>
      </c>
      <c r="Q573" s="3">
        <v>695900</v>
      </c>
      <c r="R573" s="3">
        <v>4300</v>
      </c>
      <c r="S573" s="3">
        <v>0</v>
      </c>
      <c r="T573" s="3">
        <v>0</v>
      </c>
      <c r="U573" s="3">
        <v>0</v>
      </c>
      <c r="V573" s="3">
        <v>2010</v>
      </c>
      <c r="W573" s="3">
        <v>14344800</v>
      </c>
      <c r="X573" s="3">
        <v>14657600</v>
      </c>
      <c r="Y573" s="3">
        <v>312800</v>
      </c>
      <c r="Z573" s="3">
        <v>13951700</v>
      </c>
      <c r="AA573" s="3">
        <v>705900</v>
      </c>
      <c r="AB573" s="3">
        <v>5</v>
      </c>
    </row>
    <row r="574" spans="1:28" x14ac:dyDescent="0.35">
      <c r="A574">
        <v>2022</v>
      </c>
      <c r="B574" t="str">
        <f t="shared" ref="B574:B591" si="73">"35"</f>
        <v>35</v>
      </c>
      <c r="C574" t="s">
        <v>239</v>
      </c>
      <c r="D574" t="s">
        <v>35</v>
      </c>
      <c r="E574" t="str">
        <f t="shared" ref="E574:E585" si="74">"251"</f>
        <v>251</v>
      </c>
      <c r="F574" t="s">
        <v>240</v>
      </c>
      <c r="G574" t="str">
        <f>"003"</f>
        <v>003</v>
      </c>
      <c r="H574" t="str">
        <f t="shared" ref="H574:H585" si="75">"3500"</f>
        <v>3500</v>
      </c>
      <c r="I574" s="3">
        <v>43477000</v>
      </c>
      <c r="J574" s="3">
        <v>75.7</v>
      </c>
      <c r="K574" s="3">
        <v>57433300</v>
      </c>
      <c r="L574" s="3">
        <v>0</v>
      </c>
      <c r="M574" s="3">
        <v>57433300</v>
      </c>
      <c r="N574" s="3">
        <v>0</v>
      </c>
      <c r="O574" s="3">
        <v>0</v>
      </c>
      <c r="P574" s="3">
        <v>104000</v>
      </c>
      <c r="Q574" s="3">
        <v>104000</v>
      </c>
      <c r="R574" s="3">
        <v>-36200</v>
      </c>
      <c r="S574" s="3">
        <v>0</v>
      </c>
      <c r="T574" s="3">
        <v>0</v>
      </c>
      <c r="U574" s="3">
        <v>263000</v>
      </c>
      <c r="V574" s="3">
        <v>2005</v>
      </c>
      <c r="W574" s="3">
        <v>15367900</v>
      </c>
      <c r="X574" s="3">
        <v>57764100</v>
      </c>
      <c r="Y574" s="3">
        <v>42396200</v>
      </c>
      <c r="Z574" s="3">
        <v>51576600</v>
      </c>
      <c r="AA574" s="3">
        <v>6187500</v>
      </c>
      <c r="AB574" s="3">
        <v>12</v>
      </c>
    </row>
    <row r="575" spans="1:28" x14ac:dyDescent="0.35">
      <c r="A575">
        <v>2022</v>
      </c>
      <c r="B575" t="str">
        <f t="shared" si="73"/>
        <v>35</v>
      </c>
      <c r="C575" t="s">
        <v>239</v>
      </c>
      <c r="D575" t="s">
        <v>35</v>
      </c>
      <c r="E575" t="str">
        <f t="shared" si="74"/>
        <v>251</v>
      </c>
      <c r="F575" t="s">
        <v>240</v>
      </c>
      <c r="G575" t="str">
        <f>"004"</f>
        <v>004</v>
      </c>
      <c r="H575" t="str">
        <f t="shared" si="75"/>
        <v>3500</v>
      </c>
      <c r="I575" s="3">
        <v>12162100</v>
      </c>
      <c r="J575" s="3">
        <v>75.7</v>
      </c>
      <c r="K575" s="3">
        <v>16066200</v>
      </c>
      <c r="L575" s="3">
        <v>0</v>
      </c>
      <c r="M575" s="3">
        <v>16066200</v>
      </c>
      <c r="N575" s="3">
        <v>0</v>
      </c>
      <c r="O575" s="3">
        <v>0</v>
      </c>
      <c r="P575" s="3">
        <v>0</v>
      </c>
      <c r="Q575" s="3">
        <v>0</v>
      </c>
      <c r="R575" s="3">
        <v>-11100</v>
      </c>
      <c r="S575" s="3">
        <v>0</v>
      </c>
      <c r="T575" s="3">
        <v>0</v>
      </c>
      <c r="U575" s="3">
        <v>0</v>
      </c>
      <c r="V575" s="3">
        <v>2007</v>
      </c>
      <c r="W575" s="3">
        <v>8884500</v>
      </c>
      <c r="X575" s="3">
        <v>16055100</v>
      </c>
      <c r="Y575" s="3">
        <v>7170600</v>
      </c>
      <c r="Z575" s="3">
        <v>15721400</v>
      </c>
      <c r="AA575" s="3">
        <v>333700</v>
      </c>
      <c r="AB575" s="3">
        <v>2</v>
      </c>
    </row>
    <row r="576" spans="1:28" x14ac:dyDescent="0.35">
      <c r="A576">
        <v>2022</v>
      </c>
      <c r="B576" t="str">
        <f t="shared" si="73"/>
        <v>35</v>
      </c>
      <c r="C576" t="s">
        <v>239</v>
      </c>
      <c r="D576" t="s">
        <v>35</v>
      </c>
      <c r="E576" t="str">
        <f t="shared" si="74"/>
        <v>251</v>
      </c>
      <c r="F576" t="s">
        <v>240</v>
      </c>
      <c r="G576" t="str">
        <f>"005"</f>
        <v>005</v>
      </c>
      <c r="H576" t="str">
        <f t="shared" si="75"/>
        <v>3500</v>
      </c>
      <c r="I576" s="3">
        <v>17100</v>
      </c>
      <c r="J576" s="3">
        <v>75.7</v>
      </c>
      <c r="K576" s="3">
        <v>22600</v>
      </c>
      <c r="L576" s="3">
        <v>0</v>
      </c>
      <c r="M576" s="3">
        <v>22600</v>
      </c>
      <c r="N576" s="3">
        <v>372600</v>
      </c>
      <c r="O576" s="3">
        <v>372600</v>
      </c>
      <c r="P576" s="3">
        <v>37600</v>
      </c>
      <c r="Q576" s="3">
        <v>37600</v>
      </c>
      <c r="R576" s="3">
        <v>0</v>
      </c>
      <c r="S576" s="3">
        <v>0</v>
      </c>
      <c r="T576" s="3">
        <v>0</v>
      </c>
      <c r="U576" s="3">
        <v>245500</v>
      </c>
      <c r="V576" s="3">
        <v>2007</v>
      </c>
      <c r="W576" s="3">
        <v>74000</v>
      </c>
      <c r="X576" s="3">
        <v>678300</v>
      </c>
      <c r="Y576" s="3">
        <v>604300</v>
      </c>
      <c r="Z576" s="3">
        <v>663500</v>
      </c>
      <c r="AA576" s="3">
        <v>14800</v>
      </c>
      <c r="AB576" s="3">
        <v>2</v>
      </c>
    </row>
    <row r="577" spans="1:28" x14ac:dyDescent="0.35">
      <c r="A577">
        <v>2022</v>
      </c>
      <c r="B577" t="str">
        <f t="shared" si="73"/>
        <v>35</v>
      </c>
      <c r="C577" t="s">
        <v>239</v>
      </c>
      <c r="D577" t="s">
        <v>35</v>
      </c>
      <c r="E577" t="str">
        <f t="shared" si="74"/>
        <v>251</v>
      </c>
      <c r="F577" t="s">
        <v>240</v>
      </c>
      <c r="G577" t="str">
        <f>"006"</f>
        <v>006</v>
      </c>
      <c r="H577" t="str">
        <f t="shared" si="75"/>
        <v>3500</v>
      </c>
      <c r="I577" s="3">
        <v>12744500</v>
      </c>
      <c r="J577" s="3">
        <v>75.7</v>
      </c>
      <c r="K577" s="3">
        <v>16835500</v>
      </c>
      <c r="L577" s="3">
        <v>0</v>
      </c>
      <c r="M577" s="3">
        <v>16835500</v>
      </c>
      <c r="N577" s="3">
        <v>0</v>
      </c>
      <c r="O577" s="3">
        <v>0</v>
      </c>
      <c r="P577" s="3">
        <v>0</v>
      </c>
      <c r="Q577" s="3">
        <v>0</v>
      </c>
      <c r="R577" s="3">
        <v>-10200</v>
      </c>
      <c r="S577" s="3">
        <v>0</v>
      </c>
      <c r="T577" s="3">
        <v>0</v>
      </c>
      <c r="U577" s="3">
        <v>0</v>
      </c>
      <c r="V577" s="3">
        <v>2009</v>
      </c>
      <c r="W577" s="3">
        <v>11982400</v>
      </c>
      <c r="X577" s="3">
        <v>16825300</v>
      </c>
      <c r="Y577" s="3">
        <v>4842900</v>
      </c>
      <c r="Z577" s="3">
        <v>14595200</v>
      </c>
      <c r="AA577" s="3">
        <v>2230100</v>
      </c>
      <c r="AB577" s="3">
        <v>15</v>
      </c>
    </row>
    <row r="578" spans="1:28" x14ac:dyDescent="0.35">
      <c r="A578">
        <v>2022</v>
      </c>
      <c r="B578" t="str">
        <f t="shared" si="73"/>
        <v>35</v>
      </c>
      <c r="C578" t="s">
        <v>239</v>
      </c>
      <c r="D578" t="s">
        <v>35</v>
      </c>
      <c r="E578" t="str">
        <f t="shared" si="74"/>
        <v>251</v>
      </c>
      <c r="F578" t="s">
        <v>240</v>
      </c>
      <c r="G578" t="str">
        <f>"007"</f>
        <v>007</v>
      </c>
      <c r="H578" t="str">
        <f t="shared" si="75"/>
        <v>3500</v>
      </c>
      <c r="I578" s="3">
        <v>7545100</v>
      </c>
      <c r="J578" s="3">
        <v>75.7</v>
      </c>
      <c r="K578" s="3">
        <v>9967100</v>
      </c>
      <c r="L578" s="3">
        <v>0</v>
      </c>
      <c r="M578" s="3">
        <v>9967100</v>
      </c>
      <c r="N578" s="3">
        <v>4282400</v>
      </c>
      <c r="O578" s="3">
        <v>4282400</v>
      </c>
      <c r="P578" s="3">
        <v>71200</v>
      </c>
      <c r="Q578" s="3">
        <v>71200</v>
      </c>
      <c r="R578" s="3">
        <v>-5800</v>
      </c>
      <c r="S578" s="3">
        <v>0</v>
      </c>
      <c r="T578" s="3">
        <v>0</v>
      </c>
      <c r="U578" s="3">
        <v>0</v>
      </c>
      <c r="V578" s="3">
        <v>2009</v>
      </c>
      <c r="W578" s="3">
        <v>7787000</v>
      </c>
      <c r="X578" s="3">
        <v>14314900</v>
      </c>
      <c r="Y578" s="3">
        <v>6527900</v>
      </c>
      <c r="Z578" s="3">
        <v>12457200</v>
      </c>
      <c r="AA578" s="3">
        <v>1857700</v>
      </c>
      <c r="AB578" s="3">
        <v>15</v>
      </c>
    </row>
    <row r="579" spans="1:28" x14ac:dyDescent="0.35">
      <c r="A579">
        <v>2022</v>
      </c>
      <c r="B579" t="str">
        <f t="shared" si="73"/>
        <v>35</v>
      </c>
      <c r="C579" t="s">
        <v>239</v>
      </c>
      <c r="D579" t="s">
        <v>35</v>
      </c>
      <c r="E579" t="str">
        <f t="shared" si="74"/>
        <v>251</v>
      </c>
      <c r="F579" t="s">
        <v>240</v>
      </c>
      <c r="G579" t="str">
        <f>"008"</f>
        <v>008</v>
      </c>
      <c r="H579" t="str">
        <f t="shared" si="75"/>
        <v>3500</v>
      </c>
      <c r="I579" s="3">
        <v>9837200</v>
      </c>
      <c r="J579" s="3">
        <v>75.7</v>
      </c>
      <c r="K579" s="3">
        <v>12995000</v>
      </c>
      <c r="L579" s="3">
        <v>0</v>
      </c>
      <c r="M579" s="3">
        <v>12995000</v>
      </c>
      <c r="N579" s="3">
        <v>8868000</v>
      </c>
      <c r="O579" s="3">
        <v>8868000</v>
      </c>
      <c r="P579" s="3">
        <v>954600</v>
      </c>
      <c r="Q579" s="3">
        <v>954600</v>
      </c>
      <c r="R579" s="3">
        <v>-8500</v>
      </c>
      <c r="S579" s="3">
        <v>0</v>
      </c>
      <c r="T579" s="3">
        <v>0</v>
      </c>
      <c r="U579" s="3">
        <v>0</v>
      </c>
      <c r="V579" s="3">
        <v>2011</v>
      </c>
      <c r="W579" s="3">
        <v>17316700</v>
      </c>
      <c r="X579" s="3">
        <v>22809100</v>
      </c>
      <c r="Y579" s="3">
        <v>5492400</v>
      </c>
      <c r="Z579" s="3">
        <v>20002700</v>
      </c>
      <c r="AA579" s="3">
        <v>2806400</v>
      </c>
      <c r="AB579" s="3">
        <v>14</v>
      </c>
    </row>
    <row r="580" spans="1:28" x14ac:dyDescent="0.35">
      <c r="A580">
        <v>2022</v>
      </c>
      <c r="B580" t="str">
        <f t="shared" si="73"/>
        <v>35</v>
      </c>
      <c r="C580" t="s">
        <v>239</v>
      </c>
      <c r="D580" t="s">
        <v>35</v>
      </c>
      <c r="E580" t="str">
        <f t="shared" si="74"/>
        <v>251</v>
      </c>
      <c r="F580" t="s">
        <v>240</v>
      </c>
      <c r="G580" t="str">
        <f>"009"</f>
        <v>009</v>
      </c>
      <c r="H580" t="str">
        <f t="shared" si="75"/>
        <v>3500</v>
      </c>
      <c r="I580" s="3">
        <v>3580600</v>
      </c>
      <c r="J580" s="3">
        <v>75.7</v>
      </c>
      <c r="K580" s="3">
        <v>4730000</v>
      </c>
      <c r="L580" s="3">
        <v>0</v>
      </c>
      <c r="M580" s="3">
        <v>4730000</v>
      </c>
      <c r="N580" s="3">
        <v>500500</v>
      </c>
      <c r="O580" s="3">
        <v>500500</v>
      </c>
      <c r="P580" s="3">
        <v>120000</v>
      </c>
      <c r="Q580" s="3">
        <v>120000</v>
      </c>
      <c r="R580" s="3">
        <v>-2900</v>
      </c>
      <c r="S580" s="3">
        <v>0</v>
      </c>
      <c r="T580" s="3">
        <v>0</v>
      </c>
      <c r="U580" s="3">
        <v>0</v>
      </c>
      <c r="V580" s="3">
        <v>2013</v>
      </c>
      <c r="W580" s="3">
        <v>5936000</v>
      </c>
      <c r="X580" s="3">
        <v>5347600</v>
      </c>
      <c r="Y580" s="3">
        <v>-588400</v>
      </c>
      <c r="Z580" s="3">
        <v>4803200</v>
      </c>
      <c r="AA580" s="3">
        <v>544400</v>
      </c>
      <c r="AB580" s="3">
        <v>11</v>
      </c>
    </row>
    <row r="581" spans="1:28" x14ac:dyDescent="0.35">
      <c r="A581">
        <v>2022</v>
      </c>
      <c r="B581" t="str">
        <f t="shared" si="73"/>
        <v>35</v>
      </c>
      <c r="C581" t="s">
        <v>239</v>
      </c>
      <c r="D581" t="s">
        <v>35</v>
      </c>
      <c r="E581" t="str">
        <f t="shared" si="74"/>
        <v>251</v>
      </c>
      <c r="F581" t="s">
        <v>240</v>
      </c>
      <c r="G581" t="str">
        <f>"010"</f>
        <v>010</v>
      </c>
      <c r="H581" t="str">
        <f t="shared" si="75"/>
        <v>3500</v>
      </c>
      <c r="I581" s="3">
        <v>2113700</v>
      </c>
      <c r="J581" s="3">
        <v>75.7</v>
      </c>
      <c r="K581" s="3">
        <v>2792200</v>
      </c>
      <c r="L581" s="3">
        <v>0</v>
      </c>
      <c r="M581" s="3">
        <v>2792200</v>
      </c>
      <c r="N581" s="3">
        <v>0</v>
      </c>
      <c r="O581" s="3">
        <v>0</v>
      </c>
      <c r="P581" s="3">
        <v>0</v>
      </c>
      <c r="Q581" s="3">
        <v>0</v>
      </c>
      <c r="R581" s="3">
        <v>0</v>
      </c>
      <c r="S581" s="3">
        <v>0</v>
      </c>
      <c r="T581" s="3">
        <v>0</v>
      </c>
      <c r="U581" s="3">
        <v>0</v>
      </c>
      <c r="V581" s="3">
        <v>2015</v>
      </c>
      <c r="W581" s="3">
        <v>296800</v>
      </c>
      <c r="X581" s="3">
        <v>2792200</v>
      </c>
      <c r="Y581" s="3">
        <v>2495400</v>
      </c>
      <c r="Z581" s="3">
        <v>0</v>
      </c>
      <c r="AA581" s="3">
        <v>2792200</v>
      </c>
      <c r="AB581" s="3">
        <v>100</v>
      </c>
    </row>
    <row r="582" spans="1:28" x14ac:dyDescent="0.35">
      <c r="A582">
        <v>2022</v>
      </c>
      <c r="B582" t="str">
        <f t="shared" si="73"/>
        <v>35</v>
      </c>
      <c r="C582" t="s">
        <v>239</v>
      </c>
      <c r="D582" t="s">
        <v>35</v>
      </c>
      <c r="E582" t="str">
        <f t="shared" si="74"/>
        <v>251</v>
      </c>
      <c r="F582" t="s">
        <v>240</v>
      </c>
      <c r="G582" t="str">
        <f>"011"</f>
        <v>011</v>
      </c>
      <c r="H582" t="str">
        <f t="shared" si="75"/>
        <v>3500</v>
      </c>
      <c r="I582" s="3">
        <v>10505800</v>
      </c>
      <c r="J582" s="3">
        <v>75.7</v>
      </c>
      <c r="K582" s="3">
        <v>13878200</v>
      </c>
      <c r="L582" s="3">
        <v>0</v>
      </c>
      <c r="M582" s="3">
        <v>13878200</v>
      </c>
      <c r="N582" s="3">
        <v>10275100</v>
      </c>
      <c r="O582" s="3">
        <v>10275100</v>
      </c>
      <c r="P582" s="3">
        <v>928500</v>
      </c>
      <c r="Q582" s="3">
        <v>928500</v>
      </c>
      <c r="R582" s="3">
        <v>-6700</v>
      </c>
      <c r="S582" s="3">
        <v>0</v>
      </c>
      <c r="T582" s="3">
        <v>0</v>
      </c>
      <c r="U582" s="3">
        <v>0</v>
      </c>
      <c r="V582" s="3">
        <v>2016</v>
      </c>
      <c r="W582" s="3">
        <v>14980600</v>
      </c>
      <c r="X582" s="3">
        <v>25075100</v>
      </c>
      <c r="Y582" s="3">
        <v>10094500</v>
      </c>
      <c r="Z582" s="3">
        <v>21238500</v>
      </c>
      <c r="AA582" s="3">
        <v>3836600</v>
      </c>
      <c r="AB582" s="3">
        <v>18</v>
      </c>
    </row>
    <row r="583" spans="1:28" x14ac:dyDescent="0.35">
      <c r="A583">
        <v>2022</v>
      </c>
      <c r="B583" t="str">
        <f t="shared" si="73"/>
        <v>35</v>
      </c>
      <c r="C583" t="s">
        <v>239</v>
      </c>
      <c r="D583" t="s">
        <v>35</v>
      </c>
      <c r="E583" t="str">
        <f t="shared" si="74"/>
        <v>251</v>
      </c>
      <c r="F583" t="s">
        <v>240</v>
      </c>
      <c r="G583" t="str">
        <f>"012"</f>
        <v>012</v>
      </c>
      <c r="H583" t="str">
        <f t="shared" si="75"/>
        <v>3500</v>
      </c>
      <c r="I583" s="3">
        <v>425700</v>
      </c>
      <c r="J583" s="3">
        <v>75.7</v>
      </c>
      <c r="K583" s="3">
        <v>562400</v>
      </c>
      <c r="L583" s="3">
        <v>0</v>
      </c>
      <c r="M583" s="3">
        <v>562400</v>
      </c>
      <c r="N583" s="3">
        <v>1651200</v>
      </c>
      <c r="O583" s="3">
        <v>1651200</v>
      </c>
      <c r="P583" s="3">
        <v>467300</v>
      </c>
      <c r="Q583" s="3">
        <v>467300</v>
      </c>
      <c r="R583" s="3">
        <v>-300</v>
      </c>
      <c r="S583" s="3">
        <v>0</v>
      </c>
      <c r="T583" s="3">
        <v>0</v>
      </c>
      <c r="U583" s="3">
        <v>0</v>
      </c>
      <c r="V583" s="3">
        <v>2017</v>
      </c>
      <c r="W583" s="3">
        <v>1594700</v>
      </c>
      <c r="X583" s="3">
        <v>2680600</v>
      </c>
      <c r="Y583" s="3">
        <v>1085900</v>
      </c>
      <c r="Z583" s="3">
        <v>2433400</v>
      </c>
      <c r="AA583" s="3">
        <v>247200</v>
      </c>
      <c r="AB583" s="3">
        <v>10</v>
      </c>
    </row>
    <row r="584" spans="1:28" x14ac:dyDescent="0.35">
      <c r="A584">
        <v>2022</v>
      </c>
      <c r="B584" t="str">
        <f t="shared" si="73"/>
        <v>35</v>
      </c>
      <c r="C584" t="s">
        <v>239</v>
      </c>
      <c r="D584" t="s">
        <v>35</v>
      </c>
      <c r="E584" t="str">
        <f t="shared" si="74"/>
        <v>251</v>
      </c>
      <c r="F584" t="s">
        <v>240</v>
      </c>
      <c r="G584" t="str">
        <f>"013"</f>
        <v>013</v>
      </c>
      <c r="H584" t="str">
        <f t="shared" si="75"/>
        <v>3500</v>
      </c>
      <c r="I584" s="3">
        <v>58300</v>
      </c>
      <c r="J584" s="3">
        <v>75.7</v>
      </c>
      <c r="K584" s="3">
        <v>77000</v>
      </c>
      <c r="L584" s="3">
        <v>0</v>
      </c>
      <c r="M584" s="3">
        <v>77000</v>
      </c>
      <c r="N584" s="3">
        <v>0</v>
      </c>
      <c r="O584" s="3">
        <v>0</v>
      </c>
      <c r="P584" s="3">
        <v>0</v>
      </c>
      <c r="Q584" s="3">
        <v>0</v>
      </c>
      <c r="R584" s="3">
        <v>0</v>
      </c>
      <c r="S584" s="3">
        <v>0</v>
      </c>
      <c r="T584" s="3">
        <v>0</v>
      </c>
      <c r="U584" s="3">
        <v>0</v>
      </c>
      <c r="V584" s="3">
        <v>2021</v>
      </c>
      <c r="W584" s="3">
        <v>68100</v>
      </c>
      <c r="X584" s="3">
        <v>77000</v>
      </c>
      <c r="Y584" s="3">
        <v>8900</v>
      </c>
      <c r="Z584" s="3">
        <v>68100</v>
      </c>
      <c r="AA584" s="3">
        <v>8900</v>
      </c>
      <c r="AB584" s="3">
        <v>13</v>
      </c>
    </row>
    <row r="585" spans="1:28" x14ac:dyDescent="0.35">
      <c r="A585">
        <v>2022</v>
      </c>
      <c r="B585" t="str">
        <f t="shared" si="73"/>
        <v>35</v>
      </c>
      <c r="C585" t="s">
        <v>239</v>
      </c>
      <c r="D585" t="s">
        <v>35</v>
      </c>
      <c r="E585" t="str">
        <f t="shared" si="74"/>
        <v>251</v>
      </c>
      <c r="F585" t="s">
        <v>240</v>
      </c>
      <c r="G585" t="str">
        <f>"014"</f>
        <v>014</v>
      </c>
      <c r="H585" t="str">
        <f t="shared" si="75"/>
        <v>3500</v>
      </c>
      <c r="I585" s="3">
        <v>631500</v>
      </c>
      <c r="J585" s="3">
        <v>75.7</v>
      </c>
      <c r="K585" s="3">
        <v>834200</v>
      </c>
      <c r="L585" s="3">
        <v>0</v>
      </c>
      <c r="M585" s="3">
        <v>834200</v>
      </c>
      <c r="N585" s="3">
        <v>0</v>
      </c>
      <c r="O585" s="3">
        <v>0</v>
      </c>
      <c r="P585" s="3">
        <v>0</v>
      </c>
      <c r="Q585" s="3">
        <v>0</v>
      </c>
      <c r="R585" s="3">
        <v>0</v>
      </c>
      <c r="S585" s="3">
        <v>0</v>
      </c>
      <c r="T585" s="3">
        <v>0</v>
      </c>
      <c r="U585" s="3">
        <v>0</v>
      </c>
      <c r="V585" s="3">
        <v>2021</v>
      </c>
      <c r="W585" s="3">
        <v>263000</v>
      </c>
      <c r="X585" s="3">
        <v>834200</v>
      </c>
      <c r="Y585" s="3">
        <v>571200</v>
      </c>
      <c r="Z585" s="3">
        <v>263000</v>
      </c>
      <c r="AA585" s="3">
        <v>571200</v>
      </c>
      <c r="AB585" s="3">
        <v>217</v>
      </c>
    </row>
    <row r="586" spans="1:28" x14ac:dyDescent="0.35">
      <c r="A586">
        <v>2022</v>
      </c>
      <c r="B586" t="str">
        <f t="shared" si="73"/>
        <v>35</v>
      </c>
      <c r="C586" t="s">
        <v>239</v>
      </c>
      <c r="D586" t="s">
        <v>35</v>
      </c>
      <c r="E586" t="str">
        <f t="shared" ref="E586:E591" si="76">"286"</f>
        <v>286</v>
      </c>
      <c r="F586" t="s">
        <v>241</v>
      </c>
      <c r="G586" t="str">
        <f>"001"</f>
        <v>001</v>
      </c>
      <c r="H586" t="str">
        <f t="shared" ref="H586:H591" si="77">"5754"</f>
        <v>5754</v>
      </c>
      <c r="I586" s="3">
        <v>3979000</v>
      </c>
      <c r="J586" s="3">
        <v>80.349999999999994</v>
      </c>
      <c r="K586" s="3">
        <v>4952100</v>
      </c>
      <c r="L586" s="3">
        <v>0</v>
      </c>
      <c r="M586" s="3">
        <v>4952100</v>
      </c>
      <c r="N586" s="3">
        <v>325200</v>
      </c>
      <c r="O586" s="3">
        <v>325200</v>
      </c>
      <c r="P586" s="3">
        <v>1979300</v>
      </c>
      <c r="Q586" s="3">
        <v>1979300</v>
      </c>
      <c r="R586" s="3">
        <v>-37100</v>
      </c>
      <c r="S586" s="3">
        <v>0</v>
      </c>
      <c r="T586" s="3">
        <v>0</v>
      </c>
      <c r="U586" s="3">
        <v>510800</v>
      </c>
      <c r="V586" s="3">
        <v>1995</v>
      </c>
      <c r="W586" s="3">
        <v>772400</v>
      </c>
      <c r="X586" s="3">
        <v>7730300</v>
      </c>
      <c r="Y586" s="3">
        <v>6957900</v>
      </c>
      <c r="Z586" s="3">
        <v>6264800</v>
      </c>
      <c r="AA586" s="3">
        <v>1465500</v>
      </c>
      <c r="AB586" s="3">
        <v>23</v>
      </c>
    </row>
    <row r="587" spans="1:28" x14ac:dyDescent="0.35">
      <c r="A587">
        <v>2022</v>
      </c>
      <c r="B587" t="str">
        <f t="shared" si="73"/>
        <v>35</v>
      </c>
      <c r="C587" t="s">
        <v>239</v>
      </c>
      <c r="D587" t="s">
        <v>35</v>
      </c>
      <c r="E587" t="str">
        <f t="shared" si="76"/>
        <v>286</v>
      </c>
      <c r="F587" t="s">
        <v>241</v>
      </c>
      <c r="G587" t="str">
        <f>"001E"</f>
        <v>001E</v>
      </c>
      <c r="H587" t="str">
        <f t="shared" si="77"/>
        <v>5754</v>
      </c>
      <c r="I587" s="3">
        <v>1887000</v>
      </c>
      <c r="J587" s="3">
        <v>80.349999999999994</v>
      </c>
      <c r="K587" s="3">
        <v>2348500</v>
      </c>
      <c r="L587" s="3">
        <v>0</v>
      </c>
      <c r="M587" s="3">
        <v>2348500</v>
      </c>
      <c r="N587" s="3">
        <v>0</v>
      </c>
      <c r="O587" s="3">
        <v>0</v>
      </c>
      <c r="P587" s="3">
        <v>0</v>
      </c>
      <c r="Q587" s="3">
        <v>0</v>
      </c>
      <c r="R587" s="3">
        <v>-17200</v>
      </c>
      <c r="S587" s="3">
        <v>0</v>
      </c>
      <c r="T587" s="3">
        <v>0</v>
      </c>
      <c r="U587" s="3">
        <v>0</v>
      </c>
      <c r="V587" s="3">
        <v>2005</v>
      </c>
      <c r="W587" s="3">
        <v>154400</v>
      </c>
      <c r="X587" s="3">
        <v>2331300</v>
      </c>
      <c r="Y587" s="3">
        <v>2176900</v>
      </c>
      <c r="Z587" s="3">
        <v>2090700</v>
      </c>
      <c r="AA587" s="3">
        <v>240600</v>
      </c>
      <c r="AB587" s="3">
        <v>12</v>
      </c>
    </row>
    <row r="588" spans="1:28" x14ac:dyDescent="0.35">
      <c r="A588">
        <v>2022</v>
      </c>
      <c r="B588" t="str">
        <f t="shared" si="73"/>
        <v>35</v>
      </c>
      <c r="C588" t="s">
        <v>239</v>
      </c>
      <c r="D588" t="s">
        <v>35</v>
      </c>
      <c r="E588" t="str">
        <f t="shared" si="76"/>
        <v>286</v>
      </c>
      <c r="F588" t="s">
        <v>241</v>
      </c>
      <c r="G588" t="str">
        <f>"002"</f>
        <v>002</v>
      </c>
      <c r="H588" t="str">
        <f t="shared" si="77"/>
        <v>5754</v>
      </c>
      <c r="I588" s="3">
        <v>3908700</v>
      </c>
      <c r="J588" s="3">
        <v>80.349999999999994</v>
      </c>
      <c r="K588" s="3">
        <v>4864600</v>
      </c>
      <c r="L588" s="3">
        <v>0</v>
      </c>
      <c r="M588" s="3">
        <v>4864600</v>
      </c>
      <c r="N588" s="3">
        <v>11524700</v>
      </c>
      <c r="O588" s="3">
        <v>11524700</v>
      </c>
      <c r="P588" s="3">
        <v>4832700</v>
      </c>
      <c r="Q588" s="3">
        <v>4832700</v>
      </c>
      <c r="R588" s="3">
        <v>-36500</v>
      </c>
      <c r="S588" s="3">
        <v>0</v>
      </c>
      <c r="T588" s="3">
        <v>0</v>
      </c>
      <c r="U588" s="3">
        <v>0</v>
      </c>
      <c r="V588" s="3">
        <v>1997</v>
      </c>
      <c r="W588" s="3">
        <v>8285900</v>
      </c>
      <c r="X588" s="3">
        <v>21185500</v>
      </c>
      <c r="Y588" s="3">
        <v>12899600</v>
      </c>
      <c r="Z588" s="3">
        <v>19579900</v>
      </c>
      <c r="AA588" s="3">
        <v>1605600</v>
      </c>
      <c r="AB588" s="3">
        <v>8</v>
      </c>
    </row>
    <row r="589" spans="1:28" x14ac:dyDescent="0.35">
      <c r="A589">
        <v>2022</v>
      </c>
      <c r="B589" t="str">
        <f t="shared" si="73"/>
        <v>35</v>
      </c>
      <c r="C589" t="s">
        <v>239</v>
      </c>
      <c r="D589" t="s">
        <v>35</v>
      </c>
      <c r="E589" t="str">
        <f t="shared" si="76"/>
        <v>286</v>
      </c>
      <c r="F589" t="s">
        <v>241</v>
      </c>
      <c r="G589" t="str">
        <f>"003"</f>
        <v>003</v>
      </c>
      <c r="H589" t="str">
        <f t="shared" si="77"/>
        <v>5754</v>
      </c>
      <c r="I589" s="3">
        <v>2253100</v>
      </c>
      <c r="J589" s="3">
        <v>80.349999999999994</v>
      </c>
      <c r="K589" s="3">
        <v>2804100</v>
      </c>
      <c r="L589" s="3">
        <v>0</v>
      </c>
      <c r="M589" s="3">
        <v>2804100</v>
      </c>
      <c r="N589" s="3">
        <v>0</v>
      </c>
      <c r="O589" s="3">
        <v>0</v>
      </c>
      <c r="P589" s="3">
        <v>0</v>
      </c>
      <c r="Q589" s="3">
        <v>0</v>
      </c>
      <c r="R589" s="3">
        <v>-20900</v>
      </c>
      <c r="S589" s="3">
        <v>0</v>
      </c>
      <c r="T589" s="3">
        <v>0</v>
      </c>
      <c r="U589" s="3">
        <v>0</v>
      </c>
      <c r="V589" s="3">
        <v>2008</v>
      </c>
      <c r="W589" s="3">
        <v>178200</v>
      </c>
      <c r="X589" s="3">
        <v>2783200</v>
      </c>
      <c r="Y589" s="3">
        <v>2605000</v>
      </c>
      <c r="Z589" s="3">
        <v>2542800</v>
      </c>
      <c r="AA589" s="3">
        <v>240400</v>
      </c>
      <c r="AB589" s="3">
        <v>9</v>
      </c>
    </row>
    <row r="590" spans="1:28" x14ac:dyDescent="0.35">
      <c r="A590">
        <v>2022</v>
      </c>
      <c r="B590" t="str">
        <f t="shared" si="73"/>
        <v>35</v>
      </c>
      <c r="C590" t="s">
        <v>239</v>
      </c>
      <c r="D590" t="s">
        <v>35</v>
      </c>
      <c r="E590" t="str">
        <f t="shared" si="76"/>
        <v>286</v>
      </c>
      <c r="F590" t="s">
        <v>241</v>
      </c>
      <c r="G590" t="str">
        <f>"004"</f>
        <v>004</v>
      </c>
      <c r="H590" t="str">
        <f t="shared" si="77"/>
        <v>5754</v>
      </c>
      <c r="I590" s="3">
        <v>4855200</v>
      </c>
      <c r="J590" s="3">
        <v>80.349999999999994</v>
      </c>
      <c r="K590" s="3">
        <v>6042600</v>
      </c>
      <c r="L590" s="3">
        <v>0</v>
      </c>
      <c r="M590" s="3">
        <v>6042600</v>
      </c>
      <c r="N590" s="3">
        <v>0</v>
      </c>
      <c r="O590" s="3">
        <v>0</v>
      </c>
      <c r="P590" s="3">
        <v>0</v>
      </c>
      <c r="Q590" s="3">
        <v>0</v>
      </c>
      <c r="R590" s="3">
        <v>-45800</v>
      </c>
      <c r="S590" s="3">
        <v>0</v>
      </c>
      <c r="T590" s="3">
        <v>0</v>
      </c>
      <c r="U590" s="3">
        <v>0</v>
      </c>
      <c r="V590" s="3">
        <v>2013</v>
      </c>
      <c r="W590" s="3">
        <v>2052200</v>
      </c>
      <c r="X590" s="3">
        <v>5996800</v>
      </c>
      <c r="Y590" s="3">
        <v>3944600</v>
      </c>
      <c r="Z590" s="3">
        <v>5564000</v>
      </c>
      <c r="AA590" s="3">
        <v>432800</v>
      </c>
      <c r="AB590" s="3">
        <v>8</v>
      </c>
    </row>
    <row r="591" spans="1:28" x14ac:dyDescent="0.35">
      <c r="A591">
        <v>2022</v>
      </c>
      <c r="B591" t="str">
        <f t="shared" si="73"/>
        <v>35</v>
      </c>
      <c r="C591" t="s">
        <v>239</v>
      </c>
      <c r="D591" t="s">
        <v>35</v>
      </c>
      <c r="E591" t="str">
        <f t="shared" si="76"/>
        <v>286</v>
      </c>
      <c r="F591" t="s">
        <v>241</v>
      </c>
      <c r="G591" t="str">
        <f>"005"</f>
        <v>005</v>
      </c>
      <c r="H591" t="str">
        <f t="shared" si="77"/>
        <v>5754</v>
      </c>
      <c r="I591" s="3">
        <v>127000</v>
      </c>
      <c r="J591" s="3">
        <v>80.349999999999994</v>
      </c>
      <c r="K591" s="3">
        <v>158100</v>
      </c>
      <c r="L591" s="3">
        <v>0</v>
      </c>
      <c r="M591" s="3">
        <v>158100</v>
      </c>
      <c r="N591" s="3">
        <v>503900</v>
      </c>
      <c r="O591" s="3">
        <v>503900</v>
      </c>
      <c r="P591" s="3">
        <v>0</v>
      </c>
      <c r="Q591" s="3">
        <v>0</v>
      </c>
      <c r="R591" s="3">
        <v>-1200</v>
      </c>
      <c r="S591" s="3">
        <v>0</v>
      </c>
      <c r="T591" s="3">
        <v>0</v>
      </c>
      <c r="U591" s="3">
        <v>0</v>
      </c>
      <c r="V591" s="3">
        <v>2015</v>
      </c>
      <c r="W591" s="3">
        <v>610200</v>
      </c>
      <c r="X591" s="3">
        <v>660800</v>
      </c>
      <c r="Y591" s="3">
        <v>50600</v>
      </c>
      <c r="Z591" s="3">
        <v>632700</v>
      </c>
      <c r="AA591" s="3">
        <v>28100</v>
      </c>
      <c r="AB591" s="3">
        <v>4</v>
      </c>
    </row>
    <row r="592" spans="1:28" x14ac:dyDescent="0.35">
      <c r="A592">
        <v>2022</v>
      </c>
      <c r="B592" t="str">
        <f t="shared" ref="B592:B617" si="78">"36"</f>
        <v>36</v>
      </c>
      <c r="C592" t="s">
        <v>242</v>
      </c>
      <c r="D592" t="s">
        <v>33</v>
      </c>
      <c r="E592" t="str">
        <f>"126"</f>
        <v>126</v>
      </c>
      <c r="F592" t="s">
        <v>243</v>
      </c>
      <c r="G592" t="str">
        <f>"002"</f>
        <v>002</v>
      </c>
      <c r="H592" t="str">
        <f>"3661"</f>
        <v>3661</v>
      </c>
      <c r="I592" s="3">
        <v>1785400</v>
      </c>
      <c r="J592" s="3">
        <v>82.86</v>
      </c>
      <c r="K592" s="3">
        <v>2154700</v>
      </c>
      <c r="L592" s="3">
        <v>0</v>
      </c>
      <c r="M592" s="3">
        <v>2154700</v>
      </c>
      <c r="N592" s="3">
        <v>0</v>
      </c>
      <c r="O592" s="3">
        <v>0</v>
      </c>
      <c r="P592" s="3">
        <v>0</v>
      </c>
      <c r="Q592" s="3">
        <v>0</v>
      </c>
      <c r="R592" s="3">
        <v>-400</v>
      </c>
      <c r="S592" s="3">
        <v>0</v>
      </c>
      <c r="T592" s="3">
        <v>0</v>
      </c>
      <c r="U592" s="3">
        <v>0</v>
      </c>
      <c r="V592" s="3">
        <v>2004</v>
      </c>
      <c r="W592" s="3">
        <v>219600</v>
      </c>
      <c r="X592" s="3">
        <v>2154300</v>
      </c>
      <c r="Y592" s="3">
        <v>1934700</v>
      </c>
      <c r="Z592" s="3">
        <v>2017400</v>
      </c>
      <c r="AA592" s="3">
        <v>136900</v>
      </c>
      <c r="AB592" s="3">
        <v>7</v>
      </c>
    </row>
    <row r="593" spans="1:28" x14ac:dyDescent="0.35">
      <c r="A593">
        <v>2022</v>
      </c>
      <c r="B593" t="str">
        <f t="shared" si="78"/>
        <v>36</v>
      </c>
      <c r="C593" t="s">
        <v>242</v>
      </c>
      <c r="D593" t="s">
        <v>33</v>
      </c>
      <c r="E593" t="str">
        <f>"132"</f>
        <v>132</v>
      </c>
      <c r="F593" t="s">
        <v>244</v>
      </c>
      <c r="G593" t="str">
        <f>"001"</f>
        <v>001</v>
      </c>
      <c r="H593" t="str">
        <f>"4760"</f>
        <v>4760</v>
      </c>
      <c r="I593" s="3">
        <v>1367400</v>
      </c>
      <c r="J593" s="3">
        <v>87.77</v>
      </c>
      <c r="K593" s="3">
        <v>1557900</v>
      </c>
      <c r="L593" s="3">
        <v>0</v>
      </c>
      <c r="M593" s="3">
        <v>1557900</v>
      </c>
      <c r="N593" s="3">
        <v>0</v>
      </c>
      <c r="O593" s="3">
        <v>0</v>
      </c>
      <c r="P593" s="3">
        <v>0</v>
      </c>
      <c r="Q593" s="3">
        <v>0</v>
      </c>
      <c r="R593" s="3">
        <v>-49900</v>
      </c>
      <c r="S593" s="3">
        <v>0</v>
      </c>
      <c r="T593" s="3">
        <v>0</v>
      </c>
      <c r="U593" s="3">
        <v>0</v>
      </c>
      <c r="V593" s="3">
        <v>2003</v>
      </c>
      <c r="W593" s="3">
        <v>783600</v>
      </c>
      <c r="X593" s="3">
        <v>1508000</v>
      </c>
      <c r="Y593" s="3">
        <v>724400</v>
      </c>
      <c r="Z593" s="3">
        <v>1329700</v>
      </c>
      <c r="AA593" s="3">
        <v>178300</v>
      </c>
      <c r="AB593" s="3">
        <v>13</v>
      </c>
    </row>
    <row r="594" spans="1:28" x14ac:dyDescent="0.35">
      <c r="A594">
        <v>2022</v>
      </c>
      <c r="B594" t="str">
        <f t="shared" si="78"/>
        <v>36</v>
      </c>
      <c r="C594" t="s">
        <v>242</v>
      </c>
      <c r="D594" t="s">
        <v>33</v>
      </c>
      <c r="E594" t="str">
        <f>"147"</f>
        <v>147</v>
      </c>
      <c r="F594" t="s">
        <v>245</v>
      </c>
      <c r="G594" t="str">
        <f>"001"</f>
        <v>001</v>
      </c>
      <c r="H594" t="str">
        <f>"1407"</f>
        <v>1407</v>
      </c>
      <c r="I594" s="3">
        <v>3821400</v>
      </c>
      <c r="J594" s="3">
        <v>78.08</v>
      </c>
      <c r="K594" s="3">
        <v>4894200</v>
      </c>
      <c r="L594" s="3">
        <v>0</v>
      </c>
      <c r="M594" s="3">
        <v>4894200</v>
      </c>
      <c r="N594" s="3">
        <v>0</v>
      </c>
      <c r="O594" s="3">
        <v>0</v>
      </c>
      <c r="P594" s="3">
        <v>0</v>
      </c>
      <c r="Q594" s="3">
        <v>0</v>
      </c>
      <c r="R594" s="3">
        <v>-10700</v>
      </c>
      <c r="S594" s="3">
        <v>0</v>
      </c>
      <c r="T594" s="3">
        <v>0</v>
      </c>
      <c r="U594" s="3">
        <v>0</v>
      </c>
      <c r="V594" s="3">
        <v>2017</v>
      </c>
      <c r="W594" s="3">
        <v>1247400</v>
      </c>
      <c r="X594" s="3">
        <v>4883500</v>
      </c>
      <c r="Y594" s="3">
        <v>3636100</v>
      </c>
      <c r="Z594" s="3">
        <v>4367600</v>
      </c>
      <c r="AA594" s="3">
        <v>515900</v>
      </c>
      <c r="AB594" s="3">
        <v>12</v>
      </c>
    </row>
    <row r="595" spans="1:28" x14ac:dyDescent="0.35">
      <c r="A595">
        <v>2022</v>
      </c>
      <c r="B595" t="str">
        <f t="shared" si="78"/>
        <v>36</v>
      </c>
      <c r="C595" t="s">
        <v>242</v>
      </c>
      <c r="D595" t="s">
        <v>33</v>
      </c>
      <c r="E595" t="str">
        <f>"186"</f>
        <v>186</v>
      </c>
      <c r="F595" t="s">
        <v>246</v>
      </c>
      <c r="G595" t="str">
        <f>"002"</f>
        <v>002</v>
      </c>
      <c r="H595" t="str">
        <f>"5866"</f>
        <v>5866</v>
      </c>
      <c r="I595" s="3">
        <v>4927200</v>
      </c>
      <c r="J595" s="3">
        <v>76.53</v>
      </c>
      <c r="K595" s="3">
        <v>6438300</v>
      </c>
      <c r="L595" s="3">
        <v>0</v>
      </c>
      <c r="M595" s="3">
        <v>6438300</v>
      </c>
      <c r="N595" s="3">
        <v>0</v>
      </c>
      <c r="O595" s="3">
        <v>0</v>
      </c>
      <c r="P595" s="3">
        <v>0</v>
      </c>
      <c r="Q595" s="3">
        <v>0</v>
      </c>
      <c r="R595" s="3">
        <v>-6300</v>
      </c>
      <c r="S595" s="3">
        <v>0</v>
      </c>
      <c r="T595" s="3">
        <v>0</v>
      </c>
      <c r="U595" s="3">
        <v>0</v>
      </c>
      <c r="V595" s="3">
        <v>2017</v>
      </c>
      <c r="W595" s="3">
        <v>3330200</v>
      </c>
      <c r="X595" s="3">
        <v>6432000</v>
      </c>
      <c r="Y595" s="3">
        <v>3101800</v>
      </c>
      <c r="Z595" s="3">
        <v>4852400</v>
      </c>
      <c r="AA595" s="3">
        <v>1579600</v>
      </c>
      <c r="AB595" s="3">
        <v>33</v>
      </c>
    </row>
    <row r="596" spans="1:28" x14ac:dyDescent="0.35">
      <c r="A596">
        <v>2022</v>
      </c>
      <c r="B596" t="str">
        <f t="shared" si="78"/>
        <v>36</v>
      </c>
      <c r="C596" t="s">
        <v>242</v>
      </c>
      <c r="D596" t="s">
        <v>33</v>
      </c>
      <c r="E596" t="str">
        <f>"191"</f>
        <v>191</v>
      </c>
      <c r="F596" t="s">
        <v>247</v>
      </c>
      <c r="G596" t="str">
        <f>"002"</f>
        <v>002</v>
      </c>
      <c r="H596" t="str">
        <f>"5866"</f>
        <v>5866</v>
      </c>
      <c r="I596" s="3">
        <v>3493100</v>
      </c>
      <c r="J596" s="3">
        <v>71.31</v>
      </c>
      <c r="K596" s="3">
        <v>4898500</v>
      </c>
      <c r="L596" s="3">
        <v>0</v>
      </c>
      <c r="M596" s="3">
        <v>4898500</v>
      </c>
      <c r="N596" s="3">
        <v>0</v>
      </c>
      <c r="O596" s="3">
        <v>0</v>
      </c>
      <c r="P596" s="3">
        <v>0</v>
      </c>
      <c r="Q596" s="3">
        <v>0</v>
      </c>
      <c r="R596" s="3">
        <v>-2200</v>
      </c>
      <c r="S596" s="3">
        <v>0</v>
      </c>
      <c r="T596" s="3">
        <v>0</v>
      </c>
      <c r="U596" s="3">
        <v>0</v>
      </c>
      <c r="V596" s="3">
        <v>2010</v>
      </c>
      <c r="W596" s="3">
        <v>2290100</v>
      </c>
      <c r="X596" s="3">
        <v>4896300</v>
      </c>
      <c r="Y596" s="3">
        <v>2606200</v>
      </c>
      <c r="Z596" s="3">
        <v>3983100</v>
      </c>
      <c r="AA596" s="3">
        <v>913200</v>
      </c>
      <c r="AB596" s="3">
        <v>23</v>
      </c>
    </row>
    <row r="597" spans="1:28" x14ac:dyDescent="0.35">
      <c r="A597">
        <v>2022</v>
      </c>
      <c r="B597" t="str">
        <f t="shared" si="78"/>
        <v>36</v>
      </c>
      <c r="C597" t="s">
        <v>242</v>
      </c>
      <c r="D597" t="s">
        <v>35</v>
      </c>
      <c r="E597" t="str">
        <f>"241"</f>
        <v>241</v>
      </c>
      <c r="F597" t="s">
        <v>78</v>
      </c>
      <c r="G597" t="str">
        <f>"001E"</f>
        <v>001E</v>
      </c>
      <c r="H597" t="str">
        <f>"2828"</f>
        <v>2828</v>
      </c>
      <c r="I597" s="3">
        <v>812400</v>
      </c>
      <c r="J597" s="3">
        <v>78.37</v>
      </c>
      <c r="K597" s="3">
        <v>1036600</v>
      </c>
      <c r="L597" s="3">
        <v>0</v>
      </c>
      <c r="M597" s="3">
        <v>1036600</v>
      </c>
      <c r="N597" s="3">
        <v>0</v>
      </c>
      <c r="O597" s="3">
        <v>0</v>
      </c>
      <c r="P597" s="3">
        <v>0</v>
      </c>
      <c r="Q597" s="3">
        <v>0</v>
      </c>
      <c r="R597" s="3">
        <v>-1000</v>
      </c>
      <c r="S597" s="3">
        <v>0</v>
      </c>
      <c r="T597" s="3">
        <v>0</v>
      </c>
      <c r="U597" s="3">
        <v>0</v>
      </c>
      <c r="V597" s="3">
        <v>2005</v>
      </c>
      <c r="W597" s="3">
        <v>249900</v>
      </c>
      <c r="X597" s="3">
        <v>1035600</v>
      </c>
      <c r="Y597" s="3">
        <v>785700</v>
      </c>
      <c r="Z597" s="3">
        <v>516300</v>
      </c>
      <c r="AA597" s="3">
        <v>519300</v>
      </c>
      <c r="AB597" s="3">
        <v>101</v>
      </c>
    </row>
    <row r="598" spans="1:28" x14ac:dyDescent="0.35">
      <c r="A598">
        <v>2022</v>
      </c>
      <c r="B598" t="str">
        <f t="shared" si="78"/>
        <v>36</v>
      </c>
      <c r="C598" t="s">
        <v>242</v>
      </c>
      <c r="D598" t="s">
        <v>35</v>
      </c>
      <c r="E598" t="str">
        <f>"241"</f>
        <v>241</v>
      </c>
      <c r="F598" t="s">
        <v>78</v>
      </c>
      <c r="G598" t="str">
        <f>"004"</f>
        <v>004</v>
      </c>
      <c r="H598" t="str">
        <f>"2828"</f>
        <v>2828</v>
      </c>
      <c r="I598" s="3">
        <v>19061400</v>
      </c>
      <c r="J598" s="3">
        <v>78.37</v>
      </c>
      <c r="K598" s="3">
        <v>24322300</v>
      </c>
      <c r="L598" s="3">
        <v>0</v>
      </c>
      <c r="M598" s="3">
        <v>24322300</v>
      </c>
      <c r="N598" s="3">
        <v>9593800</v>
      </c>
      <c r="O598" s="3">
        <v>9593800</v>
      </c>
      <c r="P598" s="3">
        <v>2448400</v>
      </c>
      <c r="Q598" s="3">
        <v>2448400</v>
      </c>
      <c r="R598" s="3">
        <v>-35500</v>
      </c>
      <c r="S598" s="3">
        <v>0</v>
      </c>
      <c r="T598" s="3">
        <v>0</v>
      </c>
      <c r="U598" s="3">
        <v>0</v>
      </c>
      <c r="V598" s="3">
        <v>2011</v>
      </c>
      <c r="W598" s="3">
        <v>3697100</v>
      </c>
      <c r="X598" s="3">
        <v>36329000</v>
      </c>
      <c r="Y598" s="3">
        <v>32631900</v>
      </c>
      <c r="Z598" s="3">
        <v>30071700</v>
      </c>
      <c r="AA598" s="3">
        <v>6257300</v>
      </c>
      <c r="AB598" s="3">
        <v>21</v>
      </c>
    </row>
    <row r="599" spans="1:28" x14ac:dyDescent="0.35">
      <c r="A599">
        <v>2022</v>
      </c>
      <c r="B599" t="str">
        <f t="shared" si="78"/>
        <v>36</v>
      </c>
      <c r="C599" t="s">
        <v>242</v>
      </c>
      <c r="D599" t="s">
        <v>35</v>
      </c>
      <c r="E599" t="str">
        <f t="shared" ref="E599:E605" si="79">"251"</f>
        <v>251</v>
      </c>
      <c r="F599" t="s">
        <v>242</v>
      </c>
      <c r="G599" t="str">
        <f>"016"</f>
        <v>016</v>
      </c>
      <c r="H599" t="str">
        <f t="shared" ref="H599:H605" si="80">"3290"</f>
        <v>3290</v>
      </c>
      <c r="I599" s="3">
        <v>26030600</v>
      </c>
      <c r="J599" s="3">
        <v>85.29</v>
      </c>
      <c r="K599" s="3">
        <v>30520100</v>
      </c>
      <c r="L599" s="3">
        <v>0</v>
      </c>
      <c r="M599" s="3">
        <v>30520100</v>
      </c>
      <c r="N599" s="3">
        <v>8403200</v>
      </c>
      <c r="O599" s="3">
        <v>8403200</v>
      </c>
      <c r="P599" s="3">
        <v>957800</v>
      </c>
      <c r="Q599" s="3">
        <v>957800</v>
      </c>
      <c r="R599" s="3">
        <v>-3264600</v>
      </c>
      <c r="S599" s="3">
        <v>0</v>
      </c>
      <c r="T599" s="3">
        <v>0</v>
      </c>
      <c r="U599" s="3">
        <v>2580100</v>
      </c>
      <c r="V599" s="3">
        <v>2003</v>
      </c>
      <c r="W599" s="3">
        <v>23530300</v>
      </c>
      <c r="X599" s="3">
        <v>39196600</v>
      </c>
      <c r="Y599" s="3">
        <v>15666300</v>
      </c>
      <c r="Z599" s="3">
        <v>41642800</v>
      </c>
      <c r="AA599" s="3">
        <v>-2446200</v>
      </c>
      <c r="AB599" s="3">
        <v>-6</v>
      </c>
    </row>
    <row r="600" spans="1:28" x14ac:dyDescent="0.35">
      <c r="A600">
        <v>2022</v>
      </c>
      <c r="B600" t="str">
        <f t="shared" si="78"/>
        <v>36</v>
      </c>
      <c r="C600" t="s">
        <v>242</v>
      </c>
      <c r="D600" t="s">
        <v>35</v>
      </c>
      <c r="E600" t="str">
        <f t="shared" si="79"/>
        <v>251</v>
      </c>
      <c r="F600" t="s">
        <v>242</v>
      </c>
      <c r="G600" t="str">
        <f>"017"</f>
        <v>017</v>
      </c>
      <c r="H600" t="str">
        <f t="shared" si="80"/>
        <v>3290</v>
      </c>
      <c r="I600" s="3">
        <v>9953200</v>
      </c>
      <c r="J600" s="3">
        <v>85.29</v>
      </c>
      <c r="K600" s="3">
        <v>11669800</v>
      </c>
      <c r="L600" s="3">
        <v>0</v>
      </c>
      <c r="M600" s="3">
        <v>11669800</v>
      </c>
      <c r="N600" s="3">
        <v>0</v>
      </c>
      <c r="O600" s="3">
        <v>0</v>
      </c>
      <c r="P600" s="3">
        <v>0</v>
      </c>
      <c r="Q600" s="3">
        <v>0</v>
      </c>
      <c r="R600" s="3">
        <v>-955400</v>
      </c>
      <c r="S600" s="3">
        <v>0</v>
      </c>
      <c r="T600" s="3">
        <v>0</v>
      </c>
      <c r="U600" s="3">
        <v>0</v>
      </c>
      <c r="V600" s="3">
        <v>2007</v>
      </c>
      <c r="W600" s="3">
        <v>192200</v>
      </c>
      <c r="X600" s="3">
        <v>10714400</v>
      </c>
      <c r="Y600" s="3">
        <v>10522200</v>
      </c>
      <c r="Z600" s="3">
        <v>10996000</v>
      </c>
      <c r="AA600" s="3">
        <v>-281600</v>
      </c>
      <c r="AB600" s="3">
        <v>-3</v>
      </c>
    </row>
    <row r="601" spans="1:28" x14ac:dyDescent="0.35">
      <c r="A601">
        <v>2022</v>
      </c>
      <c r="B601" t="str">
        <f t="shared" si="78"/>
        <v>36</v>
      </c>
      <c r="C601" t="s">
        <v>242</v>
      </c>
      <c r="D601" t="s">
        <v>35</v>
      </c>
      <c r="E601" t="str">
        <f t="shared" si="79"/>
        <v>251</v>
      </c>
      <c r="F601" t="s">
        <v>242</v>
      </c>
      <c r="G601" t="str">
        <f>"018"</f>
        <v>018</v>
      </c>
      <c r="H601" t="str">
        <f t="shared" si="80"/>
        <v>3290</v>
      </c>
      <c r="I601" s="3">
        <v>27396300</v>
      </c>
      <c r="J601" s="3">
        <v>85.29</v>
      </c>
      <c r="K601" s="3">
        <v>32121400</v>
      </c>
      <c r="L601" s="3">
        <v>0</v>
      </c>
      <c r="M601" s="3">
        <v>32121400</v>
      </c>
      <c r="N601" s="3">
        <v>0</v>
      </c>
      <c r="O601" s="3">
        <v>0</v>
      </c>
      <c r="P601" s="3">
        <v>0</v>
      </c>
      <c r="Q601" s="3">
        <v>0</v>
      </c>
      <c r="R601" s="3">
        <v>-1360600</v>
      </c>
      <c r="S601" s="3">
        <v>0</v>
      </c>
      <c r="T601" s="3">
        <v>0</v>
      </c>
      <c r="U601" s="3">
        <v>0</v>
      </c>
      <c r="V601" s="3">
        <v>2015</v>
      </c>
      <c r="W601" s="3">
        <v>13492300</v>
      </c>
      <c r="X601" s="3">
        <v>30760800</v>
      </c>
      <c r="Y601" s="3">
        <v>17268500</v>
      </c>
      <c r="Z601" s="3">
        <v>22688700</v>
      </c>
      <c r="AA601" s="3">
        <v>8072100</v>
      </c>
      <c r="AB601" s="3">
        <v>36</v>
      </c>
    </row>
    <row r="602" spans="1:28" x14ac:dyDescent="0.35">
      <c r="A602">
        <v>2022</v>
      </c>
      <c r="B602" t="str">
        <f t="shared" si="78"/>
        <v>36</v>
      </c>
      <c r="C602" t="s">
        <v>242</v>
      </c>
      <c r="D602" t="s">
        <v>35</v>
      </c>
      <c r="E602" t="str">
        <f t="shared" si="79"/>
        <v>251</v>
      </c>
      <c r="F602" t="s">
        <v>242</v>
      </c>
      <c r="G602" t="str">
        <f>"019"</f>
        <v>019</v>
      </c>
      <c r="H602" t="str">
        <f t="shared" si="80"/>
        <v>3290</v>
      </c>
      <c r="I602" s="3">
        <v>53608500</v>
      </c>
      <c r="J602" s="3">
        <v>85.29</v>
      </c>
      <c r="K602" s="3">
        <v>62854400</v>
      </c>
      <c r="L602" s="3">
        <v>0</v>
      </c>
      <c r="M602" s="3">
        <v>62854400</v>
      </c>
      <c r="N602" s="3">
        <v>13509800</v>
      </c>
      <c r="O602" s="3">
        <v>13509800</v>
      </c>
      <c r="P602" s="3">
        <v>1792600</v>
      </c>
      <c r="Q602" s="3">
        <v>1792600</v>
      </c>
      <c r="R602" s="3">
        <v>-1818000</v>
      </c>
      <c r="S602" s="3">
        <v>-1218700</v>
      </c>
      <c r="T602" s="3">
        <v>0</v>
      </c>
      <c r="U602" s="3">
        <v>0</v>
      </c>
      <c r="V602" s="3">
        <v>2017</v>
      </c>
      <c r="W602" s="3">
        <v>58414600</v>
      </c>
      <c r="X602" s="3">
        <v>75120100</v>
      </c>
      <c r="Y602" s="3">
        <v>16705500</v>
      </c>
      <c r="Z602" s="3">
        <v>72545000</v>
      </c>
      <c r="AA602" s="3">
        <v>2575100</v>
      </c>
      <c r="AB602" s="3">
        <v>4</v>
      </c>
    </row>
    <row r="603" spans="1:28" x14ac:dyDescent="0.35">
      <c r="A603">
        <v>2022</v>
      </c>
      <c r="B603" t="str">
        <f t="shared" si="78"/>
        <v>36</v>
      </c>
      <c r="C603" t="s">
        <v>242</v>
      </c>
      <c r="D603" t="s">
        <v>35</v>
      </c>
      <c r="E603" t="str">
        <f t="shared" si="79"/>
        <v>251</v>
      </c>
      <c r="F603" t="s">
        <v>242</v>
      </c>
      <c r="G603" t="str">
        <f>"020"</f>
        <v>020</v>
      </c>
      <c r="H603" t="str">
        <f t="shared" si="80"/>
        <v>3290</v>
      </c>
      <c r="I603" s="3">
        <v>17815500</v>
      </c>
      <c r="J603" s="3">
        <v>85.29</v>
      </c>
      <c r="K603" s="3">
        <v>20888100</v>
      </c>
      <c r="L603" s="3">
        <v>0</v>
      </c>
      <c r="M603" s="3">
        <v>20888100</v>
      </c>
      <c r="N603" s="3">
        <v>26075100</v>
      </c>
      <c r="O603" s="3">
        <v>26075100</v>
      </c>
      <c r="P603" s="3">
        <v>5295300</v>
      </c>
      <c r="Q603" s="3">
        <v>5295300</v>
      </c>
      <c r="R603" s="3">
        <v>-73000</v>
      </c>
      <c r="S603" s="3">
        <v>0</v>
      </c>
      <c r="T603" s="3">
        <v>0</v>
      </c>
      <c r="U603" s="3">
        <v>0</v>
      </c>
      <c r="V603" s="3">
        <v>2018</v>
      </c>
      <c r="W603" s="3">
        <v>21640000</v>
      </c>
      <c r="X603" s="3">
        <v>52185500</v>
      </c>
      <c r="Y603" s="3">
        <v>30545500</v>
      </c>
      <c r="Z603" s="3">
        <v>48413000</v>
      </c>
      <c r="AA603" s="3">
        <v>3772500</v>
      </c>
      <c r="AB603" s="3">
        <v>8</v>
      </c>
    </row>
    <row r="604" spans="1:28" x14ac:dyDescent="0.35">
      <c r="A604">
        <v>2022</v>
      </c>
      <c r="B604" t="str">
        <f t="shared" si="78"/>
        <v>36</v>
      </c>
      <c r="C604" t="s">
        <v>242</v>
      </c>
      <c r="D604" t="s">
        <v>35</v>
      </c>
      <c r="E604" t="str">
        <f t="shared" si="79"/>
        <v>251</v>
      </c>
      <c r="F604" t="s">
        <v>242</v>
      </c>
      <c r="G604" t="str">
        <f>"021"</f>
        <v>021</v>
      </c>
      <c r="H604" t="str">
        <f t="shared" si="80"/>
        <v>3290</v>
      </c>
      <c r="I604" s="3">
        <v>12911600</v>
      </c>
      <c r="J604" s="3">
        <v>85.29</v>
      </c>
      <c r="K604" s="3">
        <v>15138500</v>
      </c>
      <c r="L604" s="3">
        <v>0</v>
      </c>
      <c r="M604" s="3">
        <v>15138500</v>
      </c>
      <c r="N604" s="3">
        <v>36687000</v>
      </c>
      <c r="O604" s="3">
        <v>36687000</v>
      </c>
      <c r="P604" s="3">
        <v>2203900</v>
      </c>
      <c r="Q604" s="3">
        <v>2203900</v>
      </c>
      <c r="R604" s="3">
        <v>3933600</v>
      </c>
      <c r="S604" s="3">
        <v>0</v>
      </c>
      <c r="T604" s="3">
        <v>-283700</v>
      </c>
      <c r="U604" s="3">
        <v>0</v>
      </c>
      <c r="V604" s="3">
        <v>2018</v>
      </c>
      <c r="W604" s="3">
        <v>22730400</v>
      </c>
      <c r="X604" s="3">
        <v>57679300</v>
      </c>
      <c r="Y604" s="3">
        <v>34948900</v>
      </c>
      <c r="Z604" s="3">
        <v>32105000</v>
      </c>
      <c r="AA604" s="3">
        <v>25574300</v>
      </c>
      <c r="AB604" s="3">
        <v>80</v>
      </c>
    </row>
    <row r="605" spans="1:28" x14ac:dyDescent="0.35">
      <c r="A605">
        <v>2022</v>
      </c>
      <c r="B605" t="str">
        <f t="shared" si="78"/>
        <v>36</v>
      </c>
      <c r="C605" t="s">
        <v>242</v>
      </c>
      <c r="D605" t="s">
        <v>35</v>
      </c>
      <c r="E605" t="str">
        <f t="shared" si="79"/>
        <v>251</v>
      </c>
      <c r="F605" t="s">
        <v>242</v>
      </c>
      <c r="G605" t="str">
        <f>"022"</f>
        <v>022</v>
      </c>
      <c r="H605" t="str">
        <f t="shared" si="80"/>
        <v>3290</v>
      </c>
      <c r="I605" s="3">
        <v>3579800</v>
      </c>
      <c r="J605" s="3">
        <v>85.29</v>
      </c>
      <c r="K605" s="3">
        <v>4197200</v>
      </c>
      <c r="L605" s="3">
        <v>0</v>
      </c>
      <c r="M605" s="3">
        <v>4197200</v>
      </c>
      <c r="N605" s="3">
        <v>150200</v>
      </c>
      <c r="O605" s="3">
        <v>150200</v>
      </c>
      <c r="P605" s="3">
        <v>21600</v>
      </c>
      <c r="Q605" s="3">
        <v>21600</v>
      </c>
      <c r="R605" s="3">
        <v>-1005500</v>
      </c>
      <c r="S605" s="3">
        <v>0</v>
      </c>
      <c r="T605" s="3">
        <v>0</v>
      </c>
      <c r="U605" s="3">
        <v>0</v>
      </c>
      <c r="V605" s="3">
        <v>2020</v>
      </c>
      <c r="W605" s="3">
        <v>3151400</v>
      </c>
      <c r="X605" s="3">
        <v>3363500</v>
      </c>
      <c r="Y605" s="3">
        <v>212100</v>
      </c>
      <c r="Z605" s="3">
        <v>2695500</v>
      </c>
      <c r="AA605" s="3">
        <v>668000</v>
      </c>
      <c r="AB605" s="3">
        <v>25</v>
      </c>
    </row>
    <row r="606" spans="1:28" x14ac:dyDescent="0.35">
      <c r="A606">
        <v>2022</v>
      </c>
      <c r="B606" t="str">
        <f t="shared" si="78"/>
        <v>36</v>
      </c>
      <c r="C606" t="s">
        <v>242</v>
      </c>
      <c r="D606" t="s">
        <v>35</v>
      </c>
      <c r="E606" t="str">
        <f t="shared" ref="E606:E617" si="81">"286"</f>
        <v>286</v>
      </c>
      <c r="F606" t="s">
        <v>248</v>
      </c>
      <c r="G606" t="str">
        <f>"006"</f>
        <v>006</v>
      </c>
      <c r="H606" t="str">
        <f t="shared" ref="H606:H613" si="82">"5824"</f>
        <v>5824</v>
      </c>
      <c r="I606" s="3">
        <v>847900</v>
      </c>
      <c r="J606" s="3">
        <v>72.790000000000006</v>
      </c>
      <c r="K606" s="3">
        <v>1164900</v>
      </c>
      <c r="L606" s="3">
        <v>0</v>
      </c>
      <c r="M606" s="3">
        <v>1164900</v>
      </c>
      <c r="N606" s="3">
        <v>0</v>
      </c>
      <c r="O606" s="3">
        <v>0</v>
      </c>
      <c r="P606" s="3">
        <v>0</v>
      </c>
      <c r="Q606" s="3">
        <v>0</v>
      </c>
      <c r="R606" s="3">
        <v>5100</v>
      </c>
      <c r="S606" s="3">
        <v>0</v>
      </c>
      <c r="T606" s="3">
        <v>0</v>
      </c>
      <c r="U606" s="3">
        <v>0</v>
      </c>
      <c r="V606" s="3">
        <v>2000</v>
      </c>
      <c r="W606" s="3">
        <v>0</v>
      </c>
      <c r="X606" s="3">
        <v>1170000</v>
      </c>
      <c r="Y606" s="3">
        <v>1170000</v>
      </c>
      <c r="Z606" s="3">
        <v>980800</v>
      </c>
      <c r="AA606" s="3">
        <v>189200</v>
      </c>
      <c r="AB606" s="3">
        <v>19</v>
      </c>
    </row>
    <row r="607" spans="1:28" x14ac:dyDescent="0.35">
      <c r="A607">
        <v>2022</v>
      </c>
      <c r="B607" t="str">
        <f t="shared" si="78"/>
        <v>36</v>
      </c>
      <c r="C607" t="s">
        <v>242</v>
      </c>
      <c r="D607" t="s">
        <v>35</v>
      </c>
      <c r="E607" t="str">
        <f t="shared" si="81"/>
        <v>286</v>
      </c>
      <c r="F607" t="s">
        <v>248</v>
      </c>
      <c r="G607" t="str">
        <f>"007"</f>
        <v>007</v>
      </c>
      <c r="H607" t="str">
        <f t="shared" si="82"/>
        <v>5824</v>
      </c>
      <c r="I607" s="3">
        <v>3215800</v>
      </c>
      <c r="J607" s="3">
        <v>72.790000000000006</v>
      </c>
      <c r="K607" s="3">
        <v>4417900</v>
      </c>
      <c r="L607" s="3">
        <v>0</v>
      </c>
      <c r="M607" s="3">
        <v>4417900</v>
      </c>
      <c r="N607" s="3">
        <v>0</v>
      </c>
      <c r="O607" s="3">
        <v>0</v>
      </c>
      <c r="P607" s="3">
        <v>0</v>
      </c>
      <c r="Q607" s="3">
        <v>0</v>
      </c>
      <c r="R607" s="3">
        <v>-574600</v>
      </c>
      <c r="S607" s="3">
        <v>0</v>
      </c>
      <c r="T607" s="3">
        <v>0</v>
      </c>
      <c r="U607" s="3">
        <v>0</v>
      </c>
      <c r="V607" s="3">
        <v>2001</v>
      </c>
      <c r="W607" s="3">
        <v>0</v>
      </c>
      <c r="X607" s="3">
        <v>3843300</v>
      </c>
      <c r="Y607" s="3">
        <v>3843300</v>
      </c>
      <c r="Z607" s="3">
        <v>4415600</v>
      </c>
      <c r="AA607" s="3">
        <v>-572300</v>
      </c>
      <c r="AB607" s="3">
        <v>-13</v>
      </c>
    </row>
    <row r="608" spans="1:28" x14ac:dyDescent="0.35">
      <c r="A608">
        <v>2022</v>
      </c>
      <c r="B608" t="str">
        <f t="shared" si="78"/>
        <v>36</v>
      </c>
      <c r="C608" t="s">
        <v>242</v>
      </c>
      <c r="D608" t="s">
        <v>35</v>
      </c>
      <c r="E608" t="str">
        <f t="shared" si="81"/>
        <v>286</v>
      </c>
      <c r="F608" t="s">
        <v>248</v>
      </c>
      <c r="G608" t="str">
        <f>"008"</f>
        <v>008</v>
      </c>
      <c r="H608" t="str">
        <f t="shared" si="82"/>
        <v>5824</v>
      </c>
      <c r="I608" s="3">
        <v>8329200</v>
      </c>
      <c r="J608" s="3">
        <v>72.790000000000006</v>
      </c>
      <c r="K608" s="3">
        <v>11442800</v>
      </c>
      <c r="L608" s="3">
        <v>0</v>
      </c>
      <c r="M608" s="3">
        <v>11442800</v>
      </c>
      <c r="N608" s="3">
        <v>0</v>
      </c>
      <c r="O608" s="3">
        <v>0</v>
      </c>
      <c r="P608" s="3">
        <v>0</v>
      </c>
      <c r="Q608" s="3">
        <v>0</v>
      </c>
      <c r="R608" s="3">
        <v>42400</v>
      </c>
      <c r="S608" s="3">
        <v>0</v>
      </c>
      <c r="T608" s="3">
        <v>0</v>
      </c>
      <c r="U608" s="3">
        <v>0</v>
      </c>
      <c r="V608" s="3">
        <v>2002</v>
      </c>
      <c r="W608" s="3">
        <v>0</v>
      </c>
      <c r="X608" s="3">
        <v>11485200</v>
      </c>
      <c r="Y608" s="3">
        <v>11485200</v>
      </c>
      <c r="Z608" s="3">
        <v>8132000</v>
      </c>
      <c r="AA608" s="3">
        <v>3353200</v>
      </c>
      <c r="AB608" s="3">
        <v>41</v>
      </c>
    </row>
    <row r="609" spans="1:28" x14ac:dyDescent="0.35">
      <c r="A609">
        <v>2022</v>
      </c>
      <c r="B609" t="str">
        <f t="shared" si="78"/>
        <v>36</v>
      </c>
      <c r="C609" t="s">
        <v>242</v>
      </c>
      <c r="D609" t="s">
        <v>35</v>
      </c>
      <c r="E609" t="str">
        <f t="shared" si="81"/>
        <v>286</v>
      </c>
      <c r="F609" t="s">
        <v>248</v>
      </c>
      <c r="G609" t="str">
        <f>"009"</f>
        <v>009</v>
      </c>
      <c r="H609" t="str">
        <f t="shared" si="82"/>
        <v>5824</v>
      </c>
      <c r="I609" s="3">
        <v>5600</v>
      </c>
      <c r="J609" s="3">
        <v>72.790000000000006</v>
      </c>
      <c r="K609" s="3">
        <v>7700</v>
      </c>
      <c r="L609" s="3">
        <v>0</v>
      </c>
      <c r="M609" s="3">
        <v>7700</v>
      </c>
      <c r="N609" s="3">
        <v>9166500</v>
      </c>
      <c r="O609" s="3">
        <v>9166500</v>
      </c>
      <c r="P609" s="3">
        <v>253200</v>
      </c>
      <c r="Q609" s="3">
        <v>253200</v>
      </c>
      <c r="R609" s="3">
        <v>100</v>
      </c>
      <c r="S609" s="3">
        <v>0</v>
      </c>
      <c r="T609" s="3">
        <v>0</v>
      </c>
      <c r="U609" s="3">
        <v>0</v>
      </c>
      <c r="V609" s="3">
        <v>2003</v>
      </c>
      <c r="W609" s="3">
        <v>10800</v>
      </c>
      <c r="X609" s="3">
        <v>9427500</v>
      </c>
      <c r="Y609" s="3">
        <v>9416700</v>
      </c>
      <c r="Z609" s="3">
        <v>9455200</v>
      </c>
      <c r="AA609" s="3">
        <v>-27700</v>
      </c>
      <c r="AB609" s="3">
        <v>0</v>
      </c>
    </row>
    <row r="610" spans="1:28" x14ac:dyDescent="0.35">
      <c r="A610">
        <v>2022</v>
      </c>
      <c r="B610" t="str">
        <f t="shared" si="78"/>
        <v>36</v>
      </c>
      <c r="C610" t="s">
        <v>242</v>
      </c>
      <c r="D610" t="s">
        <v>35</v>
      </c>
      <c r="E610" t="str">
        <f t="shared" si="81"/>
        <v>286</v>
      </c>
      <c r="F610" t="s">
        <v>248</v>
      </c>
      <c r="G610" t="str">
        <f>"010"</f>
        <v>010</v>
      </c>
      <c r="H610" t="str">
        <f t="shared" si="82"/>
        <v>5824</v>
      </c>
      <c r="I610" s="3">
        <v>1897900</v>
      </c>
      <c r="J610" s="3">
        <v>72.790000000000006</v>
      </c>
      <c r="K610" s="3">
        <v>2607400</v>
      </c>
      <c r="L610" s="3">
        <v>0</v>
      </c>
      <c r="M610" s="3">
        <v>2607400</v>
      </c>
      <c r="N610" s="3">
        <v>0</v>
      </c>
      <c r="O610" s="3">
        <v>0</v>
      </c>
      <c r="P610" s="3">
        <v>0</v>
      </c>
      <c r="Q610" s="3">
        <v>0</v>
      </c>
      <c r="R610" s="3">
        <v>12000</v>
      </c>
      <c r="S610" s="3">
        <v>0</v>
      </c>
      <c r="T610" s="3">
        <v>0</v>
      </c>
      <c r="U610" s="3">
        <v>0</v>
      </c>
      <c r="V610" s="3">
        <v>2014</v>
      </c>
      <c r="W610" s="3">
        <v>2070700</v>
      </c>
      <c r="X610" s="3">
        <v>2619400</v>
      </c>
      <c r="Y610" s="3">
        <v>548700</v>
      </c>
      <c r="Z610" s="3">
        <v>2297800</v>
      </c>
      <c r="AA610" s="3">
        <v>321600</v>
      </c>
      <c r="AB610" s="3">
        <v>14</v>
      </c>
    </row>
    <row r="611" spans="1:28" x14ac:dyDescent="0.35">
      <c r="A611">
        <v>2022</v>
      </c>
      <c r="B611" t="str">
        <f t="shared" si="78"/>
        <v>36</v>
      </c>
      <c r="C611" t="s">
        <v>242</v>
      </c>
      <c r="D611" t="s">
        <v>35</v>
      </c>
      <c r="E611" t="str">
        <f t="shared" si="81"/>
        <v>286</v>
      </c>
      <c r="F611" t="s">
        <v>248</v>
      </c>
      <c r="G611" t="str">
        <f>"011"</f>
        <v>011</v>
      </c>
      <c r="H611" t="str">
        <f t="shared" si="82"/>
        <v>5824</v>
      </c>
      <c r="I611" s="3">
        <v>1707000</v>
      </c>
      <c r="J611" s="3">
        <v>72.790000000000006</v>
      </c>
      <c r="K611" s="3">
        <v>2345100</v>
      </c>
      <c r="L611" s="3">
        <v>0</v>
      </c>
      <c r="M611" s="3">
        <v>2345100</v>
      </c>
      <c r="N611" s="3">
        <v>0</v>
      </c>
      <c r="O611" s="3">
        <v>0</v>
      </c>
      <c r="P611" s="3">
        <v>0</v>
      </c>
      <c r="Q611" s="3">
        <v>0</v>
      </c>
      <c r="R611" s="3">
        <v>10500</v>
      </c>
      <c r="S611" s="3">
        <v>0</v>
      </c>
      <c r="T611" s="3">
        <v>0</v>
      </c>
      <c r="U611" s="3">
        <v>0</v>
      </c>
      <c r="V611" s="3">
        <v>2016</v>
      </c>
      <c r="W611" s="3">
        <v>860400</v>
      </c>
      <c r="X611" s="3">
        <v>2355600</v>
      </c>
      <c r="Y611" s="3">
        <v>1495200</v>
      </c>
      <c r="Z611" s="3">
        <v>2010100</v>
      </c>
      <c r="AA611" s="3">
        <v>345500</v>
      </c>
      <c r="AB611" s="3">
        <v>17</v>
      </c>
    </row>
    <row r="612" spans="1:28" x14ac:dyDescent="0.35">
      <c r="A612">
        <v>2022</v>
      </c>
      <c r="B612" t="str">
        <f t="shared" si="78"/>
        <v>36</v>
      </c>
      <c r="C612" t="s">
        <v>242</v>
      </c>
      <c r="D612" t="s">
        <v>35</v>
      </c>
      <c r="E612" t="str">
        <f t="shared" si="81"/>
        <v>286</v>
      </c>
      <c r="F612" t="s">
        <v>248</v>
      </c>
      <c r="G612" t="str">
        <f>"012"</f>
        <v>012</v>
      </c>
      <c r="H612" t="str">
        <f t="shared" si="82"/>
        <v>5824</v>
      </c>
      <c r="I612" s="3">
        <v>5702200</v>
      </c>
      <c r="J612" s="3">
        <v>72.790000000000006</v>
      </c>
      <c r="K612" s="3">
        <v>7833800</v>
      </c>
      <c r="L612" s="3">
        <v>0</v>
      </c>
      <c r="M612" s="3">
        <v>7833800</v>
      </c>
      <c r="N612" s="3">
        <v>109300</v>
      </c>
      <c r="O612" s="3">
        <v>109300</v>
      </c>
      <c r="P612" s="3">
        <v>400</v>
      </c>
      <c r="Q612" s="3">
        <v>400</v>
      </c>
      <c r="R612" s="3">
        <v>23900</v>
      </c>
      <c r="S612" s="3">
        <v>0</v>
      </c>
      <c r="T612" s="3">
        <v>0</v>
      </c>
      <c r="U612" s="3">
        <v>0</v>
      </c>
      <c r="V612" s="3">
        <v>2018</v>
      </c>
      <c r="W612" s="3">
        <v>2732100</v>
      </c>
      <c r="X612" s="3">
        <v>7967400</v>
      </c>
      <c r="Y612" s="3">
        <v>5235300</v>
      </c>
      <c r="Z612" s="3">
        <v>4696100</v>
      </c>
      <c r="AA612" s="3">
        <v>3271300</v>
      </c>
      <c r="AB612" s="3">
        <v>70</v>
      </c>
    </row>
    <row r="613" spans="1:28" x14ac:dyDescent="0.35">
      <c r="A613">
        <v>2022</v>
      </c>
      <c r="B613" t="str">
        <f t="shared" si="78"/>
        <v>36</v>
      </c>
      <c r="C613" t="s">
        <v>242</v>
      </c>
      <c r="D613" t="s">
        <v>35</v>
      </c>
      <c r="E613" t="str">
        <f t="shared" si="81"/>
        <v>286</v>
      </c>
      <c r="F613" t="s">
        <v>248</v>
      </c>
      <c r="G613" t="str">
        <f>"013"</f>
        <v>013</v>
      </c>
      <c r="H613" t="str">
        <f t="shared" si="82"/>
        <v>5824</v>
      </c>
      <c r="I613" s="3">
        <v>5126300</v>
      </c>
      <c r="J613" s="3">
        <v>72.790000000000006</v>
      </c>
      <c r="K613" s="3">
        <v>7042600</v>
      </c>
      <c r="L613" s="3">
        <v>0</v>
      </c>
      <c r="M613" s="3">
        <v>7042600</v>
      </c>
      <c r="N613" s="3">
        <v>0</v>
      </c>
      <c r="O613" s="3">
        <v>0</v>
      </c>
      <c r="P613" s="3">
        <v>0</v>
      </c>
      <c r="Q613" s="3">
        <v>0</v>
      </c>
      <c r="R613" s="3">
        <v>-111400</v>
      </c>
      <c r="S613" s="3">
        <v>0</v>
      </c>
      <c r="T613" s="3">
        <v>0</v>
      </c>
      <c r="U613" s="3">
        <v>0</v>
      </c>
      <c r="V613" s="3">
        <v>2020</v>
      </c>
      <c r="W613" s="3">
        <v>5660100</v>
      </c>
      <c r="X613" s="3">
        <v>6931200</v>
      </c>
      <c r="Y613" s="3">
        <v>1271100</v>
      </c>
      <c r="Z613" s="3">
        <v>6035100</v>
      </c>
      <c r="AA613" s="3">
        <v>896100</v>
      </c>
      <c r="AB613" s="3">
        <v>15</v>
      </c>
    </row>
    <row r="614" spans="1:28" x14ac:dyDescent="0.35">
      <c r="A614">
        <v>2022</v>
      </c>
      <c r="B614" t="str">
        <f t="shared" si="78"/>
        <v>36</v>
      </c>
      <c r="C614" t="s">
        <v>242</v>
      </c>
      <c r="D614" t="s">
        <v>35</v>
      </c>
      <c r="E614" t="str">
        <f t="shared" si="81"/>
        <v>286</v>
      </c>
      <c r="F614" t="s">
        <v>248</v>
      </c>
      <c r="G614" t="str">
        <f>"014"</f>
        <v>014</v>
      </c>
      <c r="H614" t="str">
        <f>"3290"</f>
        <v>3290</v>
      </c>
      <c r="I614" s="3">
        <v>0</v>
      </c>
      <c r="J614" s="3">
        <v>72.790000000000006</v>
      </c>
      <c r="K614" s="3">
        <v>0</v>
      </c>
      <c r="L614" s="3">
        <v>0</v>
      </c>
      <c r="M614" s="3">
        <v>0</v>
      </c>
      <c r="N614" s="3">
        <v>0</v>
      </c>
      <c r="O614" s="3">
        <v>0</v>
      </c>
      <c r="P614" s="3">
        <v>0</v>
      </c>
      <c r="Q614" s="3">
        <v>0</v>
      </c>
      <c r="R614" s="3">
        <v>0</v>
      </c>
      <c r="S614" s="3">
        <v>0</v>
      </c>
      <c r="T614" s="3">
        <v>0</v>
      </c>
      <c r="U614" s="3">
        <v>0</v>
      </c>
      <c r="V614" s="3">
        <v>2021</v>
      </c>
      <c r="W614" s="3">
        <v>0</v>
      </c>
      <c r="X614" s="3">
        <v>0</v>
      </c>
      <c r="Y614" s="3">
        <v>0</v>
      </c>
      <c r="Z614" s="3">
        <v>0</v>
      </c>
      <c r="AA614" s="3">
        <v>0</v>
      </c>
      <c r="AB614" s="3">
        <v>0</v>
      </c>
    </row>
    <row r="615" spans="1:28" x14ac:dyDescent="0.35">
      <c r="A615">
        <v>2022</v>
      </c>
      <c r="B615" t="str">
        <f t="shared" si="78"/>
        <v>36</v>
      </c>
      <c r="C615" t="s">
        <v>242</v>
      </c>
      <c r="D615" t="s">
        <v>35</v>
      </c>
      <c r="E615" t="str">
        <f t="shared" si="81"/>
        <v>286</v>
      </c>
      <c r="F615" t="s">
        <v>248</v>
      </c>
      <c r="G615" t="str">
        <f>"014"</f>
        <v>014</v>
      </c>
      <c r="H615" t="str">
        <f>"5824"</f>
        <v>5824</v>
      </c>
      <c r="I615" s="3">
        <v>1715100</v>
      </c>
      <c r="J615" s="3">
        <v>72.790000000000006</v>
      </c>
      <c r="K615" s="3">
        <v>2356200</v>
      </c>
      <c r="L615" s="3">
        <v>0</v>
      </c>
      <c r="M615" s="3">
        <v>2356200</v>
      </c>
      <c r="N615" s="3">
        <v>5525400</v>
      </c>
      <c r="O615" s="3">
        <v>5525400</v>
      </c>
      <c r="P615" s="3">
        <v>184000</v>
      </c>
      <c r="Q615" s="3">
        <v>184000</v>
      </c>
      <c r="R615" s="3">
        <v>0</v>
      </c>
      <c r="S615" s="3">
        <v>0</v>
      </c>
      <c r="T615" s="3">
        <v>0</v>
      </c>
      <c r="U615" s="3">
        <v>0</v>
      </c>
      <c r="V615" s="3">
        <v>2021</v>
      </c>
      <c r="W615" s="3">
        <v>7570200</v>
      </c>
      <c r="X615" s="3">
        <v>8065600</v>
      </c>
      <c r="Y615" s="3">
        <v>495400</v>
      </c>
      <c r="Z615" s="3">
        <v>7570200</v>
      </c>
      <c r="AA615" s="3">
        <v>495400</v>
      </c>
      <c r="AB615" s="3">
        <v>7</v>
      </c>
    </row>
    <row r="616" spans="1:28" x14ac:dyDescent="0.35">
      <c r="A616">
        <v>2022</v>
      </c>
      <c r="B616" t="str">
        <f t="shared" si="78"/>
        <v>36</v>
      </c>
      <c r="C616" t="s">
        <v>242</v>
      </c>
      <c r="D616" t="s">
        <v>35</v>
      </c>
      <c r="E616" t="str">
        <f t="shared" si="81"/>
        <v>286</v>
      </c>
      <c r="F616" t="s">
        <v>248</v>
      </c>
      <c r="G616" t="str">
        <f>"015"</f>
        <v>015</v>
      </c>
      <c r="H616" t="str">
        <f>"5824"</f>
        <v>5824</v>
      </c>
      <c r="I616" s="3">
        <v>69300</v>
      </c>
      <c r="J616" s="3">
        <v>72.790000000000006</v>
      </c>
      <c r="K616" s="3">
        <v>95200</v>
      </c>
      <c r="L616" s="3">
        <v>0</v>
      </c>
      <c r="M616" s="3">
        <v>95200</v>
      </c>
      <c r="N616" s="3">
        <v>0</v>
      </c>
      <c r="O616" s="3">
        <v>0</v>
      </c>
      <c r="P616" s="3">
        <v>0</v>
      </c>
      <c r="Q616" s="3">
        <v>0</v>
      </c>
      <c r="R616" s="3">
        <v>0</v>
      </c>
      <c r="S616" s="3">
        <v>0</v>
      </c>
      <c r="T616" s="3">
        <v>0</v>
      </c>
      <c r="U616" s="3">
        <v>0</v>
      </c>
      <c r="V616" s="3">
        <v>2021</v>
      </c>
      <c r="W616" s="3">
        <v>80400</v>
      </c>
      <c r="X616" s="3">
        <v>95200</v>
      </c>
      <c r="Y616" s="3">
        <v>14800</v>
      </c>
      <c r="Z616" s="3">
        <v>80400</v>
      </c>
      <c r="AA616" s="3">
        <v>14800</v>
      </c>
      <c r="AB616" s="3">
        <v>18</v>
      </c>
    </row>
    <row r="617" spans="1:28" x14ac:dyDescent="0.35">
      <c r="A617">
        <v>2022</v>
      </c>
      <c r="B617" t="str">
        <f t="shared" si="78"/>
        <v>36</v>
      </c>
      <c r="C617" t="s">
        <v>242</v>
      </c>
      <c r="D617" t="s">
        <v>35</v>
      </c>
      <c r="E617" t="str">
        <f t="shared" si="81"/>
        <v>286</v>
      </c>
      <c r="F617" t="s">
        <v>248</v>
      </c>
      <c r="G617" t="str">
        <f>"016"</f>
        <v>016</v>
      </c>
      <c r="H617" t="str">
        <f>"5824"</f>
        <v>5824</v>
      </c>
      <c r="I617" s="3">
        <v>199300</v>
      </c>
      <c r="J617" s="3">
        <v>72.790000000000006</v>
      </c>
      <c r="K617" s="3">
        <v>273800</v>
      </c>
      <c r="L617" s="3">
        <v>0</v>
      </c>
      <c r="M617" s="3">
        <v>273800</v>
      </c>
      <c r="N617" s="3">
        <v>0</v>
      </c>
      <c r="O617" s="3">
        <v>0</v>
      </c>
      <c r="P617" s="3">
        <v>0</v>
      </c>
      <c r="Q617" s="3">
        <v>0</v>
      </c>
      <c r="R617" s="3">
        <v>0</v>
      </c>
      <c r="S617" s="3">
        <v>0</v>
      </c>
      <c r="T617" s="3">
        <v>0</v>
      </c>
      <c r="U617" s="3">
        <v>0</v>
      </c>
      <c r="V617" s="3">
        <v>2021</v>
      </c>
      <c r="W617" s="3">
        <v>231200</v>
      </c>
      <c r="X617" s="3">
        <v>273800</v>
      </c>
      <c r="Y617" s="3">
        <v>42600</v>
      </c>
      <c r="Z617" s="3">
        <v>231200</v>
      </c>
      <c r="AA617" s="3">
        <v>42600</v>
      </c>
      <c r="AB617" s="3">
        <v>18</v>
      </c>
    </row>
    <row r="618" spans="1:28" x14ac:dyDescent="0.35">
      <c r="A618">
        <v>2022</v>
      </c>
      <c r="B618" t="str">
        <f t="shared" ref="B618:B658" si="83">"37"</f>
        <v>37</v>
      </c>
      <c r="C618" t="s">
        <v>249</v>
      </c>
      <c r="D618" t="s">
        <v>31</v>
      </c>
      <c r="E618" t="str">
        <f>"068"</f>
        <v>068</v>
      </c>
      <c r="F618" t="s">
        <v>250</v>
      </c>
      <c r="G618" t="str">
        <f>"001A"</f>
        <v>001A</v>
      </c>
      <c r="H618" t="str">
        <f>"6223"</f>
        <v>6223</v>
      </c>
      <c r="I618" s="3">
        <v>22619900</v>
      </c>
      <c r="J618" s="3">
        <v>83.04</v>
      </c>
      <c r="K618" s="3">
        <v>27239800</v>
      </c>
      <c r="L618" s="3">
        <v>0</v>
      </c>
      <c r="M618" s="3">
        <v>27239800</v>
      </c>
      <c r="N618" s="3">
        <v>184000</v>
      </c>
      <c r="O618" s="3">
        <v>184000</v>
      </c>
      <c r="P618" s="3">
        <v>12700</v>
      </c>
      <c r="Q618" s="3">
        <v>12700</v>
      </c>
      <c r="R618" s="3">
        <v>0</v>
      </c>
      <c r="S618" s="3">
        <v>0</v>
      </c>
      <c r="T618" s="3">
        <v>0</v>
      </c>
      <c r="U618" s="3">
        <v>0</v>
      </c>
      <c r="V618" s="3">
        <v>2020</v>
      </c>
      <c r="W618" s="3">
        <v>20078900</v>
      </c>
      <c r="X618" s="3">
        <v>27436500</v>
      </c>
      <c r="Y618" s="3">
        <v>7357600</v>
      </c>
      <c r="Z618" s="3">
        <v>24768500</v>
      </c>
      <c r="AA618" s="3">
        <v>2668000</v>
      </c>
      <c r="AB618" s="3">
        <v>11</v>
      </c>
    </row>
    <row r="619" spans="1:28" x14ac:dyDescent="0.35">
      <c r="A619">
        <v>2022</v>
      </c>
      <c r="B619" t="str">
        <f t="shared" si="83"/>
        <v>37</v>
      </c>
      <c r="C619" t="s">
        <v>249</v>
      </c>
      <c r="D619" t="s">
        <v>33</v>
      </c>
      <c r="E619" t="str">
        <f>"102"</f>
        <v>102</v>
      </c>
      <c r="F619" t="s">
        <v>251</v>
      </c>
      <c r="G619" t="str">
        <f>"001"</f>
        <v>001</v>
      </c>
      <c r="H619" t="str">
        <f>"0196"</f>
        <v>0196</v>
      </c>
      <c r="I619" s="3">
        <v>3159100</v>
      </c>
      <c r="J619" s="3">
        <v>70.64</v>
      </c>
      <c r="K619" s="3">
        <v>4472100</v>
      </c>
      <c r="L619" s="3">
        <v>0</v>
      </c>
      <c r="M619" s="3">
        <v>4472100</v>
      </c>
      <c r="N619" s="3">
        <v>1861800</v>
      </c>
      <c r="O619" s="3">
        <v>1861800</v>
      </c>
      <c r="P619" s="3">
        <v>301100</v>
      </c>
      <c r="Q619" s="3">
        <v>301100</v>
      </c>
      <c r="R619" s="3">
        <v>-9900</v>
      </c>
      <c r="S619" s="3">
        <v>0</v>
      </c>
      <c r="T619" s="3">
        <v>0</v>
      </c>
      <c r="U619" s="3">
        <v>0</v>
      </c>
      <c r="V619" s="3">
        <v>1995</v>
      </c>
      <c r="W619" s="3">
        <v>44500</v>
      </c>
      <c r="X619" s="3">
        <v>6625100</v>
      </c>
      <c r="Y619" s="3">
        <v>6580600</v>
      </c>
      <c r="Z619" s="3">
        <v>4879400</v>
      </c>
      <c r="AA619" s="3">
        <v>1745700</v>
      </c>
      <c r="AB619" s="3">
        <v>36</v>
      </c>
    </row>
    <row r="620" spans="1:28" x14ac:dyDescent="0.35">
      <c r="A620">
        <v>2022</v>
      </c>
      <c r="B620" t="str">
        <f t="shared" si="83"/>
        <v>37</v>
      </c>
      <c r="C620" t="s">
        <v>249</v>
      </c>
      <c r="D620" t="s">
        <v>33</v>
      </c>
      <c r="E620" t="str">
        <f>"102"</f>
        <v>102</v>
      </c>
      <c r="F620" t="s">
        <v>251</v>
      </c>
      <c r="G620" t="str">
        <f>"002"</f>
        <v>002</v>
      </c>
      <c r="H620" t="str">
        <f>"0196"</f>
        <v>0196</v>
      </c>
      <c r="I620" s="3">
        <v>9382800</v>
      </c>
      <c r="J620" s="3">
        <v>70.64</v>
      </c>
      <c r="K620" s="3">
        <v>13282600</v>
      </c>
      <c r="L620" s="3">
        <v>0</v>
      </c>
      <c r="M620" s="3">
        <v>13282600</v>
      </c>
      <c r="N620" s="3">
        <v>0</v>
      </c>
      <c r="O620" s="3">
        <v>0</v>
      </c>
      <c r="P620" s="3">
        <v>0</v>
      </c>
      <c r="Q620" s="3">
        <v>0</v>
      </c>
      <c r="R620" s="3">
        <v>-41500</v>
      </c>
      <c r="S620" s="3">
        <v>0</v>
      </c>
      <c r="T620" s="3">
        <v>0</v>
      </c>
      <c r="U620" s="3">
        <v>0</v>
      </c>
      <c r="V620" s="3">
        <v>2007</v>
      </c>
      <c r="W620" s="3">
        <v>1889500</v>
      </c>
      <c r="X620" s="3">
        <v>13241100</v>
      </c>
      <c r="Y620" s="3">
        <v>11351600</v>
      </c>
      <c r="Z620" s="3">
        <v>10524800</v>
      </c>
      <c r="AA620" s="3">
        <v>2716300</v>
      </c>
      <c r="AB620" s="3">
        <v>26</v>
      </c>
    </row>
    <row r="621" spans="1:28" x14ac:dyDescent="0.35">
      <c r="A621">
        <v>2022</v>
      </c>
      <c r="B621" t="str">
        <f t="shared" si="83"/>
        <v>37</v>
      </c>
      <c r="C621" t="s">
        <v>249</v>
      </c>
      <c r="D621" t="s">
        <v>33</v>
      </c>
      <c r="E621" t="str">
        <f>"121"</f>
        <v>121</v>
      </c>
      <c r="F621" t="s">
        <v>252</v>
      </c>
      <c r="G621" t="str">
        <f>"001"</f>
        <v>001</v>
      </c>
      <c r="H621" t="str">
        <f>"1561"</f>
        <v>1561</v>
      </c>
      <c r="I621" s="3">
        <v>1547800</v>
      </c>
      <c r="J621" s="3">
        <v>83.86</v>
      </c>
      <c r="K621" s="3">
        <v>1845700</v>
      </c>
      <c r="L621" s="3">
        <v>0</v>
      </c>
      <c r="M621" s="3">
        <v>1845700</v>
      </c>
      <c r="N621" s="3">
        <v>0</v>
      </c>
      <c r="O621" s="3">
        <v>0</v>
      </c>
      <c r="P621" s="3">
        <v>0</v>
      </c>
      <c r="Q621" s="3">
        <v>0</v>
      </c>
      <c r="R621" s="3">
        <v>2000</v>
      </c>
      <c r="S621" s="3">
        <v>0</v>
      </c>
      <c r="T621" s="3">
        <v>0</v>
      </c>
      <c r="U621" s="3">
        <v>0</v>
      </c>
      <c r="V621" s="3">
        <v>2002</v>
      </c>
      <c r="W621" s="3">
        <v>789300</v>
      </c>
      <c r="X621" s="3">
        <v>1847700</v>
      </c>
      <c r="Y621" s="3">
        <v>1058400</v>
      </c>
      <c r="Z621" s="3">
        <v>1814500</v>
      </c>
      <c r="AA621" s="3">
        <v>33200</v>
      </c>
      <c r="AB621" s="3">
        <v>2</v>
      </c>
    </row>
    <row r="622" spans="1:28" x14ac:dyDescent="0.35">
      <c r="A622">
        <v>2022</v>
      </c>
      <c r="B622" t="str">
        <f t="shared" si="83"/>
        <v>37</v>
      </c>
      <c r="C622" t="s">
        <v>249</v>
      </c>
      <c r="D622" t="s">
        <v>33</v>
      </c>
      <c r="E622" t="str">
        <f>"121"</f>
        <v>121</v>
      </c>
      <c r="F622" t="s">
        <v>252</v>
      </c>
      <c r="G622" t="str">
        <f>"003"</f>
        <v>003</v>
      </c>
      <c r="H622" t="str">
        <f>"1561"</f>
        <v>1561</v>
      </c>
      <c r="I622" s="3">
        <v>4051100</v>
      </c>
      <c r="J622" s="3">
        <v>83.86</v>
      </c>
      <c r="K622" s="3">
        <v>4830800</v>
      </c>
      <c r="L622" s="3">
        <v>0</v>
      </c>
      <c r="M622" s="3">
        <v>4830800</v>
      </c>
      <c r="N622" s="3">
        <v>1331200</v>
      </c>
      <c r="O622" s="3">
        <v>1331200</v>
      </c>
      <c r="P622" s="3">
        <v>111500</v>
      </c>
      <c r="Q622" s="3">
        <v>111500</v>
      </c>
      <c r="R622" s="3">
        <v>4800</v>
      </c>
      <c r="S622" s="3">
        <v>0</v>
      </c>
      <c r="T622" s="3">
        <v>0</v>
      </c>
      <c r="U622" s="3">
        <v>0</v>
      </c>
      <c r="V622" s="3">
        <v>2005</v>
      </c>
      <c r="W622" s="3">
        <v>55700</v>
      </c>
      <c r="X622" s="3">
        <v>6278300</v>
      </c>
      <c r="Y622" s="3">
        <v>6222600</v>
      </c>
      <c r="Z622" s="3">
        <v>5620800</v>
      </c>
      <c r="AA622" s="3">
        <v>657500</v>
      </c>
      <c r="AB622" s="3">
        <v>12</v>
      </c>
    </row>
    <row r="623" spans="1:28" x14ac:dyDescent="0.35">
      <c r="A623">
        <v>2022</v>
      </c>
      <c r="B623" t="str">
        <f t="shared" si="83"/>
        <v>37</v>
      </c>
      <c r="C623" t="s">
        <v>249</v>
      </c>
      <c r="D623" t="s">
        <v>33</v>
      </c>
      <c r="E623" t="str">
        <f>"121"</f>
        <v>121</v>
      </c>
      <c r="F623" t="s">
        <v>252</v>
      </c>
      <c r="G623" t="str">
        <f>"004"</f>
        <v>004</v>
      </c>
      <c r="H623" t="str">
        <f>"1561"</f>
        <v>1561</v>
      </c>
      <c r="I623" s="3">
        <v>1733000</v>
      </c>
      <c r="J623" s="3">
        <v>83.86</v>
      </c>
      <c r="K623" s="3">
        <v>2066500</v>
      </c>
      <c r="L623" s="3">
        <v>0</v>
      </c>
      <c r="M623" s="3">
        <v>2066500</v>
      </c>
      <c r="N623" s="3">
        <v>2346200</v>
      </c>
      <c r="O623" s="3">
        <v>2346200</v>
      </c>
      <c r="P623" s="3">
        <v>252200</v>
      </c>
      <c r="Q623" s="3">
        <v>252200</v>
      </c>
      <c r="R623" s="3">
        <v>2200</v>
      </c>
      <c r="S623" s="3">
        <v>0</v>
      </c>
      <c r="T623" s="3">
        <v>0</v>
      </c>
      <c r="U623" s="3">
        <v>0</v>
      </c>
      <c r="V623" s="3">
        <v>2016</v>
      </c>
      <c r="W623" s="3">
        <v>1655200</v>
      </c>
      <c r="X623" s="3">
        <v>4667100</v>
      </c>
      <c r="Y623" s="3">
        <v>3011900</v>
      </c>
      <c r="Z623" s="3">
        <v>4601300</v>
      </c>
      <c r="AA623" s="3">
        <v>65800</v>
      </c>
      <c r="AB623" s="3">
        <v>1</v>
      </c>
    </row>
    <row r="624" spans="1:28" x14ac:dyDescent="0.35">
      <c r="A624">
        <v>2022</v>
      </c>
      <c r="B624" t="str">
        <f t="shared" si="83"/>
        <v>37</v>
      </c>
      <c r="C624" t="s">
        <v>249</v>
      </c>
      <c r="D624" t="s">
        <v>33</v>
      </c>
      <c r="E624" t="str">
        <f>"136"</f>
        <v>136</v>
      </c>
      <c r="F624" t="s">
        <v>253</v>
      </c>
      <c r="G624" t="str">
        <f>"001"</f>
        <v>001</v>
      </c>
      <c r="H624" t="str">
        <f>"4970"</f>
        <v>4970</v>
      </c>
      <c r="I624" s="3">
        <v>13742400</v>
      </c>
      <c r="J624" s="3">
        <v>72.42</v>
      </c>
      <c r="K624" s="3">
        <v>18976000</v>
      </c>
      <c r="L624" s="3">
        <v>0</v>
      </c>
      <c r="M624" s="3">
        <v>18976000</v>
      </c>
      <c r="N624" s="3">
        <v>0</v>
      </c>
      <c r="O624" s="3">
        <v>0</v>
      </c>
      <c r="P624" s="3">
        <v>0</v>
      </c>
      <c r="Q624" s="3">
        <v>0</v>
      </c>
      <c r="R624" s="3">
        <v>-47900</v>
      </c>
      <c r="S624" s="3">
        <v>0</v>
      </c>
      <c r="T624" s="3">
        <v>0</v>
      </c>
      <c r="U624" s="3">
        <v>0</v>
      </c>
      <c r="V624" s="3">
        <v>2007</v>
      </c>
      <c r="W624" s="3">
        <v>3240500</v>
      </c>
      <c r="X624" s="3">
        <v>18928100</v>
      </c>
      <c r="Y624" s="3">
        <v>15687600</v>
      </c>
      <c r="Z624" s="3">
        <v>13875400</v>
      </c>
      <c r="AA624" s="3">
        <v>5052700</v>
      </c>
      <c r="AB624" s="3">
        <v>36</v>
      </c>
    </row>
    <row r="625" spans="1:28" x14ac:dyDescent="0.35">
      <c r="A625">
        <v>2022</v>
      </c>
      <c r="B625" t="str">
        <f t="shared" si="83"/>
        <v>37</v>
      </c>
      <c r="C625" t="s">
        <v>249</v>
      </c>
      <c r="D625" t="s">
        <v>33</v>
      </c>
      <c r="E625" t="str">
        <f>"145"</f>
        <v>145</v>
      </c>
      <c r="F625" t="s">
        <v>254</v>
      </c>
      <c r="G625" t="str">
        <f>"001"</f>
        <v>001</v>
      </c>
      <c r="H625" t="str">
        <f>"4970"</f>
        <v>4970</v>
      </c>
      <c r="I625" s="3">
        <v>5878600</v>
      </c>
      <c r="J625" s="3">
        <v>89</v>
      </c>
      <c r="K625" s="3">
        <v>6605200</v>
      </c>
      <c r="L625" s="3">
        <v>0</v>
      </c>
      <c r="M625" s="3">
        <v>6605200</v>
      </c>
      <c r="N625" s="3">
        <v>11465300</v>
      </c>
      <c r="O625" s="3">
        <v>11465300</v>
      </c>
      <c r="P625" s="3">
        <v>692700</v>
      </c>
      <c r="Q625" s="3">
        <v>692700</v>
      </c>
      <c r="R625" s="3">
        <v>-532900</v>
      </c>
      <c r="S625" s="3">
        <v>0</v>
      </c>
      <c r="T625" s="3">
        <v>0</v>
      </c>
      <c r="U625" s="3">
        <v>0</v>
      </c>
      <c r="V625" s="3">
        <v>2005</v>
      </c>
      <c r="W625" s="3">
        <v>2262300</v>
      </c>
      <c r="X625" s="3">
        <v>18230300</v>
      </c>
      <c r="Y625" s="3">
        <v>15968000</v>
      </c>
      <c r="Z625" s="3">
        <v>17978800</v>
      </c>
      <c r="AA625" s="3">
        <v>251500</v>
      </c>
      <c r="AB625" s="3">
        <v>1</v>
      </c>
    </row>
    <row r="626" spans="1:28" x14ac:dyDescent="0.35">
      <c r="A626">
        <v>2022</v>
      </c>
      <c r="B626" t="str">
        <f t="shared" si="83"/>
        <v>37</v>
      </c>
      <c r="C626" t="s">
        <v>249</v>
      </c>
      <c r="D626" t="s">
        <v>33</v>
      </c>
      <c r="E626" t="str">
        <f>"145"</f>
        <v>145</v>
      </c>
      <c r="F626" t="s">
        <v>254</v>
      </c>
      <c r="G626" t="str">
        <f>"002"</f>
        <v>002</v>
      </c>
      <c r="H626" t="str">
        <f>"3787"</f>
        <v>3787</v>
      </c>
      <c r="I626" s="3">
        <v>54276600</v>
      </c>
      <c r="J626" s="3">
        <v>89</v>
      </c>
      <c r="K626" s="3">
        <v>60984900</v>
      </c>
      <c r="L626" s="3">
        <v>0</v>
      </c>
      <c r="M626" s="3">
        <v>60984900</v>
      </c>
      <c r="N626" s="3">
        <v>0</v>
      </c>
      <c r="O626" s="3">
        <v>0</v>
      </c>
      <c r="P626" s="3">
        <v>0</v>
      </c>
      <c r="Q626" s="3">
        <v>0</v>
      </c>
      <c r="R626" s="3">
        <v>7015100</v>
      </c>
      <c r="S626" s="3">
        <v>0</v>
      </c>
      <c r="T626" s="3">
        <v>0</v>
      </c>
      <c r="U626" s="3">
        <v>0</v>
      </c>
      <c r="V626" s="3">
        <v>2005</v>
      </c>
      <c r="W626" s="3">
        <v>5398600</v>
      </c>
      <c r="X626" s="3">
        <v>68000000</v>
      </c>
      <c r="Y626" s="3">
        <v>62601400</v>
      </c>
      <c r="Z626" s="3">
        <v>47482400</v>
      </c>
      <c r="AA626" s="3">
        <v>20517600</v>
      </c>
      <c r="AB626" s="3">
        <v>43</v>
      </c>
    </row>
    <row r="627" spans="1:28" x14ac:dyDescent="0.35">
      <c r="A627">
        <v>2022</v>
      </c>
      <c r="B627" t="str">
        <f t="shared" si="83"/>
        <v>37</v>
      </c>
      <c r="C627" t="s">
        <v>249</v>
      </c>
      <c r="D627" t="s">
        <v>33</v>
      </c>
      <c r="E627" t="str">
        <f>"145"</f>
        <v>145</v>
      </c>
      <c r="F627" t="s">
        <v>254</v>
      </c>
      <c r="G627" t="str">
        <f>"003"</f>
        <v>003</v>
      </c>
      <c r="H627" t="str">
        <f>"3787"</f>
        <v>3787</v>
      </c>
      <c r="I627" s="3">
        <v>1028400</v>
      </c>
      <c r="J627" s="3">
        <v>89</v>
      </c>
      <c r="K627" s="3">
        <v>1155500</v>
      </c>
      <c r="L627" s="3">
        <v>0</v>
      </c>
      <c r="M627" s="3">
        <v>1155500</v>
      </c>
      <c r="N627" s="3">
        <v>0</v>
      </c>
      <c r="O627" s="3">
        <v>0</v>
      </c>
      <c r="P627" s="3">
        <v>0</v>
      </c>
      <c r="Q627" s="3">
        <v>0</v>
      </c>
      <c r="R627" s="3">
        <v>104800</v>
      </c>
      <c r="S627" s="3">
        <v>0</v>
      </c>
      <c r="T627" s="3">
        <v>0</v>
      </c>
      <c r="U627" s="3">
        <v>0</v>
      </c>
      <c r="V627" s="3">
        <v>2005</v>
      </c>
      <c r="W627" s="3">
        <v>405100</v>
      </c>
      <c r="X627" s="3">
        <v>1260300</v>
      </c>
      <c r="Y627" s="3">
        <v>855200</v>
      </c>
      <c r="Z627" s="3">
        <v>1056600</v>
      </c>
      <c r="AA627" s="3">
        <v>203700</v>
      </c>
      <c r="AB627" s="3">
        <v>19</v>
      </c>
    </row>
    <row r="628" spans="1:28" x14ac:dyDescent="0.35">
      <c r="A628">
        <v>2022</v>
      </c>
      <c r="B628" t="str">
        <f t="shared" si="83"/>
        <v>37</v>
      </c>
      <c r="C628" t="s">
        <v>249</v>
      </c>
      <c r="D628" t="s">
        <v>33</v>
      </c>
      <c r="E628" t="str">
        <f>"145"</f>
        <v>145</v>
      </c>
      <c r="F628" t="s">
        <v>254</v>
      </c>
      <c r="G628" t="str">
        <f>"004"</f>
        <v>004</v>
      </c>
      <c r="H628" t="str">
        <f>"3787"</f>
        <v>3787</v>
      </c>
      <c r="I628" s="3">
        <v>4224400</v>
      </c>
      <c r="J628" s="3">
        <v>89</v>
      </c>
      <c r="K628" s="3">
        <v>4746500</v>
      </c>
      <c r="L628" s="3">
        <v>0</v>
      </c>
      <c r="M628" s="3">
        <v>4746500</v>
      </c>
      <c r="N628" s="3">
        <v>3644700</v>
      </c>
      <c r="O628" s="3">
        <v>3644700</v>
      </c>
      <c r="P628" s="3">
        <v>231900</v>
      </c>
      <c r="Q628" s="3">
        <v>231900</v>
      </c>
      <c r="R628" s="3">
        <v>1964100</v>
      </c>
      <c r="S628" s="3">
        <v>0</v>
      </c>
      <c r="T628" s="3">
        <v>0</v>
      </c>
      <c r="U628" s="3">
        <v>0</v>
      </c>
      <c r="V628" s="3">
        <v>2005</v>
      </c>
      <c r="W628" s="3">
        <v>106600</v>
      </c>
      <c r="X628" s="3">
        <v>10587200</v>
      </c>
      <c r="Y628" s="3">
        <v>10480600</v>
      </c>
      <c r="Z628" s="3">
        <v>5921500</v>
      </c>
      <c r="AA628" s="3">
        <v>4665700</v>
      </c>
      <c r="AB628" s="3">
        <v>79</v>
      </c>
    </row>
    <row r="629" spans="1:28" x14ac:dyDescent="0.35">
      <c r="A629">
        <v>2022</v>
      </c>
      <c r="B629" t="str">
        <f t="shared" si="83"/>
        <v>37</v>
      </c>
      <c r="C629" t="s">
        <v>249</v>
      </c>
      <c r="D629" t="s">
        <v>33</v>
      </c>
      <c r="E629" t="str">
        <f>"146"</f>
        <v>146</v>
      </c>
      <c r="F629" t="s">
        <v>255</v>
      </c>
      <c r="G629" t="str">
        <f>"001"</f>
        <v>001</v>
      </c>
      <c r="H629" t="str">
        <f>"6223"</f>
        <v>6223</v>
      </c>
      <c r="I629" s="3">
        <v>8908000</v>
      </c>
      <c r="J629" s="3">
        <v>73.510000000000005</v>
      </c>
      <c r="K629" s="3">
        <v>12118100</v>
      </c>
      <c r="L629" s="3">
        <v>0</v>
      </c>
      <c r="M629" s="3">
        <v>12118100</v>
      </c>
      <c r="N629" s="3">
        <v>0</v>
      </c>
      <c r="O629" s="3">
        <v>0</v>
      </c>
      <c r="P629" s="3">
        <v>0</v>
      </c>
      <c r="Q629" s="3">
        <v>0</v>
      </c>
      <c r="R629" s="3">
        <v>-56500</v>
      </c>
      <c r="S629" s="3">
        <v>0</v>
      </c>
      <c r="T629" s="3">
        <v>0</v>
      </c>
      <c r="U629" s="3">
        <v>0</v>
      </c>
      <c r="V629" s="3">
        <v>1997</v>
      </c>
      <c r="W629" s="3">
        <v>447100</v>
      </c>
      <c r="X629" s="3">
        <v>12061600</v>
      </c>
      <c r="Y629" s="3">
        <v>11614500</v>
      </c>
      <c r="Z629" s="3">
        <v>11081600</v>
      </c>
      <c r="AA629" s="3">
        <v>980000</v>
      </c>
      <c r="AB629" s="3">
        <v>9</v>
      </c>
    </row>
    <row r="630" spans="1:28" x14ac:dyDescent="0.35">
      <c r="A630">
        <v>2022</v>
      </c>
      <c r="B630" t="str">
        <f t="shared" si="83"/>
        <v>37</v>
      </c>
      <c r="C630" t="s">
        <v>249</v>
      </c>
      <c r="D630" t="s">
        <v>33</v>
      </c>
      <c r="E630" t="str">
        <f>"151"</f>
        <v>151</v>
      </c>
      <c r="F630" t="s">
        <v>249</v>
      </c>
      <c r="G630" t="str">
        <f>"001"</f>
        <v>001</v>
      </c>
      <c r="H630" t="str">
        <f>"3304"</f>
        <v>3304</v>
      </c>
      <c r="I630" s="3">
        <v>13208600</v>
      </c>
      <c r="J630" s="3">
        <v>77.099999999999994</v>
      </c>
      <c r="K630" s="3">
        <v>17131800</v>
      </c>
      <c r="L630" s="3">
        <v>0</v>
      </c>
      <c r="M630" s="3">
        <v>17131800</v>
      </c>
      <c r="N630" s="3">
        <v>19394100</v>
      </c>
      <c r="O630" s="3">
        <v>19394100</v>
      </c>
      <c r="P630" s="3">
        <v>5471500</v>
      </c>
      <c r="Q630" s="3">
        <v>5471500</v>
      </c>
      <c r="R630" s="3">
        <v>-17800</v>
      </c>
      <c r="S630" s="3">
        <v>0</v>
      </c>
      <c r="T630" s="3">
        <v>0</v>
      </c>
      <c r="U630" s="3">
        <v>791900</v>
      </c>
      <c r="V630" s="3">
        <v>2002</v>
      </c>
      <c r="W630" s="3">
        <v>7361400</v>
      </c>
      <c r="X630" s="3">
        <v>42771500</v>
      </c>
      <c r="Y630" s="3">
        <v>35410100</v>
      </c>
      <c r="Z630" s="3">
        <v>39930200</v>
      </c>
      <c r="AA630" s="3">
        <v>2841300</v>
      </c>
      <c r="AB630" s="3">
        <v>7</v>
      </c>
    </row>
    <row r="631" spans="1:28" x14ac:dyDescent="0.35">
      <c r="A631">
        <v>2022</v>
      </c>
      <c r="B631" t="str">
        <f t="shared" si="83"/>
        <v>37</v>
      </c>
      <c r="C631" t="s">
        <v>249</v>
      </c>
      <c r="D631" t="s">
        <v>33</v>
      </c>
      <c r="E631" t="str">
        <f>"151"</f>
        <v>151</v>
      </c>
      <c r="F631" t="s">
        <v>249</v>
      </c>
      <c r="G631" t="str">
        <f>"002"</f>
        <v>002</v>
      </c>
      <c r="H631" t="str">
        <f>"3304"</f>
        <v>3304</v>
      </c>
      <c r="I631" s="3">
        <v>363800</v>
      </c>
      <c r="J631" s="3">
        <v>77.099999999999994</v>
      </c>
      <c r="K631" s="3">
        <v>471900</v>
      </c>
      <c r="L631" s="3">
        <v>0</v>
      </c>
      <c r="M631" s="3">
        <v>471900</v>
      </c>
      <c r="N631" s="3">
        <v>5559800</v>
      </c>
      <c r="O631" s="3">
        <v>5559800</v>
      </c>
      <c r="P631" s="3">
        <v>1530200</v>
      </c>
      <c r="Q631" s="3">
        <v>1530200</v>
      </c>
      <c r="R631" s="3">
        <v>-400</v>
      </c>
      <c r="S631" s="3">
        <v>0</v>
      </c>
      <c r="T631" s="3">
        <v>0</v>
      </c>
      <c r="U631" s="3">
        <v>0</v>
      </c>
      <c r="V631" s="3">
        <v>2016</v>
      </c>
      <c r="W631" s="3">
        <v>1146800</v>
      </c>
      <c r="X631" s="3">
        <v>7561500</v>
      </c>
      <c r="Y631" s="3">
        <v>6414700</v>
      </c>
      <c r="Z631" s="3">
        <v>7693800</v>
      </c>
      <c r="AA631" s="3">
        <v>-132300</v>
      </c>
      <c r="AB631" s="3">
        <v>-2</v>
      </c>
    </row>
    <row r="632" spans="1:28" x14ac:dyDescent="0.35">
      <c r="A632">
        <v>2022</v>
      </c>
      <c r="B632" t="str">
        <f t="shared" si="83"/>
        <v>37</v>
      </c>
      <c r="C632" t="s">
        <v>249</v>
      </c>
      <c r="D632" t="s">
        <v>33</v>
      </c>
      <c r="E632" t="str">
        <f>"176"</f>
        <v>176</v>
      </c>
      <c r="F632" t="s">
        <v>256</v>
      </c>
      <c r="G632" t="str">
        <f>"002"</f>
        <v>002</v>
      </c>
      <c r="H632" t="str">
        <f>"4970"</f>
        <v>4970</v>
      </c>
      <c r="I632" s="3">
        <v>49404400</v>
      </c>
      <c r="J632" s="3">
        <v>86.89</v>
      </c>
      <c r="K632" s="3">
        <v>56858600</v>
      </c>
      <c r="L632" s="3">
        <v>0</v>
      </c>
      <c r="M632" s="3">
        <v>56858600</v>
      </c>
      <c r="N632" s="3">
        <v>9076800</v>
      </c>
      <c r="O632" s="3">
        <v>9076800</v>
      </c>
      <c r="P632" s="3">
        <v>597500</v>
      </c>
      <c r="Q632" s="3">
        <v>597500</v>
      </c>
      <c r="R632" s="3">
        <v>3960600</v>
      </c>
      <c r="S632" s="3">
        <v>0</v>
      </c>
      <c r="T632" s="3">
        <v>0</v>
      </c>
      <c r="U632" s="3">
        <v>0</v>
      </c>
      <c r="V632" s="3">
        <v>2013</v>
      </c>
      <c r="W632" s="3">
        <v>44864400</v>
      </c>
      <c r="X632" s="3">
        <v>70493500</v>
      </c>
      <c r="Y632" s="3">
        <v>25629100</v>
      </c>
      <c r="Z632" s="3">
        <v>54792500</v>
      </c>
      <c r="AA632" s="3">
        <v>15701000</v>
      </c>
      <c r="AB632" s="3">
        <v>29</v>
      </c>
    </row>
    <row r="633" spans="1:28" x14ac:dyDescent="0.35">
      <c r="A633">
        <v>2022</v>
      </c>
      <c r="B633" t="str">
        <f t="shared" si="83"/>
        <v>37</v>
      </c>
      <c r="C633" t="s">
        <v>249</v>
      </c>
      <c r="D633" t="s">
        <v>33</v>
      </c>
      <c r="E633" t="str">
        <f>"181"</f>
        <v>181</v>
      </c>
      <c r="F633" t="s">
        <v>257</v>
      </c>
      <c r="G633" t="str">
        <f>"002"</f>
        <v>002</v>
      </c>
      <c r="H633" t="str">
        <f>"5467"</f>
        <v>5467</v>
      </c>
      <c r="I633" s="3">
        <v>2762300</v>
      </c>
      <c r="J633" s="3">
        <v>98.69</v>
      </c>
      <c r="K633" s="3">
        <v>2799000</v>
      </c>
      <c r="L633" s="3">
        <v>0</v>
      </c>
      <c r="M633" s="3">
        <v>2799000</v>
      </c>
      <c r="N633" s="3">
        <v>2711100</v>
      </c>
      <c r="O633" s="3">
        <v>2711100</v>
      </c>
      <c r="P633" s="3">
        <v>281700</v>
      </c>
      <c r="Q633" s="3">
        <v>281700</v>
      </c>
      <c r="R633" s="3">
        <v>165800</v>
      </c>
      <c r="S633" s="3">
        <v>0</v>
      </c>
      <c r="T633" s="3">
        <v>0</v>
      </c>
      <c r="U633" s="3">
        <v>2933700</v>
      </c>
      <c r="V633" s="3">
        <v>1999</v>
      </c>
      <c r="W633" s="3">
        <v>2954600</v>
      </c>
      <c r="X633" s="3">
        <v>8891300</v>
      </c>
      <c r="Y633" s="3">
        <v>5936700</v>
      </c>
      <c r="Z633" s="3">
        <v>7636700</v>
      </c>
      <c r="AA633" s="3">
        <v>1254600</v>
      </c>
      <c r="AB633" s="3">
        <v>16</v>
      </c>
    </row>
    <row r="634" spans="1:28" x14ac:dyDescent="0.35">
      <c r="A634">
        <v>2022</v>
      </c>
      <c r="B634" t="str">
        <f t="shared" si="83"/>
        <v>37</v>
      </c>
      <c r="C634" t="s">
        <v>249</v>
      </c>
      <c r="D634" t="s">
        <v>33</v>
      </c>
      <c r="E634" t="str">
        <f>"181"</f>
        <v>181</v>
      </c>
      <c r="F634" t="s">
        <v>257</v>
      </c>
      <c r="G634" t="str">
        <f>"003"</f>
        <v>003</v>
      </c>
      <c r="H634" t="str">
        <f>"5467"</f>
        <v>5467</v>
      </c>
      <c r="I634" s="3">
        <v>3691300</v>
      </c>
      <c r="J634" s="3">
        <v>98.69</v>
      </c>
      <c r="K634" s="3">
        <v>3740300</v>
      </c>
      <c r="L634" s="3">
        <v>0</v>
      </c>
      <c r="M634" s="3">
        <v>3740300</v>
      </c>
      <c r="N634" s="3">
        <v>0</v>
      </c>
      <c r="O634" s="3">
        <v>0</v>
      </c>
      <c r="P634" s="3">
        <v>0</v>
      </c>
      <c r="Q634" s="3">
        <v>0</v>
      </c>
      <c r="R634" s="3">
        <v>53400</v>
      </c>
      <c r="S634" s="3">
        <v>0</v>
      </c>
      <c r="T634" s="3">
        <v>0</v>
      </c>
      <c r="U634" s="3">
        <v>0</v>
      </c>
      <c r="V634" s="3">
        <v>2013</v>
      </c>
      <c r="W634" s="3">
        <v>519500</v>
      </c>
      <c r="X634" s="3">
        <v>3793700</v>
      </c>
      <c r="Y634" s="3">
        <v>3274200</v>
      </c>
      <c r="Z634" s="3">
        <v>2541700</v>
      </c>
      <c r="AA634" s="3">
        <v>1252000</v>
      </c>
      <c r="AB634" s="3">
        <v>49</v>
      </c>
    </row>
    <row r="635" spans="1:28" x14ac:dyDescent="0.35">
      <c r="A635">
        <v>2022</v>
      </c>
      <c r="B635" t="str">
        <f t="shared" si="83"/>
        <v>37</v>
      </c>
      <c r="C635" t="s">
        <v>249</v>
      </c>
      <c r="D635" t="s">
        <v>33</v>
      </c>
      <c r="E635" t="str">
        <f>"181"</f>
        <v>181</v>
      </c>
      <c r="F635" t="s">
        <v>257</v>
      </c>
      <c r="G635" t="str">
        <f>"004"</f>
        <v>004</v>
      </c>
      <c r="H635" t="str">
        <f>"5467"</f>
        <v>5467</v>
      </c>
      <c r="I635" s="3">
        <v>4619300</v>
      </c>
      <c r="J635" s="3">
        <v>98.69</v>
      </c>
      <c r="K635" s="3">
        <v>4680600</v>
      </c>
      <c r="L635" s="3">
        <v>0</v>
      </c>
      <c r="M635" s="3">
        <v>4680600</v>
      </c>
      <c r="N635" s="3">
        <v>2117800</v>
      </c>
      <c r="O635" s="3">
        <v>2117800</v>
      </c>
      <c r="P635" s="3">
        <v>93400</v>
      </c>
      <c r="Q635" s="3">
        <v>93400</v>
      </c>
      <c r="R635" s="3">
        <v>-197200</v>
      </c>
      <c r="S635" s="3">
        <v>0</v>
      </c>
      <c r="T635" s="3">
        <v>0</v>
      </c>
      <c r="U635" s="3">
        <v>0</v>
      </c>
      <c r="V635" s="3">
        <v>2016</v>
      </c>
      <c r="W635" s="3">
        <v>7044900</v>
      </c>
      <c r="X635" s="3">
        <v>6694600</v>
      </c>
      <c r="Y635" s="3">
        <v>-350300</v>
      </c>
      <c r="Z635" s="3">
        <v>6032000</v>
      </c>
      <c r="AA635" s="3">
        <v>662600</v>
      </c>
      <c r="AB635" s="3">
        <v>11</v>
      </c>
    </row>
    <row r="636" spans="1:28" x14ac:dyDescent="0.35">
      <c r="A636">
        <v>2022</v>
      </c>
      <c r="B636" t="str">
        <f t="shared" si="83"/>
        <v>37</v>
      </c>
      <c r="C636" t="s">
        <v>249</v>
      </c>
      <c r="D636" t="s">
        <v>33</v>
      </c>
      <c r="E636" t="str">
        <f>"182"</f>
        <v>182</v>
      </c>
      <c r="F636" t="s">
        <v>258</v>
      </c>
      <c r="G636" t="str">
        <f>"003"</f>
        <v>003</v>
      </c>
      <c r="H636" t="str">
        <f>"5628"</f>
        <v>5628</v>
      </c>
      <c r="I636" s="3">
        <v>5806900</v>
      </c>
      <c r="J636" s="3">
        <v>84.52</v>
      </c>
      <c r="K636" s="3">
        <v>6870400</v>
      </c>
      <c r="L636" s="3">
        <v>0</v>
      </c>
      <c r="M636" s="3">
        <v>6870400</v>
      </c>
      <c r="N636" s="3">
        <v>333500</v>
      </c>
      <c r="O636" s="3">
        <v>333500</v>
      </c>
      <c r="P636" s="3">
        <v>16300</v>
      </c>
      <c r="Q636" s="3">
        <v>16300</v>
      </c>
      <c r="R636" s="3">
        <v>-600</v>
      </c>
      <c r="S636" s="3">
        <v>0</v>
      </c>
      <c r="T636" s="3">
        <v>0</v>
      </c>
      <c r="U636" s="3">
        <v>3703800</v>
      </c>
      <c r="V636" s="3">
        <v>2006</v>
      </c>
      <c r="W636" s="3">
        <v>2413400</v>
      </c>
      <c r="X636" s="3">
        <v>10923400</v>
      </c>
      <c r="Y636" s="3">
        <v>8510000</v>
      </c>
      <c r="Z636" s="3">
        <v>9453700</v>
      </c>
      <c r="AA636" s="3">
        <v>1469700</v>
      </c>
      <c r="AB636" s="3">
        <v>16</v>
      </c>
    </row>
    <row r="637" spans="1:28" x14ac:dyDescent="0.35">
      <c r="A637">
        <v>2022</v>
      </c>
      <c r="B637" t="str">
        <f t="shared" si="83"/>
        <v>37</v>
      </c>
      <c r="C637" t="s">
        <v>249</v>
      </c>
      <c r="D637" t="s">
        <v>33</v>
      </c>
      <c r="E637" t="str">
        <f>"182"</f>
        <v>182</v>
      </c>
      <c r="F637" t="s">
        <v>258</v>
      </c>
      <c r="G637" t="str">
        <f>"004"</f>
        <v>004</v>
      </c>
      <c r="H637" t="str">
        <f>"5628"</f>
        <v>5628</v>
      </c>
      <c r="I637" s="3">
        <v>20327500</v>
      </c>
      <c r="J637" s="3">
        <v>84.52</v>
      </c>
      <c r="K637" s="3">
        <v>24050500</v>
      </c>
      <c r="L637" s="3">
        <v>0</v>
      </c>
      <c r="M637" s="3">
        <v>24050500</v>
      </c>
      <c r="N637" s="3">
        <v>4030100</v>
      </c>
      <c r="O637" s="3">
        <v>4030100</v>
      </c>
      <c r="P637" s="3">
        <v>327800</v>
      </c>
      <c r="Q637" s="3">
        <v>327800</v>
      </c>
      <c r="R637" s="3">
        <v>-1900</v>
      </c>
      <c r="S637" s="3">
        <v>0</v>
      </c>
      <c r="T637" s="3">
        <v>0</v>
      </c>
      <c r="U637" s="3">
        <v>0</v>
      </c>
      <c r="V637" s="3">
        <v>2015</v>
      </c>
      <c r="W637" s="3">
        <v>9055500</v>
      </c>
      <c r="X637" s="3">
        <v>28406500</v>
      </c>
      <c r="Y637" s="3">
        <v>19351000</v>
      </c>
      <c r="Z637" s="3">
        <v>23225600</v>
      </c>
      <c r="AA637" s="3">
        <v>5180900</v>
      </c>
      <c r="AB637" s="3">
        <v>22</v>
      </c>
    </row>
    <row r="638" spans="1:28" x14ac:dyDescent="0.35">
      <c r="A638">
        <v>2022</v>
      </c>
      <c r="B638" t="str">
        <f t="shared" si="83"/>
        <v>37</v>
      </c>
      <c r="C638" t="s">
        <v>249</v>
      </c>
      <c r="D638" t="s">
        <v>33</v>
      </c>
      <c r="E638" t="str">
        <f>"186"</f>
        <v>186</v>
      </c>
      <c r="F638" t="s">
        <v>92</v>
      </c>
      <c r="G638" t="str">
        <f>"001"</f>
        <v>001</v>
      </c>
      <c r="H638" t="str">
        <f>"1162"</f>
        <v>1162</v>
      </c>
      <c r="I638" s="3">
        <v>0</v>
      </c>
      <c r="J638" s="3">
        <v>92.52</v>
      </c>
      <c r="K638" s="3">
        <v>0</v>
      </c>
      <c r="L638" s="3">
        <v>0</v>
      </c>
      <c r="M638" s="3">
        <v>0</v>
      </c>
      <c r="N638" s="3">
        <v>317300</v>
      </c>
      <c r="O638" s="3">
        <v>317300</v>
      </c>
      <c r="P638" s="3">
        <v>20700</v>
      </c>
      <c r="Q638" s="3">
        <v>20700</v>
      </c>
      <c r="R638" s="3">
        <v>0</v>
      </c>
      <c r="S638" s="3">
        <v>0</v>
      </c>
      <c r="T638" s="3">
        <v>0</v>
      </c>
      <c r="U638" s="3">
        <v>0</v>
      </c>
      <c r="V638" s="3">
        <v>1998</v>
      </c>
      <c r="W638" s="3">
        <v>196000</v>
      </c>
      <c r="X638" s="3">
        <v>338000</v>
      </c>
      <c r="Y638" s="3">
        <v>142000</v>
      </c>
      <c r="Z638" s="3">
        <v>294500</v>
      </c>
      <c r="AA638" s="3">
        <v>43500</v>
      </c>
      <c r="AB638" s="3">
        <v>15</v>
      </c>
    </row>
    <row r="639" spans="1:28" x14ac:dyDescent="0.35">
      <c r="A639">
        <v>2022</v>
      </c>
      <c r="B639" t="str">
        <f t="shared" si="83"/>
        <v>37</v>
      </c>
      <c r="C639" t="s">
        <v>249</v>
      </c>
      <c r="D639" t="s">
        <v>33</v>
      </c>
      <c r="E639" t="str">
        <f>"192"</f>
        <v>192</v>
      </c>
      <c r="F639" t="s">
        <v>259</v>
      </c>
      <c r="G639" t="str">
        <f>"001"</f>
        <v>001</v>
      </c>
      <c r="H639" t="str">
        <f>"4970"</f>
        <v>4970</v>
      </c>
      <c r="I639" s="3">
        <v>224399100</v>
      </c>
      <c r="J639" s="3">
        <v>77.33</v>
      </c>
      <c r="K639" s="3">
        <v>290183800</v>
      </c>
      <c r="L639" s="3">
        <v>0</v>
      </c>
      <c r="M639" s="3">
        <v>290183800</v>
      </c>
      <c r="N639" s="3">
        <v>67268300</v>
      </c>
      <c r="O639" s="3">
        <v>67268300</v>
      </c>
      <c r="P639" s="3">
        <v>2796300</v>
      </c>
      <c r="Q639" s="3">
        <v>2796300</v>
      </c>
      <c r="R639" s="3">
        <v>-95200</v>
      </c>
      <c r="S639" s="3">
        <v>0</v>
      </c>
      <c r="T639" s="3">
        <v>0</v>
      </c>
      <c r="U639" s="3">
        <v>0</v>
      </c>
      <c r="V639" s="3">
        <v>1998</v>
      </c>
      <c r="W639" s="3">
        <v>38651600</v>
      </c>
      <c r="X639" s="3">
        <v>360153200</v>
      </c>
      <c r="Y639" s="3">
        <v>321501600</v>
      </c>
      <c r="Z639" s="3">
        <v>333914100</v>
      </c>
      <c r="AA639" s="3">
        <v>26239100</v>
      </c>
      <c r="AB639" s="3">
        <v>8</v>
      </c>
    </row>
    <row r="640" spans="1:28" x14ac:dyDescent="0.35">
      <c r="A640">
        <v>2022</v>
      </c>
      <c r="B640" t="str">
        <f t="shared" si="83"/>
        <v>37</v>
      </c>
      <c r="C640" t="s">
        <v>249</v>
      </c>
      <c r="D640" t="s">
        <v>33</v>
      </c>
      <c r="E640" t="str">
        <f>"192"</f>
        <v>192</v>
      </c>
      <c r="F640" t="s">
        <v>259</v>
      </c>
      <c r="G640" t="str">
        <f>"002"</f>
        <v>002</v>
      </c>
      <c r="H640" t="str">
        <f>"4970"</f>
        <v>4970</v>
      </c>
      <c r="I640" s="3">
        <v>52470900</v>
      </c>
      <c r="J640" s="3">
        <v>77.33</v>
      </c>
      <c r="K640" s="3">
        <v>67853200</v>
      </c>
      <c r="L640" s="3">
        <v>0</v>
      </c>
      <c r="M640" s="3">
        <v>67853200</v>
      </c>
      <c r="N640" s="3">
        <v>363900</v>
      </c>
      <c r="O640" s="3">
        <v>363900</v>
      </c>
      <c r="P640" s="3">
        <v>5000</v>
      </c>
      <c r="Q640" s="3">
        <v>5000</v>
      </c>
      <c r="R640" s="3">
        <v>11100</v>
      </c>
      <c r="S640" s="3">
        <v>0</v>
      </c>
      <c r="T640" s="3">
        <v>0</v>
      </c>
      <c r="U640" s="3">
        <v>0</v>
      </c>
      <c r="V640" s="3">
        <v>2004</v>
      </c>
      <c r="W640" s="3">
        <v>34485600</v>
      </c>
      <c r="X640" s="3">
        <v>68233200</v>
      </c>
      <c r="Y640" s="3">
        <v>33747600</v>
      </c>
      <c r="Z640" s="3">
        <v>63928400</v>
      </c>
      <c r="AA640" s="3">
        <v>4304800</v>
      </c>
      <c r="AB640" s="3">
        <v>7</v>
      </c>
    </row>
    <row r="641" spans="1:28" x14ac:dyDescent="0.35">
      <c r="A641">
        <v>2022</v>
      </c>
      <c r="B641" t="str">
        <f t="shared" si="83"/>
        <v>37</v>
      </c>
      <c r="C641" t="s">
        <v>249</v>
      </c>
      <c r="D641" t="s">
        <v>35</v>
      </c>
      <c r="E641" t="str">
        <f>"201"</f>
        <v>201</v>
      </c>
      <c r="F641" t="s">
        <v>94</v>
      </c>
      <c r="G641" t="str">
        <f>"005"</f>
        <v>005</v>
      </c>
      <c r="H641" t="str">
        <f>"0007"</f>
        <v>0007</v>
      </c>
      <c r="I641" s="3">
        <v>3045800</v>
      </c>
      <c r="J641" s="3">
        <v>76.17</v>
      </c>
      <c r="K641" s="3">
        <v>3998700</v>
      </c>
      <c r="L641" s="3">
        <v>0</v>
      </c>
      <c r="M641" s="3">
        <v>3998700</v>
      </c>
      <c r="N641" s="3">
        <v>6885400</v>
      </c>
      <c r="O641" s="3">
        <v>6885400</v>
      </c>
      <c r="P641" s="3">
        <v>277500</v>
      </c>
      <c r="Q641" s="3">
        <v>277500</v>
      </c>
      <c r="R641" s="3">
        <v>31500</v>
      </c>
      <c r="S641" s="3">
        <v>0</v>
      </c>
      <c r="T641" s="3">
        <v>0</v>
      </c>
      <c r="U641" s="3">
        <v>3121600</v>
      </c>
      <c r="V641" s="3">
        <v>2008</v>
      </c>
      <c r="W641" s="3">
        <v>11954100</v>
      </c>
      <c r="X641" s="3">
        <v>14314700</v>
      </c>
      <c r="Y641" s="3">
        <v>2360600</v>
      </c>
      <c r="Z641" s="3">
        <v>12013000</v>
      </c>
      <c r="AA641" s="3">
        <v>2301700</v>
      </c>
      <c r="AB641" s="3">
        <v>19</v>
      </c>
    </row>
    <row r="642" spans="1:28" x14ac:dyDescent="0.35">
      <c r="A642">
        <v>2022</v>
      </c>
      <c r="B642" t="str">
        <f t="shared" si="83"/>
        <v>37</v>
      </c>
      <c r="C642" t="s">
        <v>249</v>
      </c>
      <c r="D642" t="s">
        <v>35</v>
      </c>
      <c r="E642" t="str">
        <f>"201"</f>
        <v>201</v>
      </c>
      <c r="F642" t="s">
        <v>94</v>
      </c>
      <c r="G642" t="str">
        <f>"006"</f>
        <v>006</v>
      </c>
      <c r="H642" t="str">
        <f>"0007"</f>
        <v>0007</v>
      </c>
      <c r="I642" s="3">
        <v>2535800</v>
      </c>
      <c r="J642" s="3">
        <v>76.17</v>
      </c>
      <c r="K642" s="3">
        <v>3329100</v>
      </c>
      <c r="L642" s="3">
        <v>0</v>
      </c>
      <c r="M642" s="3">
        <v>3329100</v>
      </c>
      <c r="N642" s="3">
        <v>18081600</v>
      </c>
      <c r="O642" s="3">
        <v>18081600</v>
      </c>
      <c r="P642" s="3">
        <v>1100800</v>
      </c>
      <c r="Q642" s="3">
        <v>1100800</v>
      </c>
      <c r="R642" s="3">
        <v>27300</v>
      </c>
      <c r="S642" s="3">
        <v>0</v>
      </c>
      <c r="T642" s="3">
        <v>0</v>
      </c>
      <c r="U642" s="3">
        <v>0</v>
      </c>
      <c r="V642" s="3">
        <v>2016</v>
      </c>
      <c r="W642" s="3">
        <v>4955100</v>
      </c>
      <c r="X642" s="3">
        <v>22538800</v>
      </c>
      <c r="Y642" s="3">
        <v>17583700</v>
      </c>
      <c r="Z642" s="3">
        <v>21507200</v>
      </c>
      <c r="AA642" s="3">
        <v>1031600</v>
      </c>
      <c r="AB642" s="3">
        <v>5</v>
      </c>
    </row>
    <row r="643" spans="1:28" x14ac:dyDescent="0.35">
      <c r="A643">
        <v>2022</v>
      </c>
      <c r="B643" t="str">
        <f t="shared" si="83"/>
        <v>37</v>
      </c>
      <c r="C643" t="s">
        <v>249</v>
      </c>
      <c r="D643" t="s">
        <v>35</v>
      </c>
      <c r="E643" t="str">
        <f>"201"</f>
        <v>201</v>
      </c>
      <c r="F643" t="s">
        <v>94</v>
      </c>
      <c r="G643" t="str">
        <f>"006"</f>
        <v>006</v>
      </c>
      <c r="H643" t="str">
        <f>"1162"</f>
        <v>1162</v>
      </c>
      <c r="I643" s="3">
        <v>432200</v>
      </c>
      <c r="J643" s="3">
        <v>76.17</v>
      </c>
      <c r="K643" s="3">
        <v>567400</v>
      </c>
      <c r="L643" s="3">
        <v>0</v>
      </c>
      <c r="M643" s="3">
        <v>567400</v>
      </c>
      <c r="N643" s="3">
        <v>0</v>
      </c>
      <c r="O643" s="3">
        <v>0</v>
      </c>
      <c r="P643" s="3">
        <v>0</v>
      </c>
      <c r="Q643" s="3">
        <v>0</v>
      </c>
      <c r="R643" s="3">
        <v>4700</v>
      </c>
      <c r="S643" s="3">
        <v>0</v>
      </c>
      <c r="T643" s="3">
        <v>0</v>
      </c>
      <c r="U643" s="3">
        <v>0</v>
      </c>
      <c r="V643" s="3">
        <v>2016</v>
      </c>
      <c r="W643" s="3">
        <v>968000</v>
      </c>
      <c r="X643" s="3">
        <v>572100</v>
      </c>
      <c r="Y643" s="3">
        <v>-395900</v>
      </c>
      <c r="Z643" s="3">
        <v>617100</v>
      </c>
      <c r="AA643" s="3">
        <v>-45000</v>
      </c>
      <c r="AB643" s="3">
        <v>-7</v>
      </c>
    </row>
    <row r="644" spans="1:28" x14ac:dyDescent="0.35">
      <c r="A644">
        <v>2022</v>
      </c>
      <c r="B644" t="str">
        <f t="shared" si="83"/>
        <v>37</v>
      </c>
      <c r="C644" t="s">
        <v>249</v>
      </c>
      <c r="D644" t="s">
        <v>35</v>
      </c>
      <c r="E644" t="str">
        <f>"211"</f>
        <v>211</v>
      </c>
      <c r="F644" t="s">
        <v>260</v>
      </c>
      <c r="G644" t="str">
        <f>"003"</f>
        <v>003</v>
      </c>
      <c r="H644" t="str">
        <f>"1162"</f>
        <v>1162</v>
      </c>
      <c r="I644" s="3">
        <v>1006900</v>
      </c>
      <c r="J644" s="3">
        <v>73.66</v>
      </c>
      <c r="K644" s="3">
        <v>1367000</v>
      </c>
      <c r="L644" s="3">
        <v>0</v>
      </c>
      <c r="M644" s="3">
        <v>1367000</v>
      </c>
      <c r="N644" s="3">
        <v>0</v>
      </c>
      <c r="O644" s="3">
        <v>0</v>
      </c>
      <c r="P644" s="3">
        <v>0</v>
      </c>
      <c r="Q644" s="3">
        <v>0</v>
      </c>
      <c r="R644" s="3">
        <v>0</v>
      </c>
      <c r="S644" s="3">
        <v>0</v>
      </c>
      <c r="T644" s="3">
        <v>0</v>
      </c>
      <c r="U644" s="3">
        <v>0</v>
      </c>
      <c r="V644" s="3">
        <v>2021</v>
      </c>
      <c r="W644" s="3">
        <v>1335200</v>
      </c>
      <c r="X644" s="3">
        <v>1367000</v>
      </c>
      <c r="Y644" s="3">
        <v>31800</v>
      </c>
      <c r="Z644" s="3">
        <v>1335200</v>
      </c>
      <c r="AA644" s="3">
        <v>31800</v>
      </c>
      <c r="AB644" s="3">
        <v>2</v>
      </c>
    </row>
    <row r="645" spans="1:28" x14ac:dyDescent="0.35">
      <c r="A645">
        <v>2022</v>
      </c>
      <c r="B645" t="str">
        <f t="shared" si="83"/>
        <v>37</v>
      </c>
      <c r="C645" t="s">
        <v>249</v>
      </c>
      <c r="D645" t="s">
        <v>35</v>
      </c>
      <c r="E645" t="str">
        <f>"251"</f>
        <v>251</v>
      </c>
      <c r="F645" t="s">
        <v>261</v>
      </c>
      <c r="G645" t="str">
        <f>"002"</f>
        <v>002</v>
      </c>
      <c r="H645" t="str">
        <f>"3787"</f>
        <v>3787</v>
      </c>
      <c r="I645" s="3">
        <v>22386900</v>
      </c>
      <c r="J645" s="3">
        <v>100</v>
      </c>
      <c r="K645" s="3">
        <v>22386900</v>
      </c>
      <c r="L645" s="3">
        <v>19485600</v>
      </c>
      <c r="M645" s="3">
        <v>19485600</v>
      </c>
      <c r="N645" s="3">
        <v>13262800</v>
      </c>
      <c r="O645" s="3">
        <v>13262800</v>
      </c>
      <c r="P645" s="3">
        <v>1545300</v>
      </c>
      <c r="Q645" s="3">
        <v>1545300</v>
      </c>
      <c r="R645" s="3">
        <v>-218900</v>
      </c>
      <c r="S645" s="3">
        <v>0</v>
      </c>
      <c r="T645" s="3">
        <v>0</v>
      </c>
      <c r="U645" s="3">
        <v>0</v>
      </c>
      <c r="V645" s="3">
        <v>2006</v>
      </c>
      <c r="W645" s="3">
        <v>12930700</v>
      </c>
      <c r="X645" s="3">
        <v>34074800</v>
      </c>
      <c r="Y645" s="3">
        <v>21144100</v>
      </c>
      <c r="Z645" s="3">
        <v>33511800</v>
      </c>
      <c r="AA645" s="3">
        <v>563000</v>
      </c>
      <c r="AB645" s="3">
        <v>2</v>
      </c>
    </row>
    <row r="646" spans="1:28" x14ac:dyDescent="0.35">
      <c r="A646">
        <v>2022</v>
      </c>
      <c r="B646" t="str">
        <f t="shared" si="83"/>
        <v>37</v>
      </c>
      <c r="C646" t="s">
        <v>249</v>
      </c>
      <c r="D646" t="s">
        <v>35</v>
      </c>
      <c r="E646" t="str">
        <f>"251"</f>
        <v>251</v>
      </c>
      <c r="F646" t="s">
        <v>261</v>
      </c>
      <c r="G646" t="str">
        <f>"003"</f>
        <v>003</v>
      </c>
      <c r="H646" t="str">
        <f>"3787"</f>
        <v>3787</v>
      </c>
      <c r="I646" s="3">
        <v>13777500</v>
      </c>
      <c r="J646" s="3">
        <v>100</v>
      </c>
      <c r="K646" s="3">
        <v>13777500</v>
      </c>
      <c r="L646" s="3">
        <v>13794200</v>
      </c>
      <c r="M646" s="3">
        <v>13794200</v>
      </c>
      <c r="N646" s="3">
        <v>95100</v>
      </c>
      <c r="O646" s="3">
        <v>95100</v>
      </c>
      <c r="P646" s="3">
        <v>1100</v>
      </c>
      <c r="Q646" s="3">
        <v>1100</v>
      </c>
      <c r="R646" s="3">
        <v>-130100</v>
      </c>
      <c r="S646" s="3">
        <v>0</v>
      </c>
      <c r="T646" s="3">
        <v>0</v>
      </c>
      <c r="U646" s="3">
        <v>0</v>
      </c>
      <c r="V646" s="3">
        <v>2013</v>
      </c>
      <c r="W646" s="3">
        <v>8228900</v>
      </c>
      <c r="X646" s="3">
        <v>13760300</v>
      </c>
      <c r="Y646" s="3">
        <v>5531400</v>
      </c>
      <c r="Z646" s="3">
        <v>13157400</v>
      </c>
      <c r="AA646" s="3">
        <v>602900</v>
      </c>
      <c r="AB646" s="3">
        <v>5</v>
      </c>
    </row>
    <row r="647" spans="1:28" x14ac:dyDescent="0.35">
      <c r="A647">
        <v>2022</v>
      </c>
      <c r="B647" t="str">
        <f t="shared" si="83"/>
        <v>37</v>
      </c>
      <c r="C647" t="s">
        <v>249</v>
      </c>
      <c r="D647" t="s">
        <v>35</v>
      </c>
      <c r="E647" t="str">
        <f>"281"</f>
        <v>281</v>
      </c>
      <c r="F647" t="s">
        <v>262</v>
      </c>
      <c r="G647" t="str">
        <f>"002"</f>
        <v>002</v>
      </c>
      <c r="H647" t="str">
        <f>"4970"</f>
        <v>4970</v>
      </c>
      <c r="I647" s="3">
        <v>17671600</v>
      </c>
      <c r="J647" s="3">
        <v>88.2</v>
      </c>
      <c r="K647" s="3">
        <v>20035800</v>
      </c>
      <c r="L647" s="3">
        <v>0</v>
      </c>
      <c r="M647" s="3">
        <v>20035800</v>
      </c>
      <c r="N647" s="3">
        <v>0</v>
      </c>
      <c r="O647" s="3">
        <v>0</v>
      </c>
      <c r="P647" s="3">
        <v>0</v>
      </c>
      <c r="Q647" s="3">
        <v>0</v>
      </c>
      <c r="R647" s="3">
        <v>-26100</v>
      </c>
      <c r="S647" s="3">
        <v>0</v>
      </c>
      <c r="T647" s="3">
        <v>0</v>
      </c>
      <c r="U647" s="3">
        <v>575900</v>
      </c>
      <c r="V647" s="3">
        <v>1994</v>
      </c>
      <c r="W647" s="3">
        <v>3273500</v>
      </c>
      <c r="X647" s="3">
        <v>20585600</v>
      </c>
      <c r="Y647" s="3">
        <v>17312100</v>
      </c>
      <c r="Z647" s="3">
        <v>21758600</v>
      </c>
      <c r="AA647" s="3">
        <v>-1173000</v>
      </c>
      <c r="AB647" s="3">
        <v>-5</v>
      </c>
    </row>
    <row r="648" spans="1:28" x14ac:dyDescent="0.35">
      <c r="A648">
        <v>2022</v>
      </c>
      <c r="B648" t="str">
        <f t="shared" si="83"/>
        <v>37</v>
      </c>
      <c r="C648" t="s">
        <v>249</v>
      </c>
      <c r="D648" t="s">
        <v>35</v>
      </c>
      <c r="E648" t="str">
        <f>"281"</f>
        <v>281</v>
      </c>
      <c r="F648" t="s">
        <v>262</v>
      </c>
      <c r="G648" t="str">
        <f>"003"</f>
        <v>003</v>
      </c>
      <c r="H648" t="str">
        <f>"4970"</f>
        <v>4970</v>
      </c>
      <c r="I648" s="3">
        <v>12531800</v>
      </c>
      <c r="J648" s="3">
        <v>88.2</v>
      </c>
      <c r="K648" s="3">
        <v>14208400</v>
      </c>
      <c r="L648" s="3">
        <v>0</v>
      </c>
      <c r="M648" s="3">
        <v>14208400</v>
      </c>
      <c r="N648" s="3">
        <v>0</v>
      </c>
      <c r="O648" s="3">
        <v>0</v>
      </c>
      <c r="P648" s="3">
        <v>0</v>
      </c>
      <c r="Q648" s="3">
        <v>0</v>
      </c>
      <c r="R648" s="3">
        <v>-17200</v>
      </c>
      <c r="S648" s="3">
        <v>0</v>
      </c>
      <c r="T648" s="3">
        <v>0</v>
      </c>
      <c r="U648" s="3">
        <v>0</v>
      </c>
      <c r="V648" s="3">
        <v>1997</v>
      </c>
      <c r="W648" s="3">
        <v>4748500</v>
      </c>
      <c r="X648" s="3">
        <v>14191200</v>
      </c>
      <c r="Y648" s="3">
        <v>9442700</v>
      </c>
      <c r="Z648" s="3">
        <v>14282600</v>
      </c>
      <c r="AA648" s="3">
        <v>-91400</v>
      </c>
      <c r="AB648" s="3">
        <v>-1</v>
      </c>
    </row>
    <row r="649" spans="1:28" x14ac:dyDescent="0.35">
      <c r="A649">
        <v>2022</v>
      </c>
      <c r="B649" t="str">
        <f t="shared" si="83"/>
        <v>37</v>
      </c>
      <c r="C649" t="s">
        <v>249</v>
      </c>
      <c r="D649" t="s">
        <v>35</v>
      </c>
      <c r="E649" t="str">
        <f>"281"</f>
        <v>281</v>
      </c>
      <c r="F649" t="s">
        <v>262</v>
      </c>
      <c r="G649" t="str">
        <f>"004"</f>
        <v>004</v>
      </c>
      <c r="H649" t="str">
        <f>"4970"</f>
        <v>4970</v>
      </c>
      <c r="I649" s="3">
        <v>5475500</v>
      </c>
      <c r="J649" s="3">
        <v>88.2</v>
      </c>
      <c r="K649" s="3">
        <v>6208000</v>
      </c>
      <c r="L649" s="3">
        <v>0</v>
      </c>
      <c r="M649" s="3">
        <v>6208000</v>
      </c>
      <c r="N649" s="3">
        <v>9541700</v>
      </c>
      <c r="O649" s="3">
        <v>9541700</v>
      </c>
      <c r="P649" s="3">
        <v>760000</v>
      </c>
      <c r="Q649" s="3">
        <v>760000</v>
      </c>
      <c r="R649" s="3">
        <v>-2900</v>
      </c>
      <c r="S649" s="3">
        <v>0</v>
      </c>
      <c r="T649" s="3">
        <v>0</v>
      </c>
      <c r="U649" s="3">
        <v>0</v>
      </c>
      <c r="V649" s="3">
        <v>2017</v>
      </c>
      <c r="W649" s="3">
        <v>5682100</v>
      </c>
      <c r="X649" s="3">
        <v>16506800</v>
      </c>
      <c r="Y649" s="3">
        <v>10824700</v>
      </c>
      <c r="Z649" s="3">
        <v>12416100</v>
      </c>
      <c r="AA649" s="3">
        <v>4090700</v>
      </c>
      <c r="AB649" s="3">
        <v>33</v>
      </c>
    </row>
    <row r="650" spans="1:28" x14ac:dyDescent="0.35">
      <c r="A650">
        <v>2022</v>
      </c>
      <c r="B650" t="str">
        <f t="shared" si="83"/>
        <v>37</v>
      </c>
      <c r="C650" t="s">
        <v>249</v>
      </c>
      <c r="D650" t="s">
        <v>35</v>
      </c>
      <c r="E650" t="str">
        <f>"281"</f>
        <v>281</v>
      </c>
      <c r="F650" t="s">
        <v>262</v>
      </c>
      <c r="G650" t="str">
        <f>"005"</f>
        <v>005</v>
      </c>
      <c r="H650" t="str">
        <f>"4970"</f>
        <v>4970</v>
      </c>
      <c r="I650" s="3">
        <v>634700</v>
      </c>
      <c r="J650" s="3">
        <v>88.2</v>
      </c>
      <c r="K650" s="3">
        <v>719600</v>
      </c>
      <c r="L650" s="3">
        <v>0</v>
      </c>
      <c r="M650" s="3">
        <v>719600</v>
      </c>
      <c r="N650" s="3">
        <v>272400</v>
      </c>
      <c r="O650" s="3">
        <v>272400</v>
      </c>
      <c r="P650" s="3">
        <v>9500</v>
      </c>
      <c r="Q650" s="3">
        <v>9500</v>
      </c>
      <c r="R650" s="3">
        <v>0</v>
      </c>
      <c r="S650" s="3">
        <v>0</v>
      </c>
      <c r="T650" s="3">
        <v>0</v>
      </c>
      <c r="U650" s="3">
        <v>0</v>
      </c>
      <c r="V650" s="3">
        <v>2021</v>
      </c>
      <c r="W650" s="3">
        <v>935200</v>
      </c>
      <c r="X650" s="3">
        <v>1001500</v>
      </c>
      <c r="Y650" s="3">
        <v>66300</v>
      </c>
      <c r="Z650" s="3">
        <v>935200</v>
      </c>
      <c r="AA650" s="3">
        <v>66300</v>
      </c>
      <c r="AB650" s="3">
        <v>7</v>
      </c>
    </row>
    <row r="651" spans="1:28" x14ac:dyDescent="0.35">
      <c r="A651">
        <v>2022</v>
      </c>
      <c r="B651" t="str">
        <f t="shared" si="83"/>
        <v>37</v>
      </c>
      <c r="C651" t="s">
        <v>249</v>
      </c>
      <c r="D651" t="s">
        <v>35</v>
      </c>
      <c r="E651" t="str">
        <f t="shared" ref="E651:E658" si="84">"291"</f>
        <v>291</v>
      </c>
      <c r="F651" t="s">
        <v>263</v>
      </c>
      <c r="G651" t="str">
        <f>"003"</f>
        <v>003</v>
      </c>
      <c r="H651" t="str">
        <f t="shared" ref="H651:H658" si="85">"6223"</f>
        <v>6223</v>
      </c>
      <c r="I651" s="3">
        <v>132857500</v>
      </c>
      <c r="J651" s="3">
        <v>88.78</v>
      </c>
      <c r="K651" s="3">
        <v>149648000</v>
      </c>
      <c r="L651" s="3">
        <v>0</v>
      </c>
      <c r="M651" s="3">
        <v>149648000</v>
      </c>
      <c r="N651" s="3">
        <v>1149400</v>
      </c>
      <c r="O651" s="3">
        <v>1149400</v>
      </c>
      <c r="P651" s="3">
        <v>43300</v>
      </c>
      <c r="Q651" s="3">
        <v>43300</v>
      </c>
      <c r="R651" s="3">
        <v>548600</v>
      </c>
      <c r="S651" s="3">
        <v>0</v>
      </c>
      <c r="T651" s="3">
        <v>0</v>
      </c>
      <c r="U651" s="3">
        <v>22261600</v>
      </c>
      <c r="V651" s="3">
        <v>1994</v>
      </c>
      <c r="W651" s="3">
        <v>42818700</v>
      </c>
      <c r="X651" s="3">
        <v>173650900</v>
      </c>
      <c r="Y651" s="3">
        <v>130832200</v>
      </c>
      <c r="Z651" s="3">
        <v>154854600</v>
      </c>
      <c r="AA651" s="3">
        <v>18796300</v>
      </c>
      <c r="AB651" s="3">
        <v>12</v>
      </c>
    </row>
    <row r="652" spans="1:28" x14ac:dyDescent="0.35">
      <c r="A652">
        <v>2022</v>
      </c>
      <c r="B652" t="str">
        <f t="shared" si="83"/>
        <v>37</v>
      </c>
      <c r="C652" t="s">
        <v>249</v>
      </c>
      <c r="D652" t="s">
        <v>35</v>
      </c>
      <c r="E652" t="str">
        <f t="shared" si="84"/>
        <v>291</v>
      </c>
      <c r="F652" t="s">
        <v>263</v>
      </c>
      <c r="G652" t="str">
        <f>"006"</f>
        <v>006</v>
      </c>
      <c r="H652" t="str">
        <f t="shared" si="85"/>
        <v>6223</v>
      </c>
      <c r="I652" s="3">
        <v>203826500</v>
      </c>
      <c r="J652" s="3">
        <v>88.78</v>
      </c>
      <c r="K652" s="3">
        <v>229586100</v>
      </c>
      <c r="L652" s="3">
        <v>0</v>
      </c>
      <c r="M652" s="3">
        <v>229586100</v>
      </c>
      <c r="N652" s="3">
        <v>1606400</v>
      </c>
      <c r="O652" s="3">
        <v>1606400</v>
      </c>
      <c r="P652" s="3">
        <v>90600</v>
      </c>
      <c r="Q652" s="3">
        <v>90600</v>
      </c>
      <c r="R652" s="3">
        <v>899400</v>
      </c>
      <c r="S652" s="3">
        <v>0</v>
      </c>
      <c r="T652" s="3">
        <v>0</v>
      </c>
      <c r="U652" s="3">
        <v>2295300</v>
      </c>
      <c r="V652" s="3">
        <v>2005</v>
      </c>
      <c r="W652" s="3">
        <v>80579300</v>
      </c>
      <c r="X652" s="3">
        <v>234477800</v>
      </c>
      <c r="Y652" s="3">
        <v>153898500</v>
      </c>
      <c r="Z652" s="3">
        <v>222689800</v>
      </c>
      <c r="AA652" s="3">
        <v>11788000</v>
      </c>
      <c r="AB652" s="3">
        <v>5</v>
      </c>
    </row>
    <row r="653" spans="1:28" x14ac:dyDescent="0.35">
      <c r="A653">
        <v>2022</v>
      </c>
      <c r="B653" t="str">
        <f t="shared" si="83"/>
        <v>37</v>
      </c>
      <c r="C653" t="s">
        <v>249</v>
      </c>
      <c r="D653" t="s">
        <v>35</v>
      </c>
      <c r="E653" t="str">
        <f t="shared" si="84"/>
        <v>291</v>
      </c>
      <c r="F653" t="s">
        <v>263</v>
      </c>
      <c r="G653" t="str">
        <f>"007"</f>
        <v>007</v>
      </c>
      <c r="H653" t="str">
        <f t="shared" si="85"/>
        <v>6223</v>
      </c>
      <c r="I653" s="3">
        <v>89352900</v>
      </c>
      <c r="J653" s="3">
        <v>88.78</v>
      </c>
      <c r="K653" s="3">
        <v>100645300</v>
      </c>
      <c r="L653" s="3">
        <v>0</v>
      </c>
      <c r="M653" s="3">
        <v>100645300</v>
      </c>
      <c r="N653" s="3">
        <v>0</v>
      </c>
      <c r="O653" s="3">
        <v>0</v>
      </c>
      <c r="P653" s="3">
        <v>0</v>
      </c>
      <c r="Q653" s="3">
        <v>0</v>
      </c>
      <c r="R653" s="3">
        <v>355400</v>
      </c>
      <c r="S653" s="3">
        <v>0</v>
      </c>
      <c r="T653" s="3">
        <v>0</v>
      </c>
      <c r="U653" s="3">
        <v>0</v>
      </c>
      <c r="V653" s="3">
        <v>2006</v>
      </c>
      <c r="W653" s="3">
        <v>29441600</v>
      </c>
      <c r="X653" s="3">
        <v>101000700</v>
      </c>
      <c r="Y653" s="3">
        <v>71559100</v>
      </c>
      <c r="Z653" s="3">
        <v>86717600</v>
      </c>
      <c r="AA653" s="3">
        <v>14283100</v>
      </c>
      <c r="AB653" s="3">
        <v>16</v>
      </c>
    </row>
    <row r="654" spans="1:28" x14ac:dyDescent="0.35">
      <c r="A654">
        <v>2022</v>
      </c>
      <c r="B654" t="str">
        <f t="shared" si="83"/>
        <v>37</v>
      </c>
      <c r="C654" t="s">
        <v>249</v>
      </c>
      <c r="D654" t="s">
        <v>35</v>
      </c>
      <c r="E654" t="str">
        <f t="shared" si="84"/>
        <v>291</v>
      </c>
      <c r="F654" t="s">
        <v>263</v>
      </c>
      <c r="G654" t="str">
        <f>"008"</f>
        <v>008</v>
      </c>
      <c r="H654" t="str">
        <f t="shared" si="85"/>
        <v>6223</v>
      </c>
      <c r="I654" s="3">
        <v>65021000</v>
      </c>
      <c r="J654" s="3">
        <v>88.78</v>
      </c>
      <c r="K654" s="3">
        <v>73238300</v>
      </c>
      <c r="L654" s="3">
        <v>0</v>
      </c>
      <c r="M654" s="3">
        <v>73238300</v>
      </c>
      <c r="N654" s="3">
        <v>0</v>
      </c>
      <c r="O654" s="3">
        <v>0</v>
      </c>
      <c r="P654" s="3">
        <v>1100</v>
      </c>
      <c r="Q654" s="3">
        <v>1100</v>
      </c>
      <c r="R654" s="3">
        <v>277400</v>
      </c>
      <c r="S654" s="3">
        <v>0</v>
      </c>
      <c r="T654" s="3">
        <v>0</v>
      </c>
      <c r="U654" s="3">
        <v>0</v>
      </c>
      <c r="V654" s="3">
        <v>2012</v>
      </c>
      <c r="W654" s="3">
        <v>41343200</v>
      </c>
      <c r="X654" s="3">
        <v>73516800</v>
      </c>
      <c r="Y654" s="3">
        <v>32173600</v>
      </c>
      <c r="Z654" s="3">
        <v>66093100</v>
      </c>
      <c r="AA654" s="3">
        <v>7423700</v>
      </c>
      <c r="AB654" s="3">
        <v>11</v>
      </c>
    </row>
    <row r="655" spans="1:28" x14ac:dyDescent="0.35">
      <c r="A655">
        <v>2022</v>
      </c>
      <c r="B655" t="str">
        <f t="shared" si="83"/>
        <v>37</v>
      </c>
      <c r="C655" t="s">
        <v>249</v>
      </c>
      <c r="D655" t="s">
        <v>35</v>
      </c>
      <c r="E655" t="str">
        <f t="shared" si="84"/>
        <v>291</v>
      </c>
      <c r="F655" t="s">
        <v>263</v>
      </c>
      <c r="G655" t="str">
        <f>"009"</f>
        <v>009</v>
      </c>
      <c r="H655" t="str">
        <f t="shared" si="85"/>
        <v>6223</v>
      </c>
      <c r="I655" s="3">
        <v>530500</v>
      </c>
      <c r="J655" s="3">
        <v>88.78</v>
      </c>
      <c r="K655" s="3">
        <v>597500</v>
      </c>
      <c r="L655" s="3">
        <v>0</v>
      </c>
      <c r="M655" s="3">
        <v>597500</v>
      </c>
      <c r="N655" s="3">
        <v>1429600</v>
      </c>
      <c r="O655" s="3">
        <v>1429600</v>
      </c>
      <c r="P655" s="3">
        <v>104500</v>
      </c>
      <c r="Q655" s="3">
        <v>104500</v>
      </c>
      <c r="R655" s="3">
        <v>2300</v>
      </c>
      <c r="S655" s="3">
        <v>0</v>
      </c>
      <c r="T655" s="3">
        <v>0</v>
      </c>
      <c r="U655" s="3">
        <v>0</v>
      </c>
      <c r="V655" s="3">
        <v>2012</v>
      </c>
      <c r="W655" s="3">
        <v>1232400</v>
      </c>
      <c r="X655" s="3">
        <v>2133900</v>
      </c>
      <c r="Y655" s="3">
        <v>901500</v>
      </c>
      <c r="Z655" s="3">
        <v>1860600</v>
      </c>
      <c r="AA655" s="3">
        <v>273300</v>
      </c>
      <c r="AB655" s="3">
        <v>15</v>
      </c>
    </row>
    <row r="656" spans="1:28" x14ac:dyDescent="0.35">
      <c r="A656">
        <v>2022</v>
      </c>
      <c r="B656" t="str">
        <f t="shared" si="83"/>
        <v>37</v>
      </c>
      <c r="C656" t="s">
        <v>249</v>
      </c>
      <c r="D656" t="s">
        <v>35</v>
      </c>
      <c r="E656" t="str">
        <f t="shared" si="84"/>
        <v>291</v>
      </c>
      <c r="F656" t="s">
        <v>263</v>
      </c>
      <c r="G656" t="str">
        <f>"010"</f>
        <v>010</v>
      </c>
      <c r="H656" t="str">
        <f t="shared" si="85"/>
        <v>6223</v>
      </c>
      <c r="I656" s="3">
        <v>22917900</v>
      </c>
      <c r="J656" s="3">
        <v>88.78</v>
      </c>
      <c r="K656" s="3">
        <v>25814300</v>
      </c>
      <c r="L656" s="3">
        <v>0</v>
      </c>
      <c r="M656" s="3">
        <v>25814300</v>
      </c>
      <c r="N656" s="3">
        <v>35825200</v>
      </c>
      <c r="O656" s="3">
        <v>35825200</v>
      </c>
      <c r="P656" s="3">
        <v>2174400</v>
      </c>
      <c r="Q656" s="3">
        <v>2174400</v>
      </c>
      <c r="R656" s="3">
        <v>99100</v>
      </c>
      <c r="S656" s="3">
        <v>0</v>
      </c>
      <c r="T656" s="3">
        <v>0</v>
      </c>
      <c r="U656" s="3">
        <v>0</v>
      </c>
      <c r="V656" s="3">
        <v>2013</v>
      </c>
      <c r="W656" s="3">
        <v>45713000</v>
      </c>
      <c r="X656" s="3">
        <v>63913000</v>
      </c>
      <c r="Y656" s="3">
        <v>18200000</v>
      </c>
      <c r="Z656" s="3">
        <v>60322800</v>
      </c>
      <c r="AA656" s="3">
        <v>3590200</v>
      </c>
      <c r="AB656" s="3">
        <v>6</v>
      </c>
    </row>
    <row r="657" spans="1:28" x14ac:dyDescent="0.35">
      <c r="A657">
        <v>2022</v>
      </c>
      <c r="B657" t="str">
        <f t="shared" si="83"/>
        <v>37</v>
      </c>
      <c r="C657" t="s">
        <v>249</v>
      </c>
      <c r="D657" t="s">
        <v>35</v>
      </c>
      <c r="E657" t="str">
        <f t="shared" si="84"/>
        <v>291</v>
      </c>
      <c r="F657" t="s">
        <v>263</v>
      </c>
      <c r="G657" t="str">
        <f>"011"</f>
        <v>011</v>
      </c>
      <c r="H657" t="str">
        <f t="shared" si="85"/>
        <v>6223</v>
      </c>
      <c r="I657" s="3">
        <v>54818900</v>
      </c>
      <c r="J657" s="3">
        <v>88.78</v>
      </c>
      <c r="K657" s="3">
        <v>61746900</v>
      </c>
      <c r="L657" s="3">
        <v>0</v>
      </c>
      <c r="M657" s="3">
        <v>61746900</v>
      </c>
      <c r="N657" s="3">
        <v>8201500</v>
      </c>
      <c r="O657" s="3">
        <v>8201500</v>
      </c>
      <c r="P657" s="3">
        <v>377200</v>
      </c>
      <c r="Q657" s="3">
        <v>377200</v>
      </c>
      <c r="R657" s="3">
        <v>243100</v>
      </c>
      <c r="S657" s="3">
        <v>0</v>
      </c>
      <c r="T657" s="3">
        <v>0</v>
      </c>
      <c r="U657" s="3">
        <v>0</v>
      </c>
      <c r="V657" s="3">
        <v>2017</v>
      </c>
      <c r="W657" s="3">
        <v>1386400</v>
      </c>
      <c r="X657" s="3">
        <v>70568700</v>
      </c>
      <c r="Y657" s="3">
        <v>69182300</v>
      </c>
      <c r="Z657" s="3">
        <v>67444200</v>
      </c>
      <c r="AA657" s="3">
        <v>3124500</v>
      </c>
      <c r="AB657" s="3">
        <v>5</v>
      </c>
    </row>
    <row r="658" spans="1:28" x14ac:dyDescent="0.35">
      <c r="A658">
        <v>2022</v>
      </c>
      <c r="B658" t="str">
        <f t="shared" si="83"/>
        <v>37</v>
      </c>
      <c r="C658" t="s">
        <v>249</v>
      </c>
      <c r="D658" t="s">
        <v>35</v>
      </c>
      <c r="E658" t="str">
        <f t="shared" si="84"/>
        <v>291</v>
      </c>
      <c r="F658" t="s">
        <v>263</v>
      </c>
      <c r="G658" t="str">
        <f>"012"</f>
        <v>012</v>
      </c>
      <c r="H658" t="str">
        <f t="shared" si="85"/>
        <v>6223</v>
      </c>
      <c r="I658" s="3">
        <v>24815400</v>
      </c>
      <c r="J658" s="3">
        <v>88.78</v>
      </c>
      <c r="K658" s="3">
        <v>27951600</v>
      </c>
      <c r="L658" s="3">
        <v>0</v>
      </c>
      <c r="M658" s="3">
        <v>27951600</v>
      </c>
      <c r="N658" s="3">
        <v>0</v>
      </c>
      <c r="O658" s="3">
        <v>0</v>
      </c>
      <c r="P658" s="3">
        <v>0</v>
      </c>
      <c r="Q658" s="3">
        <v>0</v>
      </c>
      <c r="R658" s="3">
        <v>106100</v>
      </c>
      <c r="S658" s="3">
        <v>0</v>
      </c>
      <c r="T658" s="3">
        <v>0</v>
      </c>
      <c r="U658" s="3">
        <v>0</v>
      </c>
      <c r="V658" s="3">
        <v>2017</v>
      </c>
      <c r="W658" s="3">
        <v>12441300</v>
      </c>
      <c r="X658" s="3">
        <v>28057700</v>
      </c>
      <c r="Y658" s="3">
        <v>15616400</v>
      </c>
      <c r="Z658" s="3">
        <v>24807900</v>
      </c>
      <c r="AA658" s="3">
        <v>3249800</v>
      </c>
      <c r="AB658" s="3">
        <v>13</v>
      </c>
    </row>
    <row r="659" spans="1:28" x14ac:dyDescent="0.35">
      <c r="A659">
        <v>2022</v>
      </c>
      <c r="B659" t="str">
        <f t="shared" ref="B659:B674" si="86">"38"</f>
        <v>38</v>
      </c>
      <c r="C659" t="s">
        <v>264</v>
      </c>
      <c r="D659" t="s">
        <v>33</v>
      </c>
      <c r="E659" t="str">
        <f>"111"</f>
        <v>111</v>
      </c>
      <c r="F659" t="s">
        <v>265</v>
      </c>
      <c r="G659" t="str">
        <f>"001"</f>
        <v>001</v>
      </c>
      <c r="H659" t="str">
        <f>"1169"</f>
        <v>1169</v>
      </c>
      <c r="I659" s="3">
        <v>5003700</v>
      </c>
      <c r="J659" s="3">
        <v>76.209999999999994</v>
      </c>
      <c r="K659" s="3">
        <v>6565700</v>
      </c>
      <c r="L659" s="3">
        <v>0</v>
      </c>
      <c r="M659" s="3">
        <v>6565700</v>
      </c>
      <c r="N659" s="3">
        <v>1546300</v>
      </c>
      <c r="O659" s="3">
        <v>1546300</v>
      </c>
      <c r="P659" s="3">
        <v>128000</v>
      </c>
      <c r="Q659" s="3">
        <v>128000</v>
      </c>
      <c r="R659" s="3">
        <v>-700</v>
      </c>
      <c r="S659" s="3">
        <v>0</v>
      </c>
      <c r="T659" s="3">
        <v>0</v>
      </c>
      <c r="U659" s="3">
        <v>0</v>
      </c>
      <c r="V659" s="3">
        <v>2005</v>
      </c>
      <c r="W659" s="3">
        <v>2604100</v>
      </c>
      <c r="X659" s="3">
        <v>8239300</v>
      </c>
      <c r="Y659" s="3">
        <v>5635200</v>
      </c>
      <c r="Z659" s="3">
        <v>7383700</v>
      </c>
      <c r="AA659" s="3">
        <v>855600</v>
      </c>
      <c r="AB659" s="3">
        <v>12</v>
      </c>
    </row>
    <row r="660" spans="1:28" x14ac:dyDescent="0.35">
      <c r="A660">
        <v>2022</v>
      </c>
      <c r="B660" t="str">
        <f t="shared" si="86"/>
        <v>38</v>
      </c>
      <c r="C660" t="s">
        <v>264</v>
      </c>
      <c r="D660" t="s">
        <v>33</v>
      </c>
      <c r="E660" t="str">
        <f>"111"</f>
        <v>111</v>
      </c>
      <c r="F660" t="s">
        <v>265</v>
      </c>
      <c r="G660" t="str">
        <f>"002"</f>
        <v>002</v>
      </c>
      <c r="H660" t="str">
        <f>"1169"</f>
        <v>1169</v>
      </c>
      <c r="I660" s="3">
        <v>0</v>
      </c>
      <c r="J660" s="3">
        <v>76.209999999999994</v>
      </c>
      <c r="K660" s="3">
        <v>0</v>
      </c>
      <c r="L660" s="3">
        <v>0</v>
      </c>
      <c r="M660" s="3">
        <v>0</v>
      </c>
      <c r="N660" s="3">
        <v>2421000</v>
      </c>
      <c r="O660" s="3">
        <v>2421000</v>
      </c>
      <c r="P660" s="3">
        <v>152300</v>
      </c>
      <c r="Q660" s="3">
        <v>152300</v>
      </c>
      <c r="R660" s="3">
        <v>0</v>
      </c>
      <c r="S660" s="3">
        <v>0</v>
      </c>
      <c r="T660" s="3">
        <v>0</v>
      </c>
      <c r="U660" s="3">
        <v>0</v>
      </c>
      <c r="V660" s="3">
        <v>2017</v>
      </c>
      <c r="W660" s="3">
        <v>431900</v>
      </c>
      <c r="X660" s="3">
        <v>2573300</v>
      </c>
      <c r="Y660" s="3">
        <v>2141400</v>
      </c>
      <c r="Z660" s="3">
        <v>2593100</v>
      </c>
      <c r="AA660" s="3">
        <v>-19800</v>
      </c>
      <c r="AB660" s="3">
        <v>-1</v>
      </c>
    </row>
    <row r="661" spans="1:28" x14ac:dyDescent="0.35">
      <c r="A661">
        <v>2022</v>
      </c>
      <c r="B661" t="str">
        <f t="shared" si="86"/>
        <v>38</v>
      </c>
      <c r="C661" t="s">
        <v>264</v>
      </c>
      <c r="D661" t="s">
        <v>33</v>
      </c>
      <c r="E661" t="str">
        <f>"111"</f>
        <v>111</v>
      </c>
      <c r="F661" t="s">
        <v>265</v>
      </c>
      <c r="G661" t="str">
        <f>"003"</f>
        <v>003</v>
      </c>
      <c r="H661" t="str">
        <f>"1169"</f>
        <v>1169</v>
      </c>
      <c r="I661" s="3">
        <v>250300</v>
      </c>
      <c r="J661" s="3">
        <v>76.209999999999994</v>
      </c>
      <c r="K661" s="3">
        <v>328400</v>
      </c>
      <c r="L661" s="3">
        <v>0</v>
      </c>
      <c r="M661" s="3">
        <v>328400</v>
      </c>
      <c r="N661" s="3">
        <v>0</v>
      </c>
      <c r="O661" s="3">
        <v>0</v>
      </c>
      <c r="P661" s="3">
        <v>0</v>
      </c>
      <c r="Q661" s="3">
        <v>0</v>
      </c>
      <c r="R661" s="3">
        <v>0</v>
      </c>
      <c r="S661" s="3">
        <v>0</v>
      </c>
      <c r="T661" s="3">
        <v>0</v>
      </c>
      <c r="U661" s="3">
        <v>0</v>
      </c>
      <c r="V661" s="3">
        <v>2018</v>
      </c>
      <c r="W661" s="3">
        <v>115800</v>
      </c>
      <c r="X661" s="3">
        <v>328400</v>
      </c>
      <c r="Y661" s="3">
        <v>212600</v>
      </c>
      <c r="Z661" s="3">
        <v>224300</v>
      </c>
      <c r="AA661" s="3">
        <v>104100</v>
      </c>
      <c r="AB661" s="3">
        <v>46</v>
      </c>
    </row>
    <row r="662" spans="1:28" x14ac:dyDescent="0.35">
      <c r="A662">
        <v>2022</v>
      </c>
      <c r="B662" t="str">
        <f t="shared" si="86"/>
        <v>38</v>
      </c>
      <c r="C662" t="s">
        <v>264</v>
      </c>
      <c r="D662" t="s">
        <v>33</v>
      </c>
      <c r="E662" t="str">
        <f>"121"</f>
        <v>121</v>
      </c>
      <c r="F662" t="s">
        <v>266</v>
      </c>
      <c r="G662" t="str">
        <f>"001"</f>
        <v>001</v>
      </c>
      <c r="H662" t="str">
        <f>"1232"</f>
        <v>1232</v>
      </c>
      <c r="I662" s="3">
        <v>23272000</v>
      </c>
      <c r="J662" s="3">
        <v>80.3</v>
      </c>
      <c r="K662" s="3">
        <v>28981300</v>
      </c>
      <c r="L662" s="3">
        <v>0</v>
      </c>
      <c r="M662" s="3">
        <v>28981300</v>
      </c>
      <c r="N662" s="3">
        <v>390900</v>
      </c>
      <c r="O662" s="3">
        <v>390900</v>
      </c>
      <c r="P662" s="3">
        <v>7900</v>
      </c>
      <c r="Q662" s="3">
        <v>7900</v>
      </c>
      <c r="R662" s="3">
        <v>72200</v>
      </c>
      <c r="S662" s="3">
        <v>0</v>
      </c>
      <c r="T662" s="3">
        <v>0</v>
      </c>
      <c r="U662" s="3">
        <v>0</v>
      </c>
      <c r="V662" s="3">
        <v>2001</v>
      </c>
      <c r="W662" s="3">
        <v>4285600</v>
      </c>
      <c r="X662" s="3">
        <v>29452300</v>
      </c>
      <c r="Y662" s="3">
        <v>25166700</v>
      </c>
      <c r="Z662" s="3">
        <v>25968300</v>
      </c>
      <c r="AA662" s="3">
        <v>3484000</v>
      </c>
      <c r="AB662" s="3">
        <v>13</v>
      </c>
    </row>
    <row r="663" spans="1:28" x14ac:dyDescent="0.35">
      <c r="A663">
        <v>2022</v>
      </c>
      <c r="B663" t="str">
        <f t="shared" si="86"/>
        <v>38</v>
      </c>
      <c r="C663" t="s">
        <v>264</v>
      </c>
      <c r="D663" t="s">
        <v>33</v>
      </c>
      <c r="E663" t="str">
        <f>"171"</f>
        <v>171</v>
      </c>
      <c r="F663" t="s">
        <v>267</v>
      </c>
      <c r="G663" t="str">
        <f>"001"</f>
        <v>001</v>
      </c>
      <c r="H663" t="str">
        <f>"1169"</f>
        <v>1169</v>
      </c>
      <c r="I663" s="3">
        <v>0</v>
      </c>
      <c r="J663" s="3">
        <v>76.5</v>
      </c>
      <c r="K663" s="3">
        <v>0</v>
      </c>
      <c r="L663" s="3">
        <v>0</v>
      </c>
      <c r="M663" s="3">
        <v>0</v>
      </c>
      <c r="N663" s="3">
        <v>527500</v>
      </c>
      <c r="O663" s="3">
        <v>527500</v>
      </c>
      <c r="P663" s="3">
        <v>33100</v>
      </c>
      <c r="Q663" s="3">
        <v>33100</v>
      </c>
      <c r="R663" s="3">
        <v>0</v>
      </c>
      <c r="S663" s="3">
        <v>0</v>
      </c>
      <c r="T663" s="3">
        <v>0</v>
      </c>
      <c r="U663" s="3">
        <v>0</v>
      </c>
      <c r="V663" s="3">
        <v>2015</v>
      </c>
      <c r="W663" s="3">
        <v>4100</v>
      </c>
      <c r="X663" s="3">
        <v>560600</v>
      </c>
      <c r="Y663" s="3">
        <v>556500</v>
      </c>
      <c r="Z663" s="3">
        <v>571300</v>
      </c>
      <c r="AA663" s="3">
        <v>-10700</v>
      </c>
      <c r="AB663" s="3">
        <v>-2</v>
      </c>
    </row>
    <row r="664" spans="1:28" x14ac:dyDescent="0.35">
      <c r="A664">
        <v>2022</v>
      </c>
      <c r="B664" t="str">
        <f t="shared" si="86"/>
        <v>38</v>
      </c>
      <c r="C664" t="s">
        <v>264</v>
      </c>
      <c r="D664" t="s">
        <v>33</v>
      </c>
      <c r="E664" t="str">
        <f>"191"</f>
        <v>191</v>
      </c>
      <c r="F664" t="s">
        <v>268</v>
      </c>
      <c r="G664" t="str">
        <f>"001"</f>
        <v>001</v>
      </c>
      <c r="H664" t="str">
        <f>"6230"</f>
        <v>6230</v>
      </c>
      <c r="I664" s="3">
        <v>3692800</v>
      </c>
      <c r="J664" s="3">
        <v>81.27</v>
      </c>
      <c r="K664" s="3">
        <v>4543900</v>
      </c>
      <c r="L664" s="3">
        <v>0</v>
      </c>
      <c r="M664" s="3">
        <v>4543900</v>
      </c>
      <c r="N664" s="3">
        <v>0</v>
      </c>
      <c r="O664" s="3">
        <v>0</v>
      </c>
      <c r="P664" s="3">
        <v>0</v>
      </c>
      <c r="Q664" s="3">
        <v>0</v>
      </c>
      <c r="R664" s="3">
        <v>-6100</v>
      </c>
      <c r="S664" s="3">
        <v>0</v>
      </c>
      <c r="T664" s="3">
        <v>0</v>
      </c>
      <c r="U664" s="3">
        <v>0</v>
      </c>
      <c r="V664" s="3">
        <v>2020</v>
      </c>
      <c r="W664" s="3">
        <v>3095800</v>
      </c>
      <c r="X664" s="3">
        <v>4537800</v>
      </c>
      <c r="Y664" s="3">
        <v>1442000</v>
      </c>
      <c r="Z664" s="3">
        <v>3267800</v>
      </c>
      <c r="AA664" s="3">
        <v>1270000</v>
      </c>
      <c r="AB664" s="3">
        <v>39</v>
      </c>
    </row>
    <row r="665" spans="1:28" x14ac:dyDescent="0.35">
      <c r="A665">
        <v>2022</v>
      </c>
      <c r="B665" t="str">
        <f t="shared" si="86"/>
        <v>38</v>
      </c>
      <c r="C665" t="s">
        <v>264</v>
      </c>
      <c r="D665" t="s">
        <v>35</v>
      </c>
      <c r="E665" t="str">
        <f t="shared" ref="E665:E672" si="87">"251"</f>
        <v>251</v>
      </c>
      <c r="F665" t="s">
        <v>264</v>
      </c>
      <c r="G665" t="str">
        <f>"006"</f>
        <v>006</v>
      </c>
      <c r="H665" t="str">
        <f t="shared" ref="H665:H672" si="88">"3311"</f>
        <v>3311</v>
      </c>
      <c r="I665" s="3">
        <v>11460600</v>
      </c>
      <c r="J665" s="3">
        <v>80.5</v>
      </c>
      <c r="K665" s="3">
        <v>14236800</v>
      </c>
      <c r="L665" s="3">
        <v>0</v>
      </c>
      <c r="M665" s="3">
        <v>14236800</v>
      </c>
      <c r="N665" s="3">
        <v>0</v>
      </c>
      <c r="O665" s="3">
        <v>0</v>
      </c>
      <c r="P665" s="3">
        <v>0</v>
      </c>
      <c r="Q665" s="3">
        <v>0</v>
      </c>
      <c r="R665" s="3">
        <v>-22800</v>
      </c>
      <c r="S665" s="3">
        <v>0</v>
      </c>
      <c r="T665" s="3">
        <v>0</v>
      </c>
      <c r="U665" s="3">
        <v>0</v>
      </c>
      <c r="V665" s="3">
        <v>2002</v>
      </c>
      <c r="W665" s="3">
        <v>323100</v>
      </c>
      <c r="X665" s="3">
        <v>14214000</v>
      </c>
      <c r="Y665" s="3">
        <v>13890900</v>
      </c>
      <c r="Z665" s="3">
        <v>12162300</v>
      </c>
      <c r="AA665" s="3">
        <v>2051700</v>
      </c>
      <c r="AB665" s="3">
        <v>17</v>
      </c>
    </row>
    <row r="666" spans="1:28" x14ac:dyDescent="0.35">
      <c r="A666">
        <v>2022</v>
      </c>
      <c r="B666" t="str">
        <f t="shared" si="86"/>
        <v>38</v>
      </c>
      <c r="C666" t="s">
        <v>264</v>
      </c>
      <c r="D666" t="s">
        <v>35</v>
      </c>
      <c r="E666" t="str">
        <f t="shared" si="87"/>
        <v>251</v>
      </c>
      <c r="F666" t="s">
        <v>264</v>
      </c>
      <c r="G666" t="str">
        <f>"007"</f>
        <v>007</v>
      </c>
      <c r="H666" t="str">
        <f t="shared" si="88"/>
        <v>3311</v>
      </c>
      <c r="I666" s="3">
        <v>5208900</v>
      </c>
      <c r="J666" s="3">
        <v>80.5</v>
      </c>
      <c r="K666" s="3">
        <v>6470700</v>
      </c>
      <c r="L666" s="3">
        <v>0</v>
      </c>
      <c r="M666" s="3">
        <v>6470700</v>
      </c>
      <c r="N666" s="3">
        <v>0</v>
      </c>
      <c r="O666" s="3">
        <v>0</v>
      </c>
      <c r="P666" s="3">
        <v>0</v>
      </c>
      <c r="Q666" s="3">
        <v>0</v>
      </c>
      <c r="R666" s="3">
        <v>-11300</v>
      </c>
      <c r="S666" s="3">
        <v>0</v>
      </c>
      <c r="T666" s="3">
        <v>0</v>
      </c>
      <c r="U666" s="3">
        <v>0</v>
      </c>
      <c r="V666" s="3">
        <v>2005</v>
      </c>
      <c r="W666" s="3">
        <v>2893700</v>
      </c>
      <c r="X666" s="3">
        <v>6459400</v>
      </c>
      <c r="Y666" s="3">
        <v>3565700</v>
      </c>
      <c r="Z666" s="3">
        <v>6033800</v>
      </c>
      <c r="AA666" s="3">
        <v>425600</v>
      </c>
      <c r="AB666" s="3">
        <v>7</v>
      </c>
    </row>
    <row r="667" spans="1:28" x14ac:dyDescent="0.35">
      <c r="A667">
        <v>2022</v>
      </c>
      <c r="B667" t="str">
        <f t="shared" si="86"/>
        <v>38</v>
      </c>
      <c r="C667" t="s">
        <v>264</v>
      </c>
      <c r="D667" t="s">
        <v>35</v>
      </c>
      <c r="E667" t="str">
        <f t="shared" si="87"/>
        <v>251</v>
      </c>
      <c r="F667" t="s">
        <v>264</v>
      </c>
      <c r="G667" t="str">
        <f>"008"</f>
        <v>008</v>
      </c>
      <c r="H667" t="str">
        <f t="shared" si="88"/>
        <v>3311</v>
      </c>
      <c r="I667" s="3">
        <v>7417600</v>
      </c>
      <c r="J667" s="3">
        <v>80.5</v>
      </c>
      <c r="K667" s="3">
        <v>9214400</v>
      </c>
      <c r="L667" s="3">
        <v>0</v>
      </c>
      <c r="M667" s="3">
        <v>9214400</v>
      </c>
      <c r="N667" s="3">
        <v>0</v>
      </c>
      <c r="O667" s="3">
        <v>0</v>
      </c>
      <c r="P667" s="3">
        <v>0</v>
      </c>
      <c r="Q667" s="3">
        <v>0</v>
      </c>
      <c r="R667" s="3">
        <v>-16500</v>
      </c>
      <c r="S667" s="3">
        <v>0</v>
      </c>
      <c r="T667" s="3">
        <v>0</v>
      </c>
      <c r="U667" s="3">
        <v>0</v>
      </c>
      <c r="V667" s="3">
        <v>2007</v>
      </c>
      <c r="W667" s="3">
        <v>1434700</v>
      </c>
      <c r="X667" s="3">
        <v>9197900</v>
      </c>
      <c r="Y667" s="3">
        <v>7763200</v>
      </c>
      <c r="Z667" s="3">
        <v>8791400</v>
      </c>
      <c r="AA667" s="3">
        <v>406500</v>
      </c>
      <c r="AB667" s="3">
        <v>5</v>
      </c>
    </row>
    <row r="668" spans="1:28" x14ac:dyDescent="0.35">
      <c r="A668">
        <v>2022</v>
      </c>
      <c r="B668" t="str">
        <f t="shared" si="86"/>
        <v>38</v>
      </c>
      <c r="C668" t="s">
        <v>264</v>
      </c>
      <c r="D668" t="s">
        <v>35</v>
      </c>
      <c r="E668" t="str">
        <f t="shared" si="87"/>
        <v>251</v>
      </c>
      <c r="F668" t="s">
        <v>264</v>
      </c>
      <c r="G668" t="str">
        <f>"009"</f>
        <v>009</v>
      </c>
      <c r="H668" t="str">
        <f t="shared" si="88"/>
        <v>3311</v>
      </c>
      <c r="I668" s="3">
        <v>2069400</v>
      </c>
      <c r="J668" s="3">
        <v>80.5</v>
      </c>
      <c r="K668" s="3">
        <v>2570700</v>
      </c>
      <c r="L668" s="3">
        <v>0</v>
      </c>
      <c r="M668" s="3">
        <v>2570700</v>
      </c>
      <c r="N668" s="3">
        <v>0</v>
      </c>
      <c r="O668" s="3">
        <v>0</v>
      </c>
      <c r="P668" s="3">
        <v>0</v>
      </c>
      <c r="Q668" s="3">
        <v>0</v>
      </c>
      <c r="R668" s="3">
        <v>-3800</v>
      </c>
      <c r="S668" s="3">
        <v>0</v>
      </c>
      <c r="T668" s="3">
        <v>0</v>
      </c>
      <c r="U668" s="3">
        <v>0</v>
      </c>
      <c r="V668" s="3">
        <v>2009</v>
      </c>
      <c r="W668" s="3">
        <v>312900</v>
      </c>
      <c r="X668" s="3">
        <v>2566900</v>
      </c>
      <c r="Y668" s="3">
        <v>2254000</v>
      </c>
      <c r="Z668" s="3">
        <v>2010900</v>
      </c>
      <c r="AA668" s="3">
        <v>556000</v>
      </c>
      <c r="AB668" s="3">
        <v>28</v>
      </c>
    </row>
    <row r="669" spans="1:28" x14ac:dyDescent="0.35">
      <c r="A669">
        <v>2022</v>
      </c>
      <c r="B669" t="str">
        <f t="shared" si="86"/>
        <v>38</v>
      </c>
      <c r="C669" t="s">
        <v>264</v>
      </c>
      <c r="D669" t="s">
        <v>35</v>
      </c>
      <c r="E669" t="str">
        <f t="shared" si="87"/>
        <v>251</v>
      </c>
      <c r="F669" t="s">
        <v>264</v>
      </c>
      <c r="G669" t="str">
        <f>"010"</f>
        <v>010</v>
      </c>
      <c r="H669" t="str">
        <f t="shared" si="88"/>
        <v>3311</v>
      </c>
      <c r="I669" s="3">
        <v>0</v>
      </c>
      <c r="J669" s="3">
        <v>80.5</v>
      </c>
      <c r="K669" s="3">
        <v>0</v>
      </c>
      <c r="L669" s="3">
        <v>0</v>
      </c>
      <c r="M669" s="3">
        <v>0</v>
      </c>
      <c r="N669" s="3">
        <v>11299900</v>
      </c>
      <c r="O669" s="3">
        <v>11299900</v>
      </c>
      <c r="P669" s="3">
        <v>2647800</v>
      </c>
      <c r="Q669" s="3">
        <v>2647800</v>
      </c>
      <c r="R669" s="3">
        <v>0</v>
      </c>
      <c r="S669" s="3">
        <v>0</v>
      </c>
      <c r="T669" s="3">
        <v>0</v>
      </c>
      <c r="U669" s="3">
        <v>0</v>
      </c>
      <c r="V669" s="3">
        <v>2010</v>
      </c>
      <c r="W669" s="3">
        <v>3500500</v>
      </c>
      <c r="X669" s="3">
        <v>13947700</v>
      </c>
      <c r="Y669" s="3">
        <v>10447200</v>
      </c>
      <c r="Z669" s="3">
        <v>13954400</v>
      </c>
      <c r="AA669" s="3">
        <v>-6700</v>
      </c>
      <c r="AB669" s="3">
        <v>0</v>
      </c>
    </row>
    <row r="670" spans="1:28" x14ac:dyDescent="0.35">
      <c r="A670">
        <v>2022</v>
      </c>
      <c r="B670" t="str">
        <f t="shared" si="86"/>
        <v>38</v>
      </c>
      <c r="C670" t="s">
        <v>264</v>
      </c>
      <c r="D670" t="s">
        <v>35</v>
      </c>
      <c r="E670" t="str">
        <f t="shared" si="87"/>
        <v>251</v>
      </c>
      <c r="F670" t="s">
        <v>264</v>
      </c>
      <c r="G670" t="str">
        <f>"011"</f>
        <v>011</v>
      </c>
      <c r="H670" t="str">
        <f t="shared" si="88"/>
        <v>3311</v>
      </c>
      <c r="I670" s="3">
        <v>4376400</v>
      </c>
      <c r="J670" s="3">
        <v>80.5</v>
      </c>
      <c r="K670" s="3">
        <v>5436500</v>
      </c>
      <c r="L670" s="3">
        <v>0</v>
      </c>
      <c r="M670" s="3">
        <v>5436500</v>
      </c>
      <c r="N670" s="3">
        <v>45953200</v>
      </c>
      <c r="O670" s="3">
        <v>45953200</v>
      </c>
      <c r="P670" s="3">
        <v>1663800</v>
      </c>
      <c r="Q670" s="3">
        <v>1663800</v>
      </c>
      <c r="R670" s="3">
        <v>-9400</v>
      </c>
      <c r="S670" s="3">
        <v>0</v>
      </c>
      <c r="T670" s="3">
        <v>0</v>
      </c>
      <c r="U670" s="3">
        <v>0</v>
      </c>
      <c r="V670" s="3">
        <v>2011</v>
      </c>
      <c r="W670" s="3">
        <v>15378700</v>
      </c>
      <c r="X670" s="3">
        <v>53044100</v>
      </c>
      <c r="Y670" s="3">
        <v>37665400</v>
      </c>
      <c r="Z670" s="3">
        <v>34625100</v>
      </c>
      <c r="AA670" s="3">
        <v>18419000</v>
      </c>
      <c r="AB670" s="3">
        <v>53</v>
      </c>
    </row>
    <row r="671" spans="1:28" x14ac:dyDescent="0.35">
      <c r="A671">
        <v>2022</v>
      </c>
      <c r="B671" t="str">
        <f t="shared" si="86"/>
        <v>38</v>
      </c>
      <c r="C671" t="s">
        <v>264</v>
      </c>
      <c r="D671" t="s">
        <v>35</v>
      </c>
      <c r="E671" t="str">
        <f t="shared" si="87"/>
        <v>251</v>
      </c>
      <c r="F671" t="s">
        <v>264</v>
      </c>
      <c r="G671" t="str">
        <f>"012"</f>
        <v>012</v>
      </c>
      <c r="H671" t="str">
        <f t="shared" si="88"/>
        <v>3311</v>
      </c>
      <c r="I671" s="3">
        <v>0</v>
      </c>
      <c r="J671" s="3">
        <v>80.5</v>
      </c>
      <c r="K671" s="3">
        <v>0</v>
      </c>
      <c r="L671" s="3">
        <v>0</v>
      </c>
      <c r="M671" s="3">
        <v>0</v>
      </c>
      <c r="N671" s="3">
        <v>2974200</v>
      </c>
      <c r="O671" s="3">
        <v>2974200</v>
      </c>
      <c r="P671" s="3">
        <v>504000</v>
      </c>
      <c r="Q671" s="3">
        <v>504000</v>
      </c>
      <c r="R671" s="3">
        <v>0</v>
      </c>
      <c r="S671" s="3">
        <v>0</v>
      </c>
      <c r="T671" s="3">
        <v>0</v>
      </c>
      <c r="U671" s="3">
        <v>0</v>
      </c>
      <c r="V671" s="3">
        <v>2012</v>
      </c>
      <c r="W671" s="3">
        <v>1633900</v>
      </c>
      <c r="X671" s="3">
        <v>3478200</v>
      </c>
      <c r="Y671" s="3">
        <v>1844300</v>
      </c>
      <c r="Z671" s="3">
        <v>3436600</v>
      </c>
      <c r="AA671" s="3">
        <v>41600</v>
      </c>
      <c r="AB671" s="3">
        <v>1</v>
      </c>
    </row>
    <row r="672" spans="1:28" x14ac:dyDescent="0.35">
      <c r="A672">
        <v>2022</v>
      </c>
      <c r="B672" t="str">
        <f t="shared" si="86"/>
        <v>38</v>
      </c>
      <c r="C672" t="s">
        <v>264</v>
      </c>
      <c r="D672" t="s">
        <v>35</v>
      </c>
      <c r="E672" t="str">
        <f t="shared" si="87"/>
        <v>251</v>
      </c>
      <c r="F672" t="s">
        <v>264</v>
      </c>
      <c r="G672" t="str">
        <f>"013"</f>
        <v>013</v>
      </c>
      <c r="H672" t="str">
        <f t="shared" si="88"/>
        <v>3311</v>
      </c>
      <c r="I672" s="3">
        <v>16921100</v>
      </c>
      <c r="J672" s="3">
        <v>80.5</v>
      </c>
      <c r="K672" s="3">
        <v>21020000</v>
      </c>
      <c r="L672" s="3">
        <v>0</v>
      </c>
      <c r="M672" s="3">
        <v>21020000</v>
      </c>
      <c r="N672" s="3">
        <v>0</v>
      </c>
      <c r="O672" s="3">
        <v>0</v>
      </c>
      <c r="P672" s="3">
        <v>0</v>
      </c>
      <c r="Q672" s="3">
        <v>0</v>
      </c>
      <c r="R672" s="3">
        <v>-36000</v>
      </c>
      <c r="S672" s="3">
        <v>0</v>
      </c>
      <c r="T672" s="3">
        <v>0</v>
      </c>
      <c r="U672" s="3">
        <v>0</v>
      </c>
      <c r="V672" s="3">
        <v>2016</v>
      </c>
      <c r="W672" s="3">
        <v>4650700</v>
      </c>
      <c r="X672" s="3">
        <v>20984000</v>
      </c>
      <c r="Y672" s="3">
        <v>16333300</v>
      </c>
      <c r="Z672" s="3">
        <v>19233800</v>
      </c>
      <c r="AA672" s="3">
        <v>1750200</v>
      </c>
      <c r="AB672" s="3">
        <v>9</v>
      </c>
    </row>
    <row r="673" spans="1:28" x14ac:dyDescent="0.35">
      <c r="A673">
        <v>2022</v>
      </c>
      <c r="B673" t="str">
        <f t="shared" si="86"/>
        <v>38</v>
      </c>
      <c r="C673" t="s">
        <v>264</v>
      </c>
      <c r="D673" t="s">
        <v>35</v>
      </c>
      <c r="E673" t="str">
        <f>"261"</f>
        <v>261</v>
      </c>
      <c r="F673" t="s">
        <v>269</v>
      </c>
      <c r="G673" t="str">
        <f>"001"</f>
        <v>001</v>
      </c>
      <c r="H673" t="str">
        <f>"3969"</f>
        <v>3969</v>
      </c>
      <c r="I673" s="3">
        <v>710900</v>
      </c>
      <c r="J673" s="3">
        <v>78.59</v>
      </c>
      <c r="K673" s="3">
        <v>904600</v>
      </c>
      <c r="L673" s="3">
        <v>0</v>
      </c>
      <c r="M673" s="3">
        <v>904600</v>
      </c>
      <c r="N673" s="3">
        <v>0</v>
      </c>
      <c r="O673" s="3">
        <v>0</v>
      </c>
      <c r="P673" s="3">
        <v>0</v>
      </c>
      <c r="Q673" s="3">
        <v>0</v>
      </c>
      <c r="R673" s="3">
        <v>-1600</v>
      </c>
      <c r="S673" s="3">
        <v>0</v>
      </c>
      <c r="T673" s="3">
        <v>0</v>
      </c>
      <c r="U673" s="3">
        <v>0</v>
      </c>
      <c r="V673" s="3">
        <v>1995</v>
      </c>
      <c r="W673" s="3">
        <v>0</v>
      </c>
      <c r="X673" s="3">
        <v>903000</v>
      </c>
      <c r="Y673" s="3">
        <v>903000</v>
      </c>
      <c r="Z673" s="3">
        <v>676600</v>
      </c>
      <c r="AA673" s="3">
        <v>226400</v>
      </c>
      <c r="AB673" s="3">
        <v>33</v>
      </c>
    </row>
    <row r="674" spans="1:28" x14ac:dyDescent="0.35">
      <c r="A674">
        <v>2022</v>
      </c>
      <c r="B674" t="str">
        <f t="shared" si="86"/>
        <v>38</v>
      </c>
      <c r="C674" t="s">
        <v>264</v>
      </c>
      <c r="D674" t="s">
        <v>35</v>
      </c>
      <c r="E674" t="str">
        <f>"261"</f>
        <v>261</v>
      </c>
      <c r="F674" t="s">
        <v>269</v>
      </c>
      <c r="G674" t="str">
        <f>"002"</f>
        <v>002</v>
      </c>
      <c r="H674" t="str">
        <f>"3969"</f>
        <v>3969</v>
      </c>
      <c r="I674" s="3">
        <v>974800</v>
      </c>
      <c r="J674" s="3">
        <v>78.59</v>
      </c>
      <c r="K674" s="3">
        <v>1240400</v>
      </c>
      <c r="L674" s="3">
        <v>0</v>
      </c>
      <c r="M674" s="3">
        <v>1240400</v>
      </c>
      <c r="N674" s="3">
        <v>0</v>
      </c>
      <c r="O674" s="3">
        <v>0</v>
      </c>
      <c r="P674" s="3">
        <v>0</v>
      </c>
      <c r="Q674" s="3">
        <v>0</v>
      </c>
      <c r="R674" s="3">
        <v>-2300</v>
      </c>
      <c r="S674" s="3">
        <v>0</v>
      </c>
      <c r="T674" s="3">
        <v>0</v>
      </c>
      <c r="U674" s="3">
        <v>0</v>
      </c>
      <c r="V674" s="3">
        <v>1998</v>
      </c>
      <c r="W674" s="3">
        <v>28500</v>
      </c>
      <c r="X674" s="3">
        <v>1238100</v>
      </c>
      <c r="Y674" s="3">
        <v>1209600</v>
      </c>
      <c r="Z674" s="3">
        <v>999700</v>
      </c>
      <c r="AA674" s="3">
        <v>238400</v>
      </c>
      <c r="AB674" s="3">
        <v>24</v>
      </c>
    </row>
    <row r="675" spans="1:28" x14ac:dyDescent="0.35">
      <c r="A675">
        <v>2022</v>
      </c>
      <c r="B675" t="str">
        <f>"39"</f>
        <v>39</v>
      </c>
      <c r="C675" t="s">
        <v>270</v>
      </c>
      <c r="D675" t="s">
        <v>33</v>
      </c>
      <c r="E675" t="str">
        <f>"121"</f>
        <v>121</v>
      </c>
      <c r="F675" t="s">
        <v>271</v>
      </c>
      <c r="G675" t="str">
        <f>"001"</f>
        <v>001</v>
      </c>
      <c r="H675" t="str">
        <f>"4501"</f>
        <v>4501</v>
      </c>
      <c r="I675" s="3">
        <v>4956900</v>
      </c>
      <c r="J675" s="3">
        <v>67.319999999999993</v>
      </c>
      <c r="K675" s="3">
        <v>7363200</v>
      </c>
      <c r="L675" s="3">
        <v>0</v>
      </c>
      <c r="M675" s="3">
        <v>7363200</v>
      </c>
      <c r="N675" s="3">
        <v>1273300</v>
      </c>
      <c r="O675" s="3">
        <v>1273300</v>
      </c>
      <c r="P675" s="3">
        <v>98600</v>
      </c>
      <c r="Q675" s="3">
        <v>98600</v>
      </c>
      <c r="R675" s="3">
        <v>-5300</v>
      </c>
      <c r="S675" s="3">
        <v>0</v>
      </c>
      <c r="T675" s="3">
        <v>0</v>
      </c>
      <c r="U675" s="3">
        <v>0</v>
      </c>
      <c r="V675" s="3">
        <v>1993</v>
      </c>
      <c r="W675" s="3">
        <v>1159900</v>
      </c>
      <c r="X675" s="3">
        <v>8729800</v>
      </c>
      <c r="Y675" s="3">
        <v>7569900</v>
      </c>
      <c r="Z675" s="3">
        <v>7497300</v>
      </c>
      <c r="AA675" s="3">
        <v>1232500</v>
      </c>
      <c r="AB675" s="3">
        <v>16</v>
      </c>
    </row>
    <row r="676" spans="1:28" x14ac:dyDescent="0.35">
      <c r="A676">
        <v>2022</v>
      </c>
      <c r="B676" t="str">
        <f t="shared" ref="B676:B707" si="89">"40"</f>
        <v>40</v>
      </c>
      <c r="C676" t="s">
        <v>272</v>
      </c>
      <c r="D676" t="s">
        <v>33</v>
      </c>
      <c r="E676" t="str">
        <f>"107"</f>
        <v>107</v>
      </c>
      <c r="F676" t="s">
        <v>273</v>
      </c>
      <c r="G676" t="str">
        <f>"002"</f>
        <v>002</v>
      </c>
      <c r="H676" t="str">
        <f>"0721"</f>
        <v>0721</v>
      </c>
      <c r="I676" s="3">
        <v>37141900</v>
      </c>
      <c r="J676" s="3">
        <v>100</v>
      </c>
      <c r="K676" s="3">
        <v>37141900</v>
      </c>
      <c r="L676" s="3">
        <v>0</v>
      </c>
      <c r="M676" s="3">
        <v>37141900</v>
      </c>
      <c r="N676" s="3">
        <v>0</v>
      </c>
      <c r="O676" s="3">
        <v>0</v>
      </c>
      <c r="P676" s="3">
        <v>0</v>
      </c>
      <c r="Q676" s="3">
        <v>0</v>
      </c>
      <c r="R676" s="3">
        <v>273900</v>
      </c>
      <c r="S676" s="3">
        <v>0</v>
      </c>
      <c r="T676" s="3">
        <v>0</v>
      </c>
      <c r="U676" s="3">
        <v>0</v>
      </c>
      <c r="V676" s="3">
        <v>1995</v>
      </c>
      <c r="W676" s="3">
        <v>11979900</v>
      </c>
      <c r="X676" s="3">
        <v>37415800</v>
      </c>
      <c r="Y676" s="3">
        <v>25435900</v>
      </c>
      <c r="Z676" s="3">
        <v>37052100</v>
      </c>
      <c r="AA676" s="3">
        <v>363700</v>
      </c>
      <c r="AB676" s="3">
        <v>1</v>
      </c>
    </row>
    <row r="677" spans="1:28" x14ac:dyDescent="0.35">
      <c r="A677">
        <v>2022</v>
      </c>
      <c r="B677" t="str">
        <f t="shared" si="89"/>
        <v>40</v>
      </c>
      <c r="C677" t="s">
        <v>272</v>
      </c>
      <c r="D677" t="s">
        <v>33</v>
      </c>
      <c r="E677" t="str">
        <f>"107"</f>
        <v>107</v>
      </c>
      <c r="F677" t="s">
        <v>273</v>
      </c>
      <c r="G677" t="str">
        <f>"003"</f>
        <v>003</v>
      </c>
      <c r="H677" t="str">
        <f>"0721"</f>
        <v>0721</v>
      </c>
      <c r="I677" s="3">
        <v>46920000</v>
      </c>
      <c r="J677" s="3">
        <v>100</v>
      </c>
      <c r="K677" s="3">
        <v>46920000</v>
      </c>
      <c r="L677" s="3">
        <v>0</v>
      </c>
      <c r="M677" s="3">
        <v>46920000</v>
      </c>
      <c r="N677" s="3">
        <v>0</v>
      </c>
      <c r="O677" s="3">
        <v>0</v>
      </c>
      <c r="P677" s="3">
        <v>0</v>
      </c>
      <c r="Q677" s="3">
        <v>0</v>
      </c>
      <c r="R677" s="3">
        <v>-510600</v>
      </c>
      <c r="S677" s="3">
        <v>0</v>
      </c>
      <c r="T677" s="3">
        <v>0</v>
      </c>
      <c r="U677" s="3">
        <v>0</v>
      </c>
      <c r="V677" s="3">
        <v>2005</v>
      </c>
      <c r="W677" s="3">
        <v>22968900</v>
      </c>
      <c r="X677" s="3">
        <v>46409400</v>
      </c>
      <c r="Y677" s="3">
        <v>23440500</v>
      </c>
      <c r="Z677" s="3">
        <v>47861300</v>
      </c>
      <c r="AA677" s="3">
        <v>-1451900</v>
      </c>
      <c r="AB677" s="3">
        <v>-3</v>
      </c>
    </row>
    <row r="678" spans="1:28" x14ac:dyDescent="0.35">
      <c r="A678">
        <v>2022</v>
      </c>
      <c r="B678" t="str">
        <f t="shared" si="89"/>
        <v>40</v>
      </c>
      <c r="C678" t="s">
        <v>272</v>
      </c>
      <c r="D678" t="s">
        <v>33</v>
      </c>
      <c r="E678" t="str">
        <f>"107"</f>
        <v>107</v>
      </c>
      <c r="F678" t="s">
        <v>273</v>
      </c>
      <c r="G678" t="str">
        <f>"004"</f>
        <v>004</v>
      </c>
      <c r="H678" t="str">
        <f>"0721"</f>
        <v>0721</v>
      </c>
      <c r="I678" s="3">
        <v>46075100</v>
      </c>
      <c r="J678" s="3">
        <v>100</v>
      </c>
      <c r="K678" s="3">
        <v>46075100</v>
      </c>
      <c r="L678" s="3">
        <v>0</v>
      </c>
      <c r="M678" s="3">
        <v>46075100</v>
      </c>
      <c r="N678" s="3">
        <v>0</v>
      </c>
      <c r="O678" s="3">
        <v>0</v>
      </c>
      <c r="P678" s="3">
        <v>0</v>
      </c>
      <c r="Q678" s="3">
        <v>0</v>
      </c>
      <c r="R678" s="3">
        <v>-3241900</v>
      </c>
      <c r="S678" s="3">
        <v>0</v>
      </c>
      <c r="T678" s="3">
        <v>0</v>
      </c>
      <c r="U678" s="3">
        <v>0</v>
      </c>
      <c r="V678" s="3">
        <v>2005</v>
      </c>
      <c r="W678" s="3">
        <v>19798600</v>
      </c>
      <c r="X678" s="3">
        <v>42833200</v>
      </c>
      <c r="Y678" s="3">
        <v>23034600</v>
      </c>
      <c r="Z678" s="3">
        <v>49476100</v>
      </c>
      <c r="AA678" s="3">
        <v>-6642900</v>
      </c>
      <c r="AB678" s="3">
        <v>-13</v>
      </c>
    </row>
    <row r="679" spans="1:28" x14ac:dyDescent="0.35">
      <c r="A679">
        <v>2022</v>
      </c>
      <c r="B679" t="str">
        <f t="shared" si="89"/>
        <v>40</v>
      </c>
      <c r="C679" t="s">
        <v>272</v>
      </c>
      <c r="D679" t="s">
        <v>33</v>
      </c>
      <c r="E679" t="str">
        <f>"131"</f>
        <v>131</v>
      </c>
      <c r="F679" t="s">
        <v>274</v>
      </c>
      <c r="G679" t="str">
        <f>"001"</f>
        <v>001</v>
      </c>
      <c r="H679" t="str">
        <f>"2296"</f>
        <v>2296</v>
      </c>
      <c r="I679" s="3">
        <v>10835600</v>
      </c>
      <c r="J679" s="3">
        <v>100</v>
      </c>
      <c r="K679" s="3">
        <v>10835600</v>
      </c>
      <c r="L679" s="3">
        <v>0</v>
      </c>
      <c r="M679" s="3">
        <v>10835600</v>
      </c>
      <c r="N679" s="3">
        <v>0</v>
      </c>
      <c r="O679" s="3">
        <v>0</v>
      </c>
      <c r="P679" s="3">
        <v>0</v>
      </c>
      <c r="Q679" s="3">
        <v>0</v>
      </c>
      <c r="R679" s="3">
        <v>8300</v>
      </c>
      <c r="S679" s="3">
        <v>0</v>
      </c>
      <c r="T679" s="3">
        <v>0</v>
      </c>
      <c r="U679" s="3">
        <v>0</v>
      </c>
      <c r="V679" s="3">
        <v>2010</v>
      </c>
      <c r="W679" s="3">
        <v>623100</v>
      </c>
      <c r="X679" s="3">
        <v>10843900</v>
      </c>
      <c r="Y679" s="3">
        <v>10220800</v>
      </c>
      <c r="Z679" s="3">
        <v>12234400</v>
      </c>
      <c r="AA679" s="3">
        <v>-1390500</v>
      </c>
      <c r="AB679" s="3">
        <v>-11</v>
      </c>
    </row>
    <row r="680" spans="1:28" x14ac:dyDescent="0.35">
      <c r="A680">
        <v>2022</v>
      </c>
      <c r="B680" t="str">
        <f t="shared" si="89"/>
        <v>40</v>
      </c>
      <c r="C680" t="s">
        <v>272</v>
      </c>
      <c r="D680" t="s">
        <v>33</v>
      </c>
      <c r="E680" t="str">
        <f>"131"</f>
        <v>131</v>
      </c>
      <c r="F680" t="s">
        <v>274</v>
      </c>
      <c r="G680" t="str">
        <f>"002"</f>
        <v>002</v>
      </c>
      <c r="H680" t="str">
        <f>"2296"</f>
        <v>2296</v>
      </c>
      <c r="I680" s="3">
        <v>150944400</v>
      </c>
      <c r="J680" s="3">
        <v>100</v>
      </c>
      <c r="K680" s="3">
        <v>150944400</v>
      </c>
      <c r="L680" s="3">
        <v>0</v>
      </c>
      <c r="M680" s="3">
        <v>150944400</v>
      </c>
      <c r="N680" s="3">
        <v>0</v>
      </c>
      <c r="O680" s="3">
        <v>0</v>
      </c>
      <c r="P680" s="3">
        <v>0</v>
      </c>
      <c r="Q680" s="3">
        <v>0</v>
      </c>
      <c r="R680" s="3">
        <v>-21211200</v>
      </c>
      <c r="S680" s="3">
        <v>0</v>
      </c>
      <c r="T680" s="3">
        <v>0</v>
      </c>
      <c r="U680" s="3">
        <v>0</v>
      </c>
      <c r="V680" s="3">
        <v>2011</v>
      </c>
      <c r="W680" s="3">
        <v>105493100</v>
      </c>
      <c r="X680" s="3">
        <v>129733200</v>
      </c>
      <c r="Y680" s="3">
        <v>24240100</v>
      </c>
      <c r="Z680" s="3">
        <v>192155700</v>
      </c>
      <c r="AA680" s="3">
        <v>-62422500</v>
      </c>
      <c r="AB680" s="3">
        <v>-32</v>
      </c>
    </row>
    <row r="681" spans="1:28" x14ac:dyDescent="0.35">
      <c r="A681">
        <v>2022</v>
      </c>
      <c r="B681" t="str">
        <f t="shared" si="89"/>
        <v>40</v>
      </c>
      <c r="C681" t="s">
        <v>272</v>
      </c>
      <c r="D681" t="s">
        <v>33</v>
      </c>
      <c r="E681" t="str">
        <f>"131"</f>
        <v>131</v>
      </c>
      <c r="F681" t="s">
        <v>274</v>
      </c>
      <c r="G681" t="str">
        <f>"004"</f>
        <v>004</v>
      </c>
      <c r="H681" t="str">
        <f>"2296"</f>
        <v>2296</v>
      </c>
      <c r="I681" s="3">
        <v>33484500</v>
      </c>
      <c r="J681" s="3">
        <v>100</v>
      </c>
      <c r="K681" s="3">
        <v>33484500</v>
      </c>
      <c r="L681" s="3">
        <v>0</v>
      </c>
      <c r="M681" s="3">
        <v>33484500</v>
      </c>
      <c r="N681" s="3">
        <v>0</v>
      </c>
      <c r="O681" s="3">
        <v>0</v>
      </c>
      <c r="P681" s="3">
        <v>0</v>
      </c>
      <c r="Q681" s="3">
        <v>0</v>
      </c>
      <c r="R681" s="3">
        <v>-1325800</v>
      </c>
      <c r="S681" s="3">
        <v>0</v>
      </c>
      <c r="T681" s="3">
        <v>0</v>
      </c>
      <c r="U681" s="3">
        <v>0</v>
      </c>
      <c r="V681" s="3">
        <v>2016</v>
      </c>
      <c r="W681" s="3">
        <v>7476800</v>
      </c>
      <c r="X681" s="3">
        <v>32158700</v>
      </c>
      <c r="Y681" s="3">
        <v>24681900</v>
      </c>
      <c r="Z681" s="3">
        <v>35479700</v>
      </c>
      <c r="AA681" s="3">
        <v>-3321000</v>
      </c>
      <c r="AB681" s="3">
        <v>-9</v>
      </c>
    </row>
    <row r="682" spans="1:28" x14ac:dyDescent="0.35">
      <c r="A682">
        <v>2022</v>
      </c>
      <c r="B682" t="str">
        <f t="shared" si="89"/>
        <v>40</v>
      </c>
      <c r="C682" t="s">
        <v>272</v>
      </c>
      <c r="D682" t="s">
        <v>33</v>
      </c>
      <c r="E682" t="str">
        <f>"131"</f>
        <v>131</v>
      </c>
      <c r="F682" t="s">
        <v>274</v>
      </c>
      <c r="G682" t="str">
        <f>"005"</f>
        <v>005</v>
      </c>
      <c r="H682" t="str">
        <f>"2296"</f>
        <v>2296</v>
      </c>
      <c r="I682" s="3">
        <v>20221900</v>
      </c>
      <c r="J682" s="3">
        <v>100</v>
      </c>
      <c r="K682" s="3">
        <v>20221900</v>
      </c>
      <c r="L682" s="3">
        <v>0</v>
      </c>
      <c r="M682" s="3">
        <v>20221900</v>
      </c>
      <c r="N682" s="3">
        <v>0</v>
      </c>
      <c r="O682" s="3">
        <v>0</v>
      </c>
      <c r="P682" s="3">
        <v>0</v>
      </c>
      <c r="Q682" s="3">
        <v>0</v>
      </c>
      <c r="R682" s="3">
        <v>1108000</v>
      </c>
      <c r="S682" s="3">
        <v>0</v>
      </c>
      <c r="T682" s="3">
        <v>0</v>
      </c>
      <c r="U682" s="3">
        <v>0</v>
      </c>
      <c r="V682" s="3">
        <v>2018</v>
      </c>
      <c r="W682" s="3">
        <v>5149200</v>
      </c>
      <c r="X682" s="3">
        <v>21329900</v>
      </c>
      <c r="Y682" s="3">
        <v>16180700</v>
      </c>
      <c r="Z682" s="3">
        <v>18763200</v>
      </c>
      <c r="AA682" s="3">
        <v>2566700</v>
      </c>
      <c r="AB682" s="3">
        <v>14</v>
      </c>
    </row>
    <row r="683" spans="1:28" x14ac:dyDescent="0.35">
      <c r="A683">
        <v>2022</v>
      </c>
      <c r="B683" t="str">
        <f t="shared" si="89"/>
        <v>40</v>
      </c>
      <c r="C683" t="s">
        <v>272</v>
      </c>
      <c r="D683" t="s">
        <v>33</v>
      </c>
      <c r="E683" t="str">
        <f>"136"</f>
        <v>136</v>
      </c>
      <c r="F683" t="s">
        <v>275</v>
      </c>
      <c r="G683" t="str">
        <f>"004"</f>
        <v>004</v>
      </c>
      <c r="H683" t="str">
        <f>"6470"</f>
        <v>6470</v>
      </c>
      <c r="I683" s="3">
        <v>21528700</v>
      </c>
      <c r="J683" s="3">
        <v>84.43</v>
      </c>
      <c r="K683" s="3">
        <v>25498900</v>
      </c>
      <c r="L683" s="3">
        <v>0</v>
      </c>
      <c r="M683" s="3">
        <v>25498900</v>
      </c>
      <c r="N683" s="3">
        <v>0</v>
      </c>
      <c r="O683" s="3">
        <v>0</v>
      </c>
      <c r="P683" s="3">
        <v>0</v>
      </c>
      <c r="Q683" s="3">
        <v>0</v>
      </c>
      <c r="R683" s="3">
        <v>22200</v>
      </c>
      <c r="S683" s="3">
        <v>0</v>
      </c>
      <c r="T683" s="3">
        <v>0</v>
      </c>
      <c r="U683" s="3">
        <v>0</v>
      </c>
      <c r="V683" s="3">
        <v>2016</v>
      </c>
      <c r="W683" s="3">
        <v>11977200</v>
      </c>
      <c r="X683" s="3">
        <v>25521100</v>
      </c>
      <c r="Y683" s="3">
        <v>13543900</v>
      </c>
      <c r="Z683" s="3">
        <v>22953700</v>
      </c>
      <c r="AA683" s="3">
        <v>2567400</v>
      </c>
      <c r="AB683" s="3">
        <v>11</v>
      </c>
    </row>
    <row r="684" spans="1:28" x14ac:dyDescent="0.35">
      <c r="A684">
        <v>2022</v>
      </c>
      <c r="B684" t="str">
        <f t="shared" si="89"/>
        <v>40</v>
      </c>
      <c r="C684" t="s">
        <v>272</v>
      </c>
      <c r="D684" t="s">
        <v>33</v>
      </c>
      <c r="E684" t="str">
        <f>"176"</f>
        <v>176</v>
      </c>
      <c r="F684" t="s">
        <v>276</v>
      </c>
      <c r="G684" t="str">
        <f>"001"</f>
        <v>001</v>
      </c>
      <c r="H684" t="str">
        <f>"1897"</f>
        <v>1897</v>
      </c>
      <c r="I684" s="3">
        <v>0</v>
      </c>
      <c r="J684" s="3">
        <v>89.84</v>
      </c>
      <c r="K684" s="3">
        <v>0</v>
      </c>
      <c r="L684" s="3">
        <v>0</v>
      </c>
      <c r="M684" s="3">
        <v>0</v>
      </c>
      <c r="N684" s="3">
        <v>0</v>
      </c>
      <c r="O684" s="3">
        <v>0</v>
      </c>
      <c r="P684" s="3">
        <v>0</v>
      </c>
      <c r="Q684" s="3">
        <v>0</v>
      </c>
      <c r="R684" s="3">
        <v>0</v>
      </c>
      <c r="S684" s="3">
        <v>0</v>
      </c>
      <c r="T684" s="3">
        <v>0</v>
      </c>
      <c r="U684" s="3">
        <v>0</v>
      </c>
      <c r="V684" s="3">
        <v>2021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</row>
    <row r="685" spans="1:28" x14ac:dyDescent="0.35">
      <c r="A685">
        <v>2022</v>
      </c>
      <c r="B685" t="str">
        <f t="shared" si="89"/>
        <v>40</v>
      </c>
      <c r="C685" t="s">
        <v>272</v>
      </c>
      <c r="D685" t="s">
        <v>33</v>
      </c>
      <c r="E685" t="str">
        <f>"181"</f>
        <v>181</v>
      </c>
      <c r="F685" t="s">
        <v>277</v>
      </c>
      <c r="G685" t="str">
        <f>"003"</f>
        <v>003</v>
      </c>
      <c r="H685" t="str">
        <f>"5355"</f>
        <v>5355</v>
      </c>
      <c r="I685" s="3">
        <v>39976800</v>
      </c>
      <c r="J685" s="3">
        <v>89.84</v>
      </c>
      <c r="K685" s="3">
        <v>44497800</v>
      </c>
      <c r="L685" s="3">
        <v>0</v>
      </c>
      <c r="M685" s="3">
        <v>44497800</v>
      </c>
      <c r="N685" s="3">
        <v>0</v>
      </c>
      <c r="O685" s="3">
        <v>0</v>
      </c>
      <c r="P685" s="3">
        <v>5000</v>
      </c>
      <c r="Q685" s="3">
        <v>5000</v>
      </c>
      <c r="R685" s="3">
        <v>-5856400</v>
      </c>
      <c r="S685" s="3">
        <v>0</v>
      </c>
      <c r="T685" s="3">
        <v>0</v>
      </c>
      <c r="U685" s="3">
        <v>0</v>
      </c>
      <c r="V685" s="3">
        <v>2008</v>
      </c>
      <c r="W685" s="3">
        <v>7748400</v>
      </c>
      <c r="X685" s="3">
        <v>38646400</v>
      </c>
      <c r="Y685" s="3">
        <v>30898000</v>
      </c>
      <c r="Z685" s="3">
        <v>47026100</v>
      </c>
      <c r="AA685" s="3">
        <v>-8379700</v>
      </c>
      <c r="AB685" s="3">
        <v>-18</v>
      </c>
    </row>
    <row r="686" spans="1:28" x14ac:dyDescent="0.35">
      <c r="A686">
        <v>2022</v>
      </c>
      <c r="B686" t="str">
        <f t="shared" si="89"/>
        <v>40</v>
      </c>
      <c r="C686" t="s">
        <v>272</v>
      </c>
      <c r="D686" t="s">
        <v>33</v>
      </c>
      <c r="E686" t="str">
        <f>"181"</f>
        <v>181</v>
      </c>
      <c r="F686" t="s">
        <v>277</v>
      </c>
      <c r="G686" t="str">
        <f>"004"</f>
        <v>004</v>
      </c>
      <c r="H686" t="str">
        <f>"5355"</f>
        <v>5355</v>
      </c>
      <c r="I686" s="3">
        <v>18220400</v>
      </c>
      <c r="J686" s="3">
        <v>89.84</v>
      </c>
      <c r="K686" s="3">
        <v>20280900</v>
      </c>
      <c r="L686" s="3">
        <v>0</v>
      </c>
      <c r="M686" s="3">
        <v>20280900</v>
      </c>
      <c r="N686" s="3">
        <v>0</v>
      </c>
      <c r="O686" s="3">
        <v>0</v>
      </c>
      <c r="P686" s="3">
        <v>0</v>
      </c>
      <c r="Q686" s="3">
        <v>0</v>
      </c>
      <c r="R686" s="3">
        <v>431500</v>
      </c>
      <c r="S686" s="3">
        <v>0</v>
      </c>
      <c r="T686" s="3">
        <v>0</v>
      </c>
      <c r="U686" s="3">
        <v>0</v>
      </c>
      <c r="V686" s="3">
        <v>2011</v>
      </c>
      <c r="W686" s="3">
        <v>1195400</v>
      </c>
      <c r="X686" s="3">
        <v>20712400</v>
      </c>
      <c r="Y686" s="3">
        <v>19517000</v>
      </c>
      <c r="Z686" s="3">
        <v>18289800</v>
      </c>
      <c r="AA686" s="3">
        <v>2422600</v>
      </c>
      <c r="AB686" s="3">
        <v>13</v>
      </c>
    </row>
    <row r="687" spans="1:28" x14ac:dyDescent="0.35">
      <c r="A687">
        <v>2022</v>
      </c>
      <c r="B687" t="str">
        <f t="shared" si="89"/>
        <v>40</v>
      </c>
      <c r="C687" t="s">
        <v>272</v>
      </c>
      <c r="D687" t="s">
        <v>33</v>
      </c>
      <c r="E687" t="str">
        <f>"181"</f>
        <v>181</v>
      </c>
      <c r="F687" t="s">
        <v>277</v>
      </c>
      <c r="G687" t="str">
        <f>"005"</f>
        <v>005</v>
      </c>
      <c r="H687" t="str">
        <f>"5355"</f>
        <v>5355</v>
      </c>
      <c r="I687" s="3">
        <v>61098700</v>
      </c>
      <c r="J687" s="3">
        <v>89.84</v>
      </c>
      <c r="K687" s="3">
        <v>68008300</v>
      </c>
      <c r="L687" s="3">
        <v>0</v>
      </c>
      <c r="M687" s="3">
        <v>68008300</v>
      </c>
      <c r="N687" s="3">
        <v>0</v>
      </c>
      <c r="O687" s="3">
        <v>0</v>
      </c>
      <c r="P687" s="3">
        <v>0</v>
      </c>
      <c r="Q687" s="3">
        <v>0</v>
      </c>
      <c r="R687" s="3">
        <v>1444500</v>
      </c>
      <c r="S687" s="3">
        <v>0</v>
      </c>
      <c r="T687" s="3">
        <v>0</v>
      </c>
      <c r="U687" s="3">
        <v>0</v>
      </c>
      <c r="V687" s="3">
        <v>2014</v>
      </c>
      <c r="W687" s="3">
        <v>8085800</v>
      </c>
      <c r="X687" s="3">
        <v>69452800</v>
      </c>
      <c r="Y687" s="3">
        <v>61367000</v>
      </c>
      <c r="Z687" s="3">
        <v>61221300</v>
      </c>
      <c r="AA687" s="3">
        <v>8231500</v>
      </c>
      <c r="AB687" s="3">
        <v>13</v>
      </c>
    </row>
    <row r="688" spans="1:28" x14ac:dyDescent="0.35">
      <c r="A688">
        <v>2022</v>
      </c>
      <c r="B688" t="str">
        <f t="shared" si="89"/>
        <v>40</v>
      </c>
      <c r="C688" t="s">
        <v>272</v>
      </c>
      <c r="D688" t="s">
        <v>33</v>
      </c>
      <c r="E688" t="str">
        <f>"191"</f>
        <v>191</v>
      </c>
      <c r="F688" t="s">
        <v>278</v>
      </c>
      <c r="G688" t="str">
        <f>"001E"</f>
        <v>001E</v>
      </c>
      <c r="H688" t="str">
        <f>"6300"</f>
        <v>6300</v>
      </c>
      <c r="I688" s="3">
        <v>8355400</v>
      </c>
      <c r="J688" s="3">
        <v>79.569999999999993</v>
      </c>
      <c r="K688" s="3">
        <v>10500700</v>
      </c>
      <c r="L688" s="3">
        <v>0</v>
      </c>
      <c r="M688" s="3">
        <v>10500700</v>
      </c>
      <c r="N688" s="3">
        <v>0</v>
      </c>
      <c r="O688" s="3">
        <v>0</v>
      </c>
      <c r="P688" s="3">
        <v>0</v>
      </c>
      <c r="Q688" s="3">
        <v>0</v>
      </c>
      <c r="R688" s="3">
        <v>-25200</v>
      </c>
      <c r="S688" s="3">
        <v>0</v>
      </c>
      <c r="T688" s="3">
        <v>0</v>
      </c>
      <c r="U688" s="3">
        <v>0</v>
      </c>
      <c r="V688" s="3">
        <v>2016</v>
      </c>
      <c r="W688" s="3">
        <v>833100</v>
      </c>
      <c r="X688" s="3">
        <v>10475500</v>
      </c>
      <c r="Y688" s="3">
        <v>9642400</v>
      </c>
      <c r="Z688" s="3">
        <v>9543400</v>
      </c>
      <c r="AA688" s="3">
        <v>932100</v>
      </c>
      <c r="AB688" s="3">
        <v>10</v>
      </c>
    </row>
    <row r="689" spans="1:28" x14ac:dyDescent="0.35">
      <c r="A689">
        <v>2022</v>
      </c>
      <c r="B689" t="str">
        <f t="shared" si="89"/>
        <v>40</v>
      </c>
      <c r="C689" t="s">
        <v>272</v>
      </c>
      <c r="D689" t="s">
        <v>33</v>
      </c>
      <c r="E689" t="str">
        <f>"191"</f>
        <v>191</v>
      </c>
      <c r="F689" t="s">
        <v>278</v>
      </c>
      <c r="G689" t="str">
        <f>"002"</f>
        <v>002</v>
      </c>
      <c r="H689" t="str">
        <f>"6300"</f>
        <v>6300</v>
      </c>
      <c r="I689" s="3">
        <v>19078900</v>
      </c>
      <c r="J689" s="3">
        <v>79.569999999999993</v>
      </c>
      <c r="K689" s="3">
        <v>23977500</v>
      </c>
      <c r="L689" s="3">
        <v>0</v>
      </c>
      <c r="M689" s="3">
        <v>23977500</v>
      </c>
      <c r="N689" s="3">
        <v>0</v>
      </c>
      <c r="O689" s="3">
        <v>0</v>
      </c>
      <c r="P689" s="3">
        <v>0</v>
      </c>
      <c r="Q689" s="3">
        <v>0</v>
      </c>
      <c r="R689" s="3">
        <v>-56400</v>
      </c>
      <c r="S689" s="3">
        <v>0</v>
      </c>
      <c r="T689" s="3">
        <v>0</v>
      </c>
      <c r="U689" s="3">
        <v>0</v>
      </c>
      <c r="V689" s="3">
        <v>2001</v>
      </c>
      <c r="W689" s="3">
        <v>5022300</v>
      </c>
      <c r="X689" s="3">
        <v>23921100</v>
      </c>
      <c r="Y689" s="3">
        <v>18898800</v>
      </c>
      <c r="Z689" s="3">
        <v>21350400</v>
      </c>
      <c r="AA689" s="3">
        <v>2570700</v>
      </c>
      <c r="AB689" s="3">
        <v>12</v>
      </c>
    </row>
    <row r="690" spans="1:28" x14ac:dyDescent="0.35">
      <c r="A690">
        <v>2022</v>
      </c>
      <c r="B690" t="str">
        <f t="shared" si="89"/>
        <v>40</v>
      </c>
      <c r="C690" t="s">
        <v>272</v>
      </c>
      <c r="D690" t="s">
        <v>33</v>
      </c>
      <c r="E690" t="str">
        <f>"192"</f>
        <v>192</v>
      </c>
      <c r="F690" t="s">
        <v>279</v>
      </c>
      <c r="G690" t="str">
        <f>"001"</f>
        <v>001</v>
      </c>
      <c r="H690" t="str">
        <f>"6419"</f>
        <v>6419</v>
      </c>
      <c r="I690" s="3">
        <v>61389600</v>
      </c>
      <c r="J690" s="3">
        <v>83.4</v>
      </c>
      <c r="K690" s="3">
        <v>73608600</v>
      </c>
      <c r="L690" s="3">
        <v>0</v>
      </c>
      <c r="M690" s="3">
        <v>73608600</v>
      </c>
      <c r="N690" s="3">
        <v>0</v>
      </c>
      <c r="O690" s="3">
        <v>0</v>
      </c>
      <c r="P690" s="3">
        <v>10300</v>
      </c>
      <c r="Q690" s="3">
        <v>10300</v>
      </c>
      <c r="R690" s="3">
        <v>-2558700</v>
      </c>
      <c r="S690" s="3">
        <v>0</v>
      </c>
      <c r="T690" s="3">
        <v>0</v>
      </c>
      <c r="U690" s="3">
        <v>403900</v>
      </c>
      <c r="V690" s="3">
        <v>2004</v>
      </c>
      <c r="W690" s="3">
        <v>38403700</v>
      </c>
      <c r="X690" s="3">
        <v>71464100</v>
      </c>
      <c r="Y690" s="3">
        <v>33060400</v>
      </c>
      <c r="Z690" s="3">
        <v>65540100</v>
      </c>
      <c r="AA690" s="3">
        <v>5924000</v>
      </c>
      <c r="AB690" s="3">
        <v>9</v>
      </c>
    </row>
    <row r="691" spans="1:28" x14ac:dyDescent="0.35">
      <c r="A691">
        <v>2022</v>
      </c>
      <c r="B691" t="str">
        <f t="shared" si="89"/>
        <v>40</v>
      </c>
      <c r="C691" t="s">
        <v>272</v>
      </c>
      <c r="D691" t="s">
        <v>33</v>
      </c>
      <c r="E691" t="str">
        <f>"192"</f>
        <v>192</v>
      </c>
      <c r="F691" t="s">
        <v>279</v>
      </c>
      <c r="G691" t="str">
        <f>"002"</f>
        <v>002</v>
      </c>
      <c r="H691" t="str">
        <f>"6419"</f>
        <v>6419</v>
      </c>
      <c r="I691" s="3">
        <v>15905300</v>
      </c>
      <c r="J691" s="3">
        <v>83.4</v>
      </c>
      <c r="K691" s="3">
        <v>19071100</v>
      </c>
      <c r="L691" s="3">
        <v>0</v>
      </c>
      <c r="M691" s="3">
        <v>19071100</v>
      </c>
      <c r="N691" s="3">
        <v>0</v>
      </c>
      <c r="O691" s="3">
        <v>0</v>
      </c>
      <c r="P691" s="3">
        <v>0</v>
      </c>
      <c r="Q691" s="3">
        <v>0</v>
      </c>
      <c r="R691" s="3">
        <v>23400</v>
      </c>
      <c r="S691" s="3">
        <v>0</v>
      </c>
      <c r="T691" s="3">
        <v>0</v>
      </c>
      <c r="U691" s="3">
        <v>0</v>
      </c>
      <c r="V691" s="3">
        <v>2013</v>
      </c>
      <c r="W691" s="3">
        <v>405600</v>
      </c>
      <c r="X691" s="3">
        <v>19094500</v>
      </c>
      <c r="Y691" s="3">
        <v>18688900</v>
      </c>
      <c r="Z691" s="3">
        <v>16885800</v>
      </c>
      <c r="AA691" s="3">
        <v>2208700</v>
      </c>
      <c r="AB691" s="3">
        <v>13</v>
      </c>
    </row>
    <row r="692" spans="1:28" x14ac:dyDescent="0.35">
      <c r="A692">
        <v>2022</v>
      </c>
      <c r="B692" t="str">
        <f t="shared" si="89"/>
        <v>40</v>
      </c>
      <c r="C692" t="s">
        <v>272</v>
      </c>
      <c r="D692" t="s">
        <v>35</v>
      </c>
      <c r="E692" t="str">
        <f>"211"</f>
        <v>211</v>
      </c>
      <c r="F692" t="s">
        <v>280</v>
      </c>
      <c r="G692" t="str">
        <f>"001E"</f>
        <v>001E</v>
      </c>
      <c r="H692" t="str">
        <f>"1253"</f>
        <v>1253</v>
      </c>
      <c r="I692" s="3">
        <v>12419200</v>
      </c>
      <c r="J692" s="3">
        <v>100</v>
      </c>
      <c r="K692" s="3">
        <v>12419200</v>
      </c>
      <c r="L692" s="3">
        <v>0</v>
      </c>
      <c r="M692" s="3">
        <v>12419200</v>
      </c>
      <c r="N692" s="3">
        <v>0</v>
      </c>
      <c r="O692" s="3">
        <v>0</v>
      </c>
      <c r="P692" s="3">
        <v>0</v>
      </c>
      <c r="Q692" s="3">
        <v>0</v>
      </c>
      <c r="R692" s="3">
        <v>2563900</v>
      </c>
      <c r="S692" s="3">
        <v>0</v>
      </c>
      <c r="T692" s="3">
        <v>0</v>
      </c>
      <c r="U692" s="3">
        <v>0</v>
      </c>
      <c r="V692" s="3">
        <v>2003</v>
      </c>
      <c r="W692" s="3">
        <v>972600</v>
      </c>
      <c r="X692" s="3">
        <v>14983100</v>
      </c>
      <c r="Y692" s="3">
        <v>14010500</v>
      </c>
      <c r="Z692" s="3">
        <v>10644900</v>
      </c>
      <c r="AA692" s="3">
        <v>4338200</v>
      </c>
      <c r="AB692" s="3">
        <v>41</v>
      </c>
    </row>
    <row r="693" spans="1:28" x14ac:dyDescent="0.35">
      <c r="A693">
        <v>2022</v>
      </c>
      <c r="B693" t="str">
        <f t="shared" si="89"/>
        <v>40</v>
      </c>
      <c r="C693" t="s">
        <v>272</v>
      </c>
      <c r="D693" t="s">
        <v>35</v>
      </c>
      <c r="E693" t="str">
        <f>"211"</f>
        <v>211</v>
      </c>
      <c r="F693" t="s">
        <v>280</v>
      </c>
      <c r="G693" t="str">
        <f>"002E"</f>
        <v>002E</v>
      </c>
      <c r="H693" t="str">
        <f>"1253"</f>
        <v>1253</v>
      </c>
      <c r="I693" s="3">
        <v>0</v>
      </c>
      <c r="J693" s="3">
        <v>100</v>
      </c>
      <c r="K693" s="3">
        <v>0</v>
      </c>
      <c r="L693" s="3">
        <v>0</v>
      </c>
      <c r="M693" s="3">
        <v>0</v>
      </c>
      <c r="N693" s="3">
        <v>0</v>
      </c>
      <c r="O693" s="3">
        <v>0</v>
      </c>
      <c r="P693" s="3">
        <v>0</v>
      </c>
      <c r="Q693" s="3">
        <v>0</v>
      </c>
      <c r="R693" s="3">
        <v>14000</v>
      </c>
      <c r="S693" s="3">
        <v>0</v>
      </c>
      <c r="T693" s="3">
        <v>0</v>
      </c>
      <c r="U693" s="3">
        <v>582700</v>
      </c>
      <c r="V693" s="3">
        <v>2010</v>
      </c>
      <c r="W693" s="3">
        <v>527600</v>
      </c>
      <c r="X693" s="3">
        <v>596700</v>
      </c>
      <c r="Y693" s="3">
        <v>69100</v>
      </c>
      <c r="Z693" s="3">
        <v>603400</v>
      </c>
      <c r="AA693" s="3">
        <v>-6700</v>
      </c>
      <c r="AB693" s="3">
        <v>-1</v>
      </c>
    </row>
    <row r="694" spans="1:28" x14ac:dyDescent="0.35">
      <c r="A694">
        <v>2022</v>
      </c>
      <c r="B694" t="str">
        <f t="shared" si="89"/>
        <v>40</v>
      </c>
      <c r="C694" t="s">
        <v>272</v>
      </c>
      <c r="D694" t="s">
        <v>35</v>
      </c>
      <c r="E694" t="str">
        <f>"211"</f>
        <v>211</v>
      </c>
      <c r="F694" t="s">
        <v>280</v>
      </c>
      <c r="G694" t="str">
        <f>"005"</f>
        <v>005</v>
      </c>
      <c r="H694" t="str">
        <f>"1253"</f>
        <v>1253</v>
      </c>
      <c r="I694" s="3">
        <v>31181100</v>
      </c>
      <c r="J694" s="3">
        <v>100</v>
      </c>
      <c r="K694" s="3">
        <v>31181100</v>
      </c>
      <c r="L694" s="3">
        <v>0</v>
      </c>
      <c r="M694" s="3">
        <v>31181100</v>
      </c>
      <c r="N694" s="3">
        <v>10171000</v>
      </c>
      <c r="O694" s="3">
        <v>10171000</v>
      </c>
      <c r="P694" s="3">
        <v>1521500</v>
      </c>
      <c r="Q694" s="3">
        <v>1521500</v>
      </c>
      <c r="R694" s="3">
        <v>0</v>
      </c>
      <c r="S694" s="3">
        <v>0</v>
      </c>
      <c r="T694" s="3">
        <v>0</v>
      </c>
      <c r="U694" s="3">
        <v>0</v>
      </c>
      <c r="V694" s="3">
        <v>2021</v>
      </c>
      <c r="W694" s="3">
        <v>46871100</v>
      </c>
      <c r="X694" s="3">
        <v>42873600</v>
      </c>
      <c r="Y694" s="3">
        <v>-3997500</v>
      </c>
      <c r="Z694" s="3">
        <v>46871100</v>
      </c>
      <c r="AA694" s="3">
        <v>-3997500</v>
      </c>
      <c r="AB694" s="3">
        <v>-9</v>
      </c>
    </row>
    <row r="695" spans="1:28" x14ac:dyDescent="0.35">
      <c r="A695">
        <v>2022</v>
      </c>
      <c r="B695" t="str">
        <f t="shared" si="89"/>
        <v>40</v>
      </c>
      <c r="C695" t="s">
        <v>272</v>
      </c>
      <c r="D695" t="s">
        <v>35</v>
      </c>
      <c r="E695" t="str">
        <f>"226"</f>
        <v>226</v>
      </c>
      <c r="F695" t="s">
        <v>281</v>
      </c>
      <c r="G695" t="str">
        <f>"004"</f>
        <v>004</v>
      </c>
      <c r="H695" t="str">
        <f>"4018"</f>
        <v>4018</v>
      </c>
      <c r="I695" s="3">
        <v>30833400</v>
      </c>
      <c r="J695" s="3">
        <v>100</v>
      </c>
      <c r="K695" s="3">
        <v>30833400</v>
      </c>
      <c r="L695" s="3">
        <v>31155200</v>
      </c>
      <c r="M695" s="3">
        <v>31155200</v>
      </c>
      <c r="N695" s="3">
        <v>0</v>
      </c>
      <c r="O695" s="3">
        <v>0</v>
      </c>
      <c r="P695" s="3">
        <v>0</v>
      </c>
      <c r="Q695" s="3">
        <v>0</v>
      </c>
      <c r="R695" s="3">
        <v>-53500</v>
      </c>
      <c r="S695" s="3">
        <v>0</v>
      </c>
      <c r="T695" s="3">
        <v>0</v>
      </c>
      <c r="U695" s="3">
        <v>49430400</v>
      </c>
      <c r="V695" s="3">
        <v>2005</v>
      </c>
      <c r="W695" s="3">
        <v>19817900</v>
      </c>
      <c r="X695" s="3">
        <v>80532100</v>
      </c>
      <c r="Y695" s="3">
        <v>60714200</v>
      </c>
      <c r="Z695" s="3">
        <v>81112000</v>
      </c>
      <c r="AA695" s="3">
        <v>-579900</v>
      </c>
      <c r="AB695" s="3">
        <v>-1</v>
      </c>
    </row>
    <row r="696" spans="1:28" x14ac:dyDescent="0.35">
      <c r="A696">
        <v>2022</v>
      </c>
      <c r="B696" t="str">
        <f t="shared" si="89"/>
        <v>40</v>
      </c>
      <c r="C696" t="s">
        <v>272</v>
      </c>
      <c r="D696" t="s">
        <v>35</v>
      </c>
      <c r="E696" t="str">
        <f>"226"</f>
        <v>226</v>
      </c>
      <c r="F696" t="s">
        <v>281</v>
      </c>
      <c r="G696" t="str">
        <f>"005"</f>
        <v>005</v>
      </c>
      <c r="H696" t="str">
        <f>"1900"</f>
        <v>1900</v>
      </c>
      <c r="I696" s="3">
        <v>47060000</v>
      </c>
      <c r="J696" s="3">
        <v>100</v>
      </c>
      <c r="K696" s="3">
        <v>47060000</v>
      </c>
      <c r="L696" s="3">
        <v>52394400</v>
      </c>
      <c r="M696" s="3">
        <v>52394400</v>
      </c>
      <c r="N696" s="3">
        <v>0</v>
      </c>
      <c r="O696" s="3">
        <v>0</v>
      </c>
      <c r="P696" s="3">
        <v>0</v>
      </c>
      <c r="Q696" s="3">
        <v>0</v>
      </c>
      <c r="R696" s="3">
        <v>663300</v>
      </c>
      <c r="S696" s="3">
        <v>0</v>
      </c>
      <c r="T696" s="3">
        <v>0</v>
      </c>
      <c r="U696" s="3">
        <v>7495500</v>
      </c>
      <c r="V696" s="3">
        <v>2016</v>
      </c>
      <c r="W696" s="3">
        <v>3043900</v>
      </c>
      <c r="X696" s="3">
        <v>60553200</v>
      </c>
      <c r="Y696" s="3">
        <v>57509300</v>
      </c>
      <c r="Z696" s="3">
        <v>56299500</v>
      </c>
      <c r="AA696" s="3">
        <v>4253700</v>
      </c>
      <c r="AB696" s="3">
        <v>8</v>
      </c>
    </row>
    <row r="697" spans="1:28" x14ac:dyDescent="0.35">
      <c r="A697">
        <v>2022</v>
      </c>
      <c r="B697" t="str">
        <f t="shared" si="89"/>
        <v>40</v>
      </c>
      <c r="C697" t="s">
        <v>272</v>
      </c>
      <c r="D697" t="s">
        <v>35</v>
      </c>
      <c r="E697" t="str">
        <f>"226"</f>
        <v>226</v>
      </c>
      <c r="F697" t="s">
        <v>281</v>
      </c>
      <c r="G697" t="str">
        <f>"006"</f>
        <v>006</v>
      </c>
      <c r="H697" t="str">
        <f>"1900"</f>
        <v>1900</v>
      </c>
      <c r="I697" s="3">
        <v>4750100</v>
      </c>
      <c r="J697" s="3">
        <v>100</v>
      </c>
      <c r="K697" s="3">
        <v>4750100</v>
      </c>
      <c r="L697" s="3">
        <v>5111300</v>
      </c>
      <c r="M697" s="3">
        <v>5111300</v>
      </c>
      <c r="N697" s="3">
        <v>0</v>
      </c>
      <c r="O697" s="3">
        <v>0</v>
      </c>
      <c r="P697" s="3">
        <v>0</v>
      </c>
      <c r="Q697" s="3">
        <v>0</v>
      </c>
      <c r="R697" s="3">
        <v>-5100</v>
      </c>
      <c r="S697" s="3">
        <v>0</v>
      </c>
      <c r="T697" s="3">
        <v>0</v>
      </c>
      <c r="U697" s="3">
        <v>0</v>
      </c>
      <c r="V697" s="3">
        <v>2019</v>
      </c>
      <c r="W697" s="3">
        <v>2020400</v>
      </c>
      <c r="X697" s="3">
        <v>5106200</v>
      </c>
      <c r="Y697" s="3">
        <v>3085800</v>
      </c>
      <c r="Z697" s="3">
        <v>3689000</v>
      </c>
      <c r="AA697" s="3">
        <v>1417200</v>
      </c>
      <c r="AB697" s="3">
        <v>38</v>
      </c>
    </row>
    <row r="698" spans="1:28" x14ac:dyDescent="0.35">
      <c r="A698">
        <v>2022</v>
      </c>
      <c r="B698" t="str">
        <f t="shared" si="89"/>
        <v>40</v>
      </c>
      <c r="C698" t="s">
        <v>272</v>
      </c>
      <c r="D698" t="s">
        <v>35</v>
      </c>
      <c r="E698" t="str">
        <f>"226"</f>
        <v>226</v>
      </c>
      <c r="F698" t="s">
        <v>281</v>
      </c>
      <c r="G698" t="str">
        <f>"007"</f>
        <v>007</v>
      </c>
      <c r="H698" t="str">
        <f>"1900"</f>
        <v>1900</v>
      </c>
      <c r="I698" s="3">
        <v>27788400</v>
      </c>
      <c r="J698" s="3">
        <v>100</v>
      </c>
      <c r="K698" s="3">
        <v>27788400</v>
      </c>
      <c r="L698" s="3">
        <v>46419200</v>
      </c>
      <c r="M698" s="3">
        <v>46419200</v>
      </c>
      <c r="N698" s="3">
        <v>0</v>
      </c>
      <c r="O698" s="3">
        <v>0</v>
      </c>
      <c r="P698" s="3">
        <v>0</v>
      </c>
      <c r="Q698" s="3">
        <v>0</v>
      </c>
      <c r="R698" s="3">
        <v>-38800</v>
      </c>
      <c r="S698" s="3">
        <v>0</v>
      </c>
      <c r="T698" s="3">
        <v>0</v>
      </c>
      <c r="U698" s="3">
        <v>0</v>
      </c>
      <c r="V698" s="3">
        <v>2019</v>
      </c>
      <c r="W698" s="3">
        <v>7495500</v>
      </c>
      <c r="X698" s="3">
        <v>46380400</v>
      </c>
      <c r="Y698" s="3">
        <v>38884900</v>
      </c>
      <c r="Z698" s="3">
        <v>28291700</v>
      </c>
      <c r="AA698" s="3">
        <v>18088700</v>
      </c>
      <c r="AB698" s="3">
        <v>64</v>
      </c>
    </row>
    <row r="699" spans="1:28" x14ac:dyDescent="0.35">
      <c r="A699">
        <v>2022</v>
      </c>
      <c r="B699" t="str">
        <f t="shared" si="89"/>
        <v>40</v>
      </c>
      <c r="C699" t="s">
        <v>272</v>
      </c>
      <c r="D699" t="s">
        <v>35</v>
      </c>
      <c r="E699" t="str">
        <f>"226"</f>
        <v>226</v>
      </c>
      <c r="F699" t="s">
        <v>281</v>
      </c>
      <c r="G699" t="str">
        <f>"008"</f>
        <v>008</v>
      </c>
      <c r="H699" t="str">
        <f>"4018"</f>
        <v>4018</v>
      </c>
      <c r="I699" s="3">
        <v>51731700</v>
      </c>
      <c r="J699" s="3">
        <v>100</v>
      </c>
      <c r="K699" s="3">
        <v>51731700</v>
      </c>
      <c r="L699" s="3">
        <v>58523100</v>
      </c>
      <c r="M699" s="3">
        <v>58523100</v>
      </c>
      <c r="N699" s="3">
        <v>1925800</v>
      </c>
      <c r="O699" s="3">
        <v>1925800</v>
      </c>
      <c r="P699" s="3">
        <v>103000</v>
      </c>
      <c r="Q699" s="3">
        <v>103000</v>
      </c>
      <c r="R699" s="3">
        <v>-127100</v>
      </c>
      <c r="S699" s="3">
        <v>0</v>
      </c>
      <c r="T699" s="3">
        <v>0</v>
      </c>
      <c r="U699" s="3">
        <v>0</v>
      </c>
      <c r="V699" s="3">
        <v>2020</v>
      </c>
      <c r="W699" s="3">
        <v>49430400</v>
      </c>
      <c r="X699" s="3">
        <v>60424800</v>
      </c>
      <c r="Y699" s="3">
        <v>10994400</v>
      </c>
      <c r="Z699" s="3">
        <v>53588200</v>
      </c>
      <c r="AA699" s="3">
        <v>6836600</v>
      </c>
      <c r="AB699" s="3">
        <v>13</v>
      </c>
    </row>
    <row r="700" spans="1:28" x14ac:dyDescent="0.35">
      <c r="A700">
        <v>2022</v>
      </c>
      <c r="B700" t="str">
        <f t="shared" si="89"/>
        <v>40</v>
      </c>
      <c r="C700" t="s">
        <v>272</v>
      </c>
      <c r="D700" t="s">
        <v>35</v>
      </c>
      <c r="E700" t="str">
        <f>"231"</f>
        <v>231</v>
      </c>
      <c r="F700" t="s">
        <v>282</v>
      </c>
      <c r="G700" t="str">
        <f>"007"</f>
        <v>007</v>
      </c>
      <c r="H700" t="str">
        <f>"2184"</f>
        <v>2184</v>
      </c>
      <c r="I700" s="3">
        <v>96271900</v>
      </c>
      <c r="J700" s="3">
        <v>83.19</v>
      </c>
      <c r="K700" s="3">
        <v>115725300</v>
      </c>
      <c r="L700" s="3">
        <v>0</v>
      </c>
      <c r="M700" s="3">
        <v>115725300</v>
      </c>
      <c r="N700" s="3">
        <v>0</v>
      </c>
      <c r="O700" s="3">
        <v>0</v>
      </c>
      <c r="P700" s="3">
        <v>0</v>
      </c>
      <c r="Q700" s="3">
        <v>0</v>
      </c>
      <c r="R700" s="3">
        <v>390800</v>
      </c>
      <c r="S700" s="3">
        <v>0</v>
      </c>
      <c r="T700" s="3">
        <v>0</v>
      </c>
      <c r="U700" s="3">
        <v>0</v>
      </c>
      <c r="V700" s="3">
        <v>1996</v>
      </c>
      <c r="W700" s="3">
        <v>14036000</v>
      </c>
      <c r="X700" s="3">
        <v>116116100</v>
      </c>
      <c r="Y700" s="3">
        <v>102080100</v>
      </c>
      <c r="Z700" s="3">
        <v>110445300</v>
      </c>
      <c r="AA700" s="3">
        <v>5670800</v>
      </c>
      <c r="AB700" s="3">
        <v>5</v>
      </c>
    </row>
    <row r="701" spans="1:28" x14ac:dyDescent="0.35">
      <c r="A701">
        <v>2022</v>
      </c>
      <c r="B701" t="str">
        <f t="shared" si="89"/>
        <v>40</v>
      </c>
      <c r="C701" t="s">
        <v>272</v>
      </c>
      <c r="D701" t="s">
        <v>35</v>
      </c>
      <c r="E701" t="str">
        <f>"231"</f>
        <v>231</v>
      </c>
      <c r="F701" t="s">
        <v>282</v>
      </c>
      <c r="G701" t="str">
        <f>"008"</f>
        <v>008</v>
      </c>
      <c r="H701" t="str">
        <f>"2184"</f>
        <v>2184</v>
      </c>
      <c r="I701" s="3">
        <v>107995800</v>
      </c>
      <c r="J701" s="3">
        <v>83.19</v>
      </c>
      <c r="K701" s="3">
        <v>129818200</v>
      </c>
      <c r="L701" s="3">
        <v>0</v>
      </c>
      <c r="M701" s="3">
        <v>129818200</v>
      </c>
      <c r="N701" s="3">
        <v>0</v>
      </c>
      <c r="O701" s="3">
        <v>0</v>
      </c>
      <c r="P701" s="3">
        <v>0</v>
      </c>
      <c r="Q701" s="3">
        <v>0</v>
      </c>
      <c r="R701" s="3">
        <v>345600</v>
      </c>
      <c r="S701" s="3">
        <v>0</v>
      </c>
      <c r="T701" s="3">
        <v>0</v>
      </c>
      <c r="U701" s="3">
        <v>0</v>
      </c>
      <c r="V701" s="3">
        <v>2002</v>
      </c>
      <c r="W701" s="3">
        <v>77700800</v>
      </c>
      <c r="X701" s="3">
        <v>130163800</v>
      </c>
      <c r="Y701" s="3">
        <v>52463000</v>
      </c>
      <c r="Z701" s="3">
        <v>108335100</v>
      </c>
      <c r="AA701" s="3">
        <v>21828700</v>
      </c>
      <c r="AB701" s="3">
        <v>20</v>
      </c>
    </row>
    <row r="702" spans="1:28" x14ac:dyDescent="0.35">
      <c r="A702">
        <v>2022</v>
      </c>
      <c r="B702" t="str">
        <f t="shared" si="89"/>
        <v>40</v>
      </c>
      <c r="C702" t="s">
        <v>272</v>
      </c>
      <c r="D702" t="s">
        <v>35</v>
      </c>
      <c r="E702" t="str">
        <f>"236"</f>
        <v>236</v>
      </c>
      <c r="F702" t="s">
        <v>283</v>
      </c>
      <c r="G702" t="str">
        <f>"002"</f>
        <v>002</v>
      </c>
      <c r="H702" t="str">
        <f>"6470"</f>
        <v>6470</v>
      </c>
      <c r="I702" s="3">
        <v>59037400</v>
      </c>
      <c r="J702" s="3">
        <v>74.19</v>
      </c>
      <c r="K702" s="3">
        <v>79576000</v>
      </c>
      <c r="L702" s="3">
        <v>0</v>
      </c>
      <c r="M702" s="3">
        <v>79576000</v>
      </c>
      <c r="N702" s="3">
        <v>0</v>
      </c>
      <c r="O702" s="3">
        <v>0</v>
      </c>
      <c r="P702" s="3">
        <v>0</v>
      </c>
      <c r="Q702" s="3">
        <v>0</v>
      </c>
      <c r="R702" s="3">
        <v>44500</v>
      </c>
      <c r="S702" s="3">
        <v>0</v>
      </c>
      <c r="T702" s="3">
        <v>0</v>
      </c>
      <c r="U702" s="3">
        <v>0</v>
      </c>
      <c r="V702" s="3">
        <v>2007</v>
      </c>
      <c r="W702" s="3">
        <v>14974600</v>
      </c>
      <c r="X702" s="3">
        <v>79620500</v>
      </c>
      <c r="Y702" s="3">
        <v>64645900</v>
      </c>
      <c r="Z702" s="3">
        <v>72689000</v>
      </c>
      <c r="AA702" s="3">
        <v>6931500</v>
      </c>
      <c r="AB702" s="3">
        <v>10</v>
      </c>
    </row>
    <row r="703" spans="1:28" x14ac:dyDescent="0.35">
      <c r="A703">
        <v>2022</v>
      </c>
      <c r="B703" t="str">
        <f t="shared" si="89"/>
        <v>40</v>
      </c>
      <c r="C703" t="s">
        <v>272</v>
      </c>
      <c r="D703" t="s">
        <v>35</v>
      </c>
      <c r="E703" t="str">
        <f>"236"</f>
        <v>236</v>
      </c>
      <c r="F703" t="s">
        <v>283</v>
      </c>
      <c r="G703" t="str">
        <f>"004"</f>
        <v>004</v>
      </c>
      <c r="H703" t="str">
        <f>"2303"</f>
        <v>2303</v>
      </c>
      <c r="I703" s="3">
        <v>54559100</v>
      </c>
      <c r="J703" s="3">
        <v>74.19</v>
      </c>
      <c r="K703" s="3">
        <v>73539700</v>
      </c>
      <c r="L703" s="3">
        <v>0</v>
      </c>
      <c r="M703" s="3">
        <v>73539700</v>
      </c>
      <c r="N703" s="3">
        <v>0</v>
      </c>
      <c r="O703" s="3">
        <v>0</v>
      </c>
      <c r="P703" s="3">
        <v>0</v>
      </c>
      <c r="Q703" s="3">
        <v>0</v>
      </c>
      <c r="R703" s="3">
        <v>40600</v>
      </c>
      <c r="S703" s="3">
        <v>0</v>
      </c>
      <c r="T703" s="3">
        <v>0</v>
      </c>
      <c r="U703" s="3">
        <v>0</v>
      </c>
      <c r="V703" s="3">
        <v>2015</v>
      </c>
      <c r="W703" s="3">
        <v>25438700</v>
      </c>
      <c r="X703" s="3">
        <v>73580300</v>
      </c>
      <c r="Y703" s="3">
        <v>48141600</v>
      </c>
      <c r="Z703" s="3">
        <v>62185600</v>
      </c>
      <c r="AA703" s="3">
        <v>11394700</v>
      </c>
      <c r="AB703" s="3">
        <v>18</v>
      </c>
    </row>
    <row r="704" spans="1:28" x14ac:dyDescent="0.35">
      <c r="A704">
        <v>2022</v>
      </c>
      <c r="B704" t="str">
        <f t="shared" si="89"/>
        <v>40</v>
      </c>
      <c r="C704" t="s">
        <v>272</v>
      </c>
      <c r="D704" t="s">
        <v>35</v>
      </c>
      <c r="E704" t="str">
        <f>"236"</f>
        <v>236</v>
      </c>
      <c r="F704" t="s">
        <v>283</v>
      </c>
      <c r="G704" t="str">
        <f>"006"</f>
        <v>006</v>
      </c>
      <c r="H704" t="str">
        <f>"2303"</f>
        <v>2303</v>
      </c>
      <c r="I704" s="3">
        <v>158153300</v>
      </c>
      <c r="J704" s="3">
        <v>74.19</v>
      </c>
      <c r="K704" s="3">
        <v>213173300</v>
      </c>
      <c r="L704" s="3">
        <v>0</v>
      </c>
      <c r="M704" s="3">
        <v>213173300</v>
      </c>
      <c r="N704" s="3">
        <v>0</v>
      </c>
      <c r="O704" s="3">
        <v>0</v>
      </c>
      <c r="P704" s="3">
        <v>0</v>
      </c>
      <c r="Q704" s="3">
        <v>0</v>
      </c>
      <c r="R704" s="3">
        <v>120300</v>
      </c>
      <c r="S704" s="3">
        <v>0</v>
      </c>
      <c r="T704" s="3">
        <v>0</v>
      </c>
      <c r="U704" s="3">
        <v>0</v>
      </c>
      <c r="V704" s="3">
        <v>2015</v>
      </c>
      <c r="W704" s="3">
        <v>7959100</v>
      </c>
      <c r="X704" s="3">
        <v>213293600</v>
      </c>
      <c r="Y704" s="3">
        <v>205334500</v>
      </c>
      <c r="Z704" s="3">
        <v>196347100</v>
      </c>
      <c r="AA704" s="3">
        <v>16946500</v>
      </c>
      <c r="AB704" s="3">
        <v>9</v>
      </c>
    </row>
    <row r="705" spans="1:28" x14ac:dyDescent="0.35">
      <c r="A705">
        <v>2022</v>
      </c>
      <c r="B705" t="str">
        <f t="shared" si="89"/>
        <v>40</v>
      </c>
      <c r="C705" t="s">
        <v>272</v>
      </c>
      <c r="D705" t="s">
        <v>35</v>
      </c>
      <c r="E705" t="str">
        <f>"236"</f>
        <v>236</v>
      </c>
      <c r="F705" t="s">
        <v>283</v>
      </c>
      <c r="G705" t="str">
        <f>"007"</f>
        <v>007</v>
      </c>
      <c r="H705" t="str">
        <f>"6300"</f>
        <v>6300</v>
      </c>
      <c r="I705" s="3">
        <v>13581800</v>
      </c>
      <c r="J705" s="3">
        <v>74.19</v>
      </c>
      <c r="K705" s="3">
        <v>18306800</v>
      </c>
      <c r="L705" s="3">
        <v>0</v>
      </c>
      <c r="M705" s="3">
        <v>18306800</v>
      </c>
      <c r="N705" s="3">
        <v>0</v>
      </c>
      <c r="O705" s="3">
        <v>0</v>
      </c>
      <c r="P705" s="3">
        <v>2400</v>
      </c>
      <c r="Q705" s="3">
        <v>2400</v>
      </c>
      <c r="R705" s="3">
        <v>1400</v>
      </c>
      <c r="S705" s="3">
        <v>0</v>
      </c>
      <c r="T705" s="3">
        <v>0</v>
      </c>
      <c r="U705" s="3">
        <v>0</v>
      </c>
      <c r="V705" s="3">
        <v>2020</v>
      </c>
      <c r="W705" s="3">
        <v>2155500</v>
      </c>
      <c r="X705" s="3">
        <v>18310600</v>
      </c>
      <c r="Y705" s="3">
        <v>16155100</v>
      </c>
      <c r="Z705" s="3">
        <v>2214100</v>
      </c>
      <c r="AA705" s="3">
        <v>16096500</v>
      </c>
      <c r="AB705" s="3">
        <v>727</v>
      </c>
    </row>
    <row r="706" spans="1:28" x14ac:dyDescent="0.35">
      <c r="A706">
        <v>2022</v>
      </c>
      <c r="B706" t="str">
        <f t="shared" si="89"/>
        <v>40</v>
      </c>
      <c r="C706" t="s">
        <v>272</v>
      </c>
      <c r="D706" t="s">
        <v>35</v>
      </c>
      <c r="E706" t="str">
        <f>"236"</f>
        <v>236</v>
      </c>
      <c r="F706" t="s">
        <v>283</v>
      </c>
      <c r="G706" t="str">
        <f>"008"</f>
        <v>008</v>
      </c>
      <c r="H706" t="str">
        <f>"2303"</f>
        <v>2303</v>
      </c>
      <c r="I706" s="3">
        <v>9709000</v>
      </c>
      <c r="J706" s="3">
        <v>74.19</v>
      </c>
      <c r="K706" s="3">
        <v>13086700</v>
      </c>
      <c r="L706" s="3">
        <v>0</v>
      </c>
      <c r="M706" s="3">
        <v>13086700</v>
      </c>
      <c r="N706" s="3">
        <v>0</v>
      </c>
      <c r="O706" s="3">
        <v>0</v>
      </c>
      <c r="P706" s="3">
        <v>0</v>
      </c>
      <c r="Q706" s="3">
        <v>0</v>
      </c>
      <c r="R706" s="3">
        <v>0</v>
      </c>
      <c r="S706" s="3">
        <v>0</v>
      </c>
      <c r="T706" s="3">
        <v>0</v>
      </c>
      <c r="U706" s="3">
        <v>0</v>
      </c>
      <c r="V706" s="3">
        <v>2021</v>
      </c>
      <c r="W706" s="3">
        <v>6547700</v>
      </c>
      <c r="X706" s="3">
        <v>13086700</v>
      </c>
      <c r="Y706" s="3">
        <v>6539000</v>
      </c>
      <c r="Z706" s="3">
        <v>6547700</v>
      </c>
      <c r="AA706" s="3">
        <v>6539000</v>
      </c>
      <c r="AB706" s="3">
        <v>100</v>
      </c>
    </row>
    <row r="707" spans="1:28" x14ac:dyDescent="0.35">
      <c r="A707">
        <v>2022</v>
      </c>
      <c r="B707" t="str">
        <f t="shared" si="89"/>
        <v>40</v>
      </c>
      <c r="C707" t="s">
        <v>272</v>
      </c>
      <c r="D707" t="s">
        <v>35</v>
      </c>
      <c r="E707" t="str">
        <f t="shared" ref="E707:E738" si="90">"251"</f>
        <v>251</v>
      </c>
      <c r="F707" t="s">
        <v>272</v>
      </c>
      <c r="G707" t="str">
        <f>"037"</f>
        <v>037</v>
      </c>
      <c r="H707" t="str">
        <f t="shared" ref="H707:H738" si="91">"3619"</f>
        <v>3619</v>
      </c>
      <c r="I707" s="3">
        <v>129398200</v>
      </c>
      <c r="J707" s="3">
        <v>100</v>
      </c>
      <c r="K707" s="3">
        <v>129398200</v>
      </c>
      <c r="L707" s="3">
        <v>0</v>
      </c>
      <c r="M707" s="3">
        <v>129398200</v>
      </c>
      <c r="N707" s="3">
        <v>0</v>
      </c>
      <c r="O707" s="3">
        <v>0</v>
      </c>
      <c r="P707" s="3">
        <v>0</v>
      </c>
      <c r="Q707" s="3">
        <v>0</v>
      </c>
      <c r="R707" s="3">
        <v>-1839000</v>
      </c>
      <c r="S707" s="3">
        <v>0</v>
      </c>
      <c r="T707" s="3">
        <v>0</v>
      </c>
      <c r="U707" s="3">
        <v>18967000</v>
      </c>
      <c r="V707" s="3">
        <v>1998</v>
      </c>
      <c r="W707" s="3">
        <v>60317400</v>
      </c>
      <c r="X707" s="3">
        <v>146526200</v>
      </c>
      <c r="Y707" s="3">
        <v>86208800</v>
      </c>
      <c r="Z707" s="3">
        <v>164961000</v>
      </c>
      <c r="AA707" s="3">
        <v>-18434800</v>
      </c>
      <c r="AB707" s="3">
        <v>-11</v>
      </c>
    </row>
    <row r="708" spans="1:28" x14ac:dyDescent="0.35">
      <c r="A708">
        <v>2022</v>
      </c>
      <c r="B708" t="str">
        <f t="shared" ref="B708:B739" si="92">"40"</f>
        <v>40</v>
      </c>
      <c r="C708" t="s">
        <v>272</v>
      </c>
      <c r="D708" t="s">
        <v>35</v>
      </c>
      <c r="E708" t="str">
        <f t="shared" si="90"/>
        <v>251</v>
      </c>
      <c r="F708" t="s">
        <v>272</v>
      </c>
      <c r="G708" t="str">
        <f>"039"</f>
        <v>039</v>
      </c>
      <c r="H708" t="str">
        <f t="shared" si="91"/>
        <v>3619</v>
      </c>
      <c r="I708" s="3">
        <v>52590700</v>
      </c>
      <c r="J708" s="3">
        <v>100</v>
      </c>
      <c r="K708" s="3">
        <v>52590700</v>
      </c>
      <c r="L708" s="3">
        <v>0</v>
      </c>
      <c r="M708" s="3">
        <v>52590700</v>
      </c>
      <c r="N708" s="3">
        <v>0</v>
      </c>
      <c r="O708" s="3">
        <v>0</v>
      </c>
      <c r="P708" s="3">
        <v>0</v>
      </c>
      <c r="Q708" s="3">
        <v>0</v>
      </c>
      <c r="R708" s="3">
        <v>249200</v>
      </c>
      <c r="S708" s="3">
        <v>0</v>
      </c>
      <c r="T708" s="3">
        <v>0</v>
      </c>
      <c r="U708" s="3">
        <v>0</v>
      </c>
      <c r="V708" s="3">
        <v>2000</v>
      </c>
      <c r="W708" s="3">
        <v>23863400</v>
      </c>
      <c r="X708" s="3">
        <v>52839900</v>
      </c>
      <c r="Y708" s="3">
        <v>28976500</v>
      </c>
      <c r="Z708" s="3">
        <v>48779100</v>
      </c>
      <c r="AA708" s="3">
        <v>4060800</v>
      </c>
      <c r="AB708" s="3">
        <v>8</v>
      </c>
    </row>
    <row r="709" spans="1:28" x14ac:dyDescent="0.35">
      <c r="A709">
        <v>2022</v>
      </c>
      <c r="B709" t="str">
        <f t="shared" si="92"/>
        <v>40</v>
      </c>
      <c r="C709" t="s">
        <v>272</v>
      </c>
      <c r="D709" t="s">
        <v>35</v>
      </c>
      <c r="E709" t="str">
        <f t="shared" si="90"/>
        <v>251</v>
      </c>
      <c r="F709" t="s">
        <v>272</v>
      </c>
      <c r="G709" t="str">
        <f>"041"</f>
        <v>041</v>
      </c>
      <c r="H709" t="str">
        <f t="shared" si="91"/>
        <v>3619</v>
      </c>
      <c r="I709" s="3">
        <v>127892900</v>
      </c>
      <c r="J709" s="3">
        <v>100</v>
      </c>
      <c r="K709" s="3">
        <v>127892900</v>
      </c>
      <c r="L709" s="3">
        <v>0</v>
      </c>
      <c r="M709" s="3">
        <v>127892900</v>
      </c>
      <c r="N709" s="3">
        <v>0</v>
      </c>
      <c r="O709" s="3">
        <v>0</v>
      </c>
      <c r="P709" s="3">
        <v>0</v>
      </c>
      <c r="Q709" s="3">
        <v>0</v>
      </c>
      <c r="R709" s="3">
        <v>-444600</v>
      </c>
      <c r="S709" s="3">
        <v>0</v>
      </c>
      <c r="T709" s="3">
        <v>0</v>
      </c>
      <c r="U709" s="3">
        <v>0</v>
      </c>
      <c r="V709" s="3">
        <v>2000</v>
      </c>
      <c r="W709" s="3">
        <v>10021400</v>
      </c>
      <c r="X709" s="3">
        <v>127448300</v>
      </c>
      <c r="Y709" s="3">
        <v>117426900</v>
      </c>
      <c r="Z709" s="3">
        <v>141911700</v>
      </c>
      <c r="AA709" s="3">
        <v>-14463400</v>
      </c>
      <c r="AB709" s="3">
        <v>-10</v>
      </c>
    </row>
    <row r="710" spans="1:28" x14ac:dyDescent="0.35">
      <c r="A710">
        <v>2022</v>
      </c>
      <c r="B710" t="str">
        <f t="shared" si="92"/>
        <v>40</v>
      </c>
      <c r="C710" t="s">
        <v>272</v>
      </c>
      <c r="D710" t="s">
        <v>35</v>
      </c>
      <c r="E710" t="str">
        <f t="shared" si="90"/>
        <v>251</v>
      </c>
      <c r="F710" t="s">
        <v>272</v>
      </c>
      <c r="G710" t="str">
        <f>"042"</f>
        <v>042</v>
      </c>
      <c r="H710" t="str">
        <f t="shared" si="91"/>
        <v>3619</v>
      </c>
      <c r="I710" s="3">
        <v>37798100</v>
      </c>
      <c r="J710" s="3">
        <v>100</v>
      </c>
      <c r="K710" s="3">
        <v>37798100</v>
      </c>
      <c r="L710" s="3">
        <v>0</v>
      </c>
      <c r="M710" s="3">
        <v>37798100</v>
      </c>
      <c r="N710" s="3">
        <v>0</v>
      </c>
      <c r="O710" s="3">
        <v>0</v>
      </c>
      <c r="P710" s="3">
        <v>0</v>
      </c>
      <c r="Q710" s="3">
        <v>0</v>
      </c>
      <c r="R710" s="3">
        <v>255600</v>
      </c>
      <c r="S710" s="3">
        <v>0</v>
      </c>
      <c r="T710" s="3">
        <v>0</v>
      </c>
      <c r="U710" s="3">
        <v>0</v>
      </c>
      <c r="V710" s="3">
        <v>2001</v>
      </c>
      <c r="W710" s="3">
        <v>7118300</v>
      </c>
      <c r="X710" s="3">
        <v>38053700</v>
      </c>
      <c r="Y710" s="3">
        <v>30935400</v>
      </c>
      <c r="Z710" s="3">
        <v>41213500</v>
      </c>
      <c r="AA710" s="3">
        <v>-3159800</v>
      </c>
      <c r="AB710" s="3">
        <v>-8</v>
      </c>
    </row>
    <row r="711" spans="1:28" x14ac:dyDescent="0.35">
      <c r="A711">
        <v>2022</v>
      </c>
      <c r="B711" t="str">
        <f t="shared" si="92"/>
        <v>40</v>
      </c>
      <c r="C711" t="s">
        <v>272</v>
      </c>
      <c r="D711" t="s">
        <v>35</v>
      </c>
      <c r="E711" t="str">
        <f t="shared" si="90"/>
        <v>251</v>
      </c>
      <c r="F711" t="s">
        <v>272</v>
      </c>
      <c r="G711" t="str">
        <f>"046"</f>
        <v>046</v>
      </c>
      <c r="H711" t="str">
        <f t="shared" si="91"/>
        <v>3619</v>
      </c>
      <c r="I711" s="3">
        <v>0</v>
      </c>
      <c r="J711" s="3">
        <v>100</v>
      </c>
      <c r="K711" s="3">
        <v>0</v>
      </c>
      <c r="L711" s="3">
        <v>0</v>
      </c>
      <c r="M711" s="3">
        <v>0</v>
      </c>
      <c r="N711" s="3">
        <v>0</v>
      </c>
      <c r="O711" s="3">
        <v>0</v>
      </c>
      <c r="P711" s="3">
        <v>0</v>
      </c>
      <c r="Q711" s="3">
        <v>0</v>
      </c>
      <c r="R711" s="3">
        <v>0</v>
      </c>
      <c r="S711" s="3">
        <v>0</v>
      </c>
      <c r="T711" s="3">
        <v>0</v>
      </c>
      <c r="U711" s="3">
        <v>37542700</v>
      </c>
      <c r="V711" s="3">
        <v>2001</v>
      </c>
      <c r="W711" s="3">
        <v>14759500</v>
      </c>
      <c r="X711" s="3">
        <v>37542700</v>
      </c>
      <c r="Y711" s="3">
        <v>22783200</v>
      </c>
      <c r="Z711" s="3">
        <v>30244000</v>
      </c>
      <c r="AA711" s="3">
        <v>7298700</v>
      </c>
      <c r="AB711" s="3">
        <v>24</v>
      </c>
    </row>
    <row r="712" spans="1:28" x14ac:dyDescent="0.35">
      <c r="A712">
        <v>2022</v>
      </c>
      <c r="B712" t="str">
        <f t="shared" si="92"/>
        <v>40</v>
      </c>
      <c r="C712" t="s">
        <v>272</v>
      </c>
      <c r="D712" t="s">
        <v>35</v>
      </c>
      <c r="E712" t="str">
        <f t="shared" si="90"/>
        <v>251</v>
      </c>
      <c r="F712" t="s">
        <v>272</v>
      </c>
      <c r="G712" t="str">
        <f>"048"</f>
        <v>048</v>
      </c>
      <c r="H712" t="str">
        <f t="shared" si="91"/>
        <v>3619</v>
      </c>
      <c r="I712" s="3">
        <v>328449500</v>
      </c>
      <c r="J712" s="3">
        <v>100</v>
      </c>
      <c r="K712" s="3">
        <v>328449500</v>
      </c>
      <c r="L712" s="3">
        <v>0</v>
      </c>
      <c r="M712" s="3">
        <v>328449500</v>
      </c>
      <c r="N712" s="3">
        <v>0</v>
      </c>
      <c r="O712" s="3">
        <v>0</v>
      </c>
      <c r="P712" s="3">
        <v>0</v>
      </c>
      <c r="Q712" s="3">
        <v>0</v>
      </c>
      <c r="R712" s="3">
        <v>15782800</v>
      </c>
      <c r="S712" s="3">
        <v>0</v>
      </c>
      <c r="T712" s="3">
        <v>0</v>
      </c>
      <c r="U712" s="3">
        <v>18870500</v>
      </c>
      <c r="V712" s="3">
        <v>2002</v>
      </c>
      <c r="W712" s="3">
        <v>45325600</v>
      </c>
      <c r="X712" s="3">
        <v>363102800</v>
      </c>
      <c r="Y712" s="3">
        <v>317777200</v>
      </c>
      <c r="Z712" s="3">
        <v>383837200</v>
      </c>
      <c r="AA712" s="3">
        <v>-20734400</v>
      </c>
      <c r="AB712" s="3">
        <v>-5</v>
      </c>
    </row>
    <row r="713" spans="1:28" x14ac:dyDescent="0.35">
      <c r="A713">
        <v>2022</v>
      </c>
      <c r="B713" t="str">
        <f t="shared" si="92"/>
        <v>40</v>
      </c>
      <c r="C713" t="s">
        <v>272</v>
      </c>
      <c r="D713" t="s">
        <v>35</v>
      </c>
      <c r="E713" t="str">
        <f t="shared" si="90"/>
        <v>251</v>
      </c>
      <c r="F713" t="s">
        <v>272</v>
      </c>
      <c r="G713" t="str">
        <f>"049"</f>
        <v>049</v>
      </c>
      <c r="H713" t="str">
        <f t="shared" si="91"/>
        <v>3619</v>
      </c>
      <c r="I713" s="3">
        <v>62017100</v>
      </c>
      <c r="J713" s="3">
        <v>100</v>
      </c>
      <c r="K713" s="3">
        <v>62017100</v>
      </c>
      <c r="L713" s="3">
        <v>0</v>
      </c>
      <c r="M713" s="3">
        <v>62017100</v>
      </c>
      <c r="N713" s="3">
        <v>0</v>
      </c>
      <c r="O713" s="3">
        <v>0</v>
      </c>
      <c r="P713" s="3">
        <v>0</v>
      </c>
      <c r="Q713" s="3">
        <v>0</v>
      </c>
      <c r="R713" s="3">
        <v>-2613100</v>
      </c>
      <c r="S713" s="3">
        <v>0</v>
      </c>
      <c r="T713" s="3">
        <v>0</v>
      </c>
      <c r="U713" s="3">
        <v>0</v>
      </c>
      <c r="V713" s="3">
        <v>2002</v>
      </c>
      <c r="W713" s="3">
        <v>2052700</v>
      </c>
      <c r="X713" s="3">
        <v>59404000</v>
      </c>
      <c r="Y713" s="3">
        <v>57351300</v>
      </c>
      <c r="Z713" s="3">
        <v>62484800</v>
      </c>
      <c r="AA713" s="3">
        <v>-3080800</v>
      </c>
      <c r="AB713" s="3">
        <v>-5</v>
      </c>
    </row>
    <row r="714" spans="1:28" x14ac:dyDescent="0.35">
      <c r="A714">
        <v>2022</v>
      </c>
      <c r="B714" t="str">
        <f t="shared" si="92"/>
        <v>40</v>
      </c>
      <c r="C714" t="s">
        <v>272</v>
      </c>
      <c r="D714" t="s">
        <v>35</v>
      </c>
      <c r="E714" t="str">
        <f t="shared" si="90"/>
        <v>251</v>
      </c>
      <c r="F714" t="s">
        <v>272</v>
      </c>
      <c r="G714" t="str">
        <f>"051"</f>
        <v>051</v>
      </c>
      <c r="H714" t="str">
        <f t="shared" si="91"/>
        <v>3619</v>
      </c>
      <c r="I714" s="3">
        <v>15960000</v>
      </c>
      <c r="J714" s="3">
        <v>100</v>
      </c>
      <c r="K714" s="3">
        <v>15960000</v>
      </c>
      <c r="L714" s="3">
        <v>0</v>
      </c>
      <c r="M714" s="3">
        <v>15960000</v>
      </c>
      <c r="N714" s="3">
        <v>0</v>
      </c>
      <c r="O714" s="3">
        <v>0</v>
      </c>
      <c r="P714" s="3">
        <v>0</v>
      </c>
      <c r="Q714" s="3">
        <v>0</v>
      </c>
      <c r="R714" s="3">
        <v>-413800</v>
      </c>
      <c r="S714" s="3">
        <v>0</v>
      </c>
      <c r="T714" s="3">
        <v>0</v>
      </c>
      <c r="U714" s="3">
        <v>0</v>
      </c>
      <c r="V714" s="3">
        <v>2003</v>
      </c>
      <c r="W714" s="3">
        <v>10048700</v>
      </c>
      <c r="X714" s="3">
        <v>15546200</v>
      </c>
      <c r="Y714" s="3">
        <v>5497500</v>
      </c>
      <c r="Z714" s="3">
        <v>16817500</v>
      </c>
      <c r="AA714" s="3">
        <v>-1271300</v>
      </c>
      <c r="AB714" s="3">
        <v>-8</v>
      </c>
    </row>
    <row r="715" spans="1:28" x14ac:dyDescent="0.35">
      <c r="A715">
        <v>2022</v>
      </c>
      <c r="B715" t="str">
        <f t="shared" si="92"/>
        <v>40</v>
      </c>
      <c r="C715" t="s">
        <v>272</v>
      </c>
      <c r="D715" t="s">
        <v>35</v>
      </c>
      <c r="E715" t="str">
        <f t="shared" si="90"/>
        <v>251</v>
      </c>
      <c r="F715" t="s">
        <v>272</v>
      </c>
      <c r="G715" t="str">
        <f>"053"</f>
        <v>053</v>
      </c>
      <c r="H715" t="str">
        <f t="shared" si="91"/>
        <v>3619</v>
      </c>
      <c r="I715" s="3">
        <v>19675700</v>
      </c>
      <c r="J715" s="3">
        <v>100</v>
      </c>
      <c r="K715" s="3">
        <v>19675700</v>
      </c>
      <c r="L715" s="3">
        <v>0</v>
      </c>
      <c r="M715" s="3">
        <v>19675700</v>
      </c>
      <c r="N715" s="3">
        <v>49520800</v>
      </c>
      <c r="O715" s="3">
        <v>49520800</v>
      </c>
      <c r="P715" s="3">
        <v>3555500</v>
      </c>
      <c r="Q715" s="3">
        <v>3555500</v>
      </c>
      <c r="R715" s="3">
        <v>532200</v>
      </c>
      <c r="S715" s="3">
        <v>0</v>
      </c>
      <c r="T715" s="3">
        <v>0</v>
      </c>
      <c r="U715" s="3">
        <v>4602800</v>
      </c>
      <c r="V715" s="3">
        <v>2004</v>
      </c>
      <c r="W715" s="3">
        <v>4752300</v>
      </c>
      <c r="X715" s="3">
        <v>77887000</v>
      </c>
      <c r="Y715" s="3">
        <v>73134700</v>
      </c>
      <c r="Z715" s="3">
        <v>82535700</v>
      </c>
      <c r="AA715" s="3">
        <v>-4648700</v>
      </c>
      <c r="AB715" s="3">
        <v>-6</v>
      </c>
    </row>
    <row r="716" spans="1:28" x14ac:dyDescent="0.35">
      <c r="A716">
        <v>2022</v>
      </c>
      <c r="B716" t="str">
        <f t="shared" si="92"/>
        <v>40</v>
      </c>
      <c r="C716" t="s">
        <v>272</v>
      </c>
      <c r="D716" t="s">
        <v>35</v>
      </c>
      <c r="E716" t="str">
        <f t="shared" si="90"/>
        <v>251</v>
      </c>
      <c r="F716" t="s">
        <v>272</v>
      </c>
      <c r="G716" t="str">
        <f>"054"</f>
        <v>054</v>
      </c>
      <c r="H716" t="str">
        <f t="shared" si="91"/>
        <v>3619</v>
      </c>
      <c r="I716" s="3">
        <v>20044700</v>
      </c>
      <c r="J716" s="3">
        <v>100</v>
      </c>
      <c r="K716" s="3">
        <v>20044700</v>
      </c>
      <c r="L716" s="3">
        <v>0</v>
      </c>
      <c r="M716" s="3">
        <v>20044700</v>
      </c>
      <c r="N716" s="3">
        <v>0</v>
      </c>
      <c r="O716" s="3">
        <v>0</v>
      </c>
      <c r="P716" s="3">
        <v>0</v>
      </c>
      <c r="Q716" s="3">
        <v>0</v>
      </c>
      <c r="R716" s="3">
        <v>-194400</v>
      </c>
      <c r="S716" s="3">
        <v>0</v>
      </c>
      <c r="T716" s="3">
        <v>0</v>
      </c>
      <c r="U716" s="3">
        <v>0</v>
      </c>
      <c r="V716" s="3">
        <v>2004</v>
      </c>
      <c r="W716" s="3">
        <v>1148000</v>
      </c>
      <c r="X716" s="3">
        <v>19850300</v>
      </c>
      <c r="Y716" s="3">
        <v>18702300</v>
      </c>
      <c r="Z716" s="3">
        <v>21575800</v>
      </c>
      <c r="AA716" s="3">
        <v>-1725500</v>
      </c>
      <c r="AB716" s="3">
        <v>-8</v>
      </c>
    </row>
    <row r="717" spans="1:28" x14ac:dyDescent="0.35">
      <c r="A717">
        <v>2022</v>
      </c>
      <c r="B717" t="str">
        <f t="shared" si="92"/>
        <v>40</v>
      </c>
      <c r="C717" t="s">
        <v>272</v>
      </c>
      <c r="D717" t="s">
        <v>35</v>
      </c>
      <c r="E717" t="str">
        <f t="shared" si="90"/>
        <v>251</v>
      </c>
      <c r="F717" t="s">
        <v>272</v>
      </c>
      <c r="G717" t="str">
        <f>"056"</f>
        <v>056</v>
      </c>
      <c r="H717" t="str">
        <f t="shared" si="91"/>
        <v>3619</v>
      </c>
      <c r="I717" s="3">
        <v>197959700</v>
      </c>
      <c r="J717" s="3">
        <v>100</v>
      </c>
      <c r="K717" s="3">
        <v>197959700</v>
      </c>
      <c r="L717" s="3">
        <v>0</v>
      </c>
      <c r="M717" s="3">
        <v>197959700</v>
      </c>
      <c r="N717" s="3">
        <v>0</v>
      </c>
      <c r="O717" s="3">
        <v>0</v>
      </c>
      <c r="P717" s="3">
        <v>0</v>
      </c>
      <c r="Q717" s="3">
        <v>0</v>
      </c>
      <c r="R717" s="3">
        <v>12000</v>
      </c>
      <c r="S717" s="3">
        <v>0</v>
      </c>
      <c r="T717" s="3">
        <v>0</v>
      </c>
      <c r="U717" s="3">
        <v>0</v>
      </c>
      <c r="V717" s="3">
        <v>2004</v>
      </c>
      <c r="W717" s="3">
        <v>8958600</v>
      </c>
      <c r="X717" s="3">
        <v>197971700</v>
      </c>
      <c r="Y717" s="3">
        <v>189013100</v>
      </c>
      <c r="Z717" s="3">
        <v>200429300</v>
      </c>
      <c r="AA717" s="3">
        <v>-2457600</v>
      </c>
      <c r="AB717" s="3">
        <v>-1</v>
      </c>
    </row>
    <row r="718" spans="1:28" x14ac:dyDescent="0.35">
      <c r="A718">
        <v>2022</v>
      </c>
      <c r="B718" t="str">
        <f t="shared" si="92"/>
        <v>40</v>
      </c>
      <c r="C718" t="s">
        <v>272</v>
      </c>
      <c r="D718" t="s">
        <v>35</v>
      </c>
      <c r="E718" t="str">
        <f t="shared" si="90"/>
        <v>251</v>
      </c>
      <c r="F718" t="s">
        <v>272</v>
      </c>
      <c r="G718" t="str">
        <f>"057"</f>
        <v>057</v>
      </c>
      <c r="H718" t="str">
        <f t="shared" si="91"/>
        <v>3619</v>
      </c>
      <c r="I718" s="3">
        <v>15975400</v>
      </c>
      <c r="J718" s="3">
        <v>100</v>
      </c>
      <c r="K718" s="3">
        <v>15975400</v>
      </c>
      <c r="L718" s="3">
        <v>0</v>
      </c>
      <c r="M718" s="3">
        <v>15975400</v>
      </c>
      <c r="N718" s="3">
        <v>0</v>
      </c>
      <c r="O718" s="3">
        <v>0</v>
      </c>
      <c r="P718" s="3">
        <v>0</v>
      </c>
      <c r="Q718" s="3">
        <v>0</v>
      </c>
      <c r="R718" s="3">
        <v>-55700</v>
      </c>
      <c r="S718" s="3">
        <v>0</v>
      </c>
      <c r="T718" s="3">
        <v>0</v>
      </c>
      <c r="U718" s="3">
        <v>0</v>
      </c>
      <c r="V718" s="3">
        <v>2005</v>
      </c>
      <c r="W718" s="3">
        <v>0</v>
      </c>
      <c r="X718" s="3">
        <v>15919700</v>
      </c>
      <c r="Y718" s="3">
        <v>15919700</v>
      </c>
      <c r="Z718" s="3">
        <v>17565500</v>
      </c>
      <c r="AA718" s="3">
        <v>-1645800</v>
      </c>
      <c r="AB718" s="3">
        <v>-9</v>
      </c>
    </row>
    <row r="719" spans="1:28" x14ac:dyDescent="0.35">
      <c r="A719">
        <v>2022</v>
      </c>
      <c r="B719" t="str">
        <f t="shared" si="92"/>
        <v>40</v>
      </c>
      <c r="C719" t="s">
        <v>272</v>
      </c>
      <c r="D719" t="s">
        <v>35</v>
      </c>
      <c r="E719" t="str">
        <f t="shared" si="90"/>
        <v>251</v>
      </c>
      <c r="F719" t="s">
        <v>272</v>
      </c>
      <c r="G719" t="str">
        <f>"059"</f>
        <v>059</v>
      </c>
      <c r="H719" t="str">
        <f t="shared" si="91"/>
        <v>3619</v>
      </c>
      <c r="I719" s="3">
        <v>60795500</v>
      </c>
      <c r="J719" s="3">
        <v>100</v>
      </c>
      <c r="K719" s="3">
        <v>60795500</v>
      </c>
      <c r="L719" s="3">
        <v>0</v>
      </c>
      <c r="M719" s="3">
        <v>60795500</v>
      </c>
      <c r="N719" s="3">
        <v>523700</v>
      </c>
      <c r="O719" s="3">
        <v>523700</v>
      </c>
      <c r="P719" s="3">
        <v>12900</v>
      </c>
      <c r="Q719" s="3">
        <v>12900</v>
      </c>
      <c r="R719" s="3">
        <v>50400</v>
      </c>
      <c r="S719" s="3">
        <v>0</v>
      </c>
      <c r="T719" s="3">
        <v>0</v>
      </c>
      <c r="U719" s="3">
        <v>3723400</v>
      </c>
      <c r="V719" s="3">
        <v>2005</v>
      </c>
      <c r="W719" s="3">
        <v>46021500</v>
      </c>
      <c r="X719" s="3">
        <v>65105900</v>
      </c>
      <c r="Y719" s="3">
        <v>19084400</v>
      </c>
      <c r="Z719" s="3">
        <v>56550900</v>
      </c>
      <c r="AA719" s="3">
        <v>8555000</v>
      </c>
      <c r="AB719" s="3">
        <v>15</v>
      </c>
    </row>
    <row r="720" spans="1:28" x14ac:dyDescent="0.35">
      <c r="A720">
        <v>2022</v>
      </c>
      <c r="B720" t="str">
        <f t="shared" si="92"/>
        <v>40</v>
      </c>
      <c r="C720" t="s">
        <v>272</v>
      </c>
      <c r="D720" t="s">
        <v>35</v>
      </c>
      <c r="E720" t="str">
        <f t="shared" si="90"/>
        <v>251</v>
      </c>
      <c r="F720" t="s">
        <v>272</v>
      </c>
      <c r="G720" t="str">
        <f>"060"</f>
        <v>060</v>
      </c>
      <c r="H720" t="str">
        <f t="shared" si="91"/>
        <v>3619</v>
      </c>
      <c r="I720" s="3">
        <v>10240700</v>
      </c>
      <c r="J720" s="3">
        <v>100</v>
      </c>
      <c r="K720" s="3">
        <v>10240700</v>
      </c>
      <c r="L720" s="3">
        <v>0</v>
      </c>
      <c r="M720" s="3">
        <v>10240700</v>
      </c>
      <c r="N720" s="3">
        <v>1328400</v>
      </c>
      <c r="O720" s="3">
        <v>1328400</v>
      </c>
      <c r="P720" s="3">
        <v>145300</v>
      </c>
      <c r="Q720" s="3">
        <v>145300</v>
      </c>
      <c r="R720" s="3">
        <v>14200</v>
      </c>
      <c r="S720" s="3">
        <v>0</v>
      </c>
      <c r="T720" s="3">
        <v>0</v>
      </c>
      <c r="U720" s="3">
        <v>0</v>
      </c>
      <c r="V720" s="3">
        <v>2005</v>
      </c>
      <c r="W720" s="3">
        <v>2212900</v>
      </c>
      <c r="X720" s="3">
        <v>11728600</v>
      </c>
      <c r="Y720" s="3">
        <v>9515700</v>
      </c>
      <c r="Z720" s="3">
        <v>12177900</v>
      </c>
      <c r="AA720" s="3">
        <v>-449300</v>
      </c>
      <c r="AB720" s="3">
        <v>-4</v>
      </c>
    </row>
    <row r="721" spans="1:28" x14ac:dyDescent="0.35">
      <c r="A721">
        <v>2022</v>
      </c>
      <c r="B721" t="str">
        <f t="shared" si="92"/>
        <v>40</v>
      </c>
      <c r="C721" t="s">
        <v>272</v>
      </c>
      <c r="D721" t="s">
        <v>35</v>
      </c>
      <c r="E721" t="str">
        <f t="shared" si="90"/>
        <v>251</v>
      </c>
      <c r="F721" t="s">
        <v>272</v>
      </c>
      <c r="G721" t="str">
        <f>"062"</f>
        <v>062</v>
      </c>
      <c r="H721" t="str">
        <f t="shared" si="91"/>
        <v>3619</v>
      </c>
      <c r="I721" s="3">
        <v>0</v>
      </c>
      <c r="J721" s="3">
        <v>100</v>
      </c>
      <c r="K721" s="3">
        <v>0</v>
      </c>
      <c r="L721" s="3">
        <v>0</v>
      </c>
      <c r="M721" s="3">
        <v>0</v>
      </c>
      <c r="N721" s="3">
        <v>5240800</v>
      </c>
      <c r="O721" s="3">
        <v>5240800</v>
      </c>
      <c r="P721" s="3">
        <v>3265600</v>
      </c>
      <c r="Q721" s="3">
        <v>3265600</v>
      </c>
      <c r="R721" s="3">
        <v>0</v>
      </c>
      <c r="S721" s="3">
        <v>0</v>
      </c>
      <c r="T721" s="3">
        <v>0</v>
      </c>
      <c r="U721" s="3">
        <v>0</v>
      </c>
      <c r="V721" s="3">
        <v>2006</v>
      </c>
      <c r="W721" s="3">
        <v>5329800</v>
      </c>
      <c r="X721" s="3">
        <v>8506400</v>
      </c>
      <c r="Y721" s="3">
        <v>3176600</v>
      </c>
      <c r="Z721" s="3">
        <v>9991500</v>
      </c>
      <c r="AA721" s="3">
        <v>-1485100</v>
      </c>
      <c r="AB721" s="3">
        <v>-15</v>
      </c>
    </row>
    <row r="722" spans="1:28" x14ac:dyDescent="0.35">
      <c r="A722">
        <v>2022</v>
      </c>
      <c r="B722" t="str">
        <f t="shared" si="92"/>
        <v>40</v>
      </c>
      <c r="C722" t="s">
        <v>272</v>
      </c>
      <c r="D722" t="s">
        <v>35</v>
      </c>
      <c r="E722" t="str">
        <f t="shared" si="90"/>
        <v>251</v>
      </c>
      <c r="F722" t="s">
        <v>272</v>
      </c>
      <c r="G722" t="str">
        <f>"063"</f>
        <v>063</v>
      </c>
      <c r="H722" t="str">
        <f t="shared" si="91"/>
        <v>3619</v>
      </c>
      <c r="I722" s="3">
        <v>0</v>
      </c>
      <c r="J722" s="3">
        <v>100</v>
      </c>
      <c r="K722" s="3">
        <v>0</v>
      </c>
      <c r="L722" s="3">
        <v>0</v>
      </c>
      <c r="M722" s="3">
        <v>0</v>
      </c>
      <c r="N722" s="3">
        <v>10327000</v>
      </c>
      <c r="O722" s="3">
        <v>10327000</v>
      </c>
      <c r="P722" s="3">
        <v>7961300</v>
      </c>
      <c r="Q722" s="3">
        <v>7961300</v>
      </c>
      <c r="R722" s="3">
        <v>0</v>
      </c>
      <c r="S722" s="3">
        <v>0</v>
      </c>
      <c r="T722" s="3">
        <v>0</v>
      </c>
      <c r="U722" s="3">
        <v>0</v>
      </c>
      <c r="V722" s="3">
        <v>2006</v>
      </c>
      <c r="W722" s="3">
        <v>8871100</v>
      </c>
      <c r="X722" s="3">
        <v>18288300</v>
      </c>
      <c r="Y722" s="3">
        <v>9417200</v>
      </c>
      <c r="Z722" s="3">
        <v>11447800</v>
      </c>
      <c r="AA722" s="3">
        <v>6840500</v>
      </c>
      <c r="AB722" s="3">
        <v>60</v>
      </c>
    </row>
    <row r="723" spans="1:28" x14ac:dyDescent="0.35">
      <c r="A723">
        <v>2022</v>
      </c>
      <c r="B723" t="str">
        <f t="shared" si="92"/>
        <v>40</v>
      </c>
      <c r="C723" t="s">
        <v>272</v>
      </c>
      <c r="D723" t="s">
        <v>35</v>
      </c>
      <c r="E723" t="str">
        <f t="shared" si="90"/>
        <v>251</v>
      </c>
      <c r="F723" t="s">
        <v>272</v>
      </c>
      <c r="G723" t="str">
        <f>"064"</f>
        <v>064</v>
      </c>
      <c r="H723" t="str">
        <f t="shared" si="91"/>
        <v>3619</v>
      </c>
      <c r="I723" s="3">
        <v>27361800</v>
      </c>
      <c r="J723" s="3">
        <v>100</v>
      </c>
      <c r="K723" s="3">
        <v>27361800</v>
      </c>
      <c r="L723" s="3">
        <v>0</v>
      </c>
      <c r="M723" s="3">
        <v>27361800</v>
      </c>
      <c r="N723" s="3">
        <v>0</v>
      </c>
      <c r="O723" s="3">
        <v>0</v>
      </c>
      <c r="P723" s="3">
        <v>0</v>
      </c>
      <c r="Q723" s="3">
        <v>0</v>
      </c>
      <c r="R723" s="3">
        <v>384000</v>
      </c>
      <c r="S723" s="3">
        <v>0</v>
      </c>
      <c r="T723" s="3">
        <v>0</v>
      </c>
      <c r="U723" s="3">
        <v>0</v>
      </c>
      <c r="V723" s="3">
        <v>2006</v>
      </c>
      <c r="W723" s="3">
        <v>14358000</v>
      </c>
      <c r="X723" s="3">
        <v>27745800</v>
      </c>
      <c r="Y723" s="3">
        <v>13387800</v>
      </c>
      <c r="Z723" s="3">
        <v>30033000</v>
      </c>
      <c r="AA723" s="3">
        <v>-2287200</v>
      </c>
      <c r="AB723" s="3">
        <v>-8</v>
      </c>
    </row>
    <row r="724" spans="1:28" x14ac:dyDescent="0.35">
      <c r="A724">
        <v>2022</v>
      </c>
      <c r="B724" t="str">
        <f t="shared" si="92"/>
        <v>40</v>
      </c>
      <c r="C724" t="s">
        <v>272</v>
      </c>
      <c r="D724" t="s">
        <v>35</v>
      </c>
      <c r="E724" t="str">
        <f t="shared" si="90"/>
        <v>251</v>
      </c>
      <c r="F724" t="s">
        <v>272</v>
      </c>
      <c r="G724" t="str">
        <f>"067"</f>
        <v>067</v>
      </c>
      <c r="H724" t="str">
        <f t="shared" si="91"/>
        <v>3619</v>
      </c>
      <c r="I724" s="3">
        <v>175113700</v>
      </c>
      <c r="J724" s="3">
        <v>100</v>
      </c>
      <c r="K724" s="3">
        <v>175113700</v>
      </c>
      <c r="L724" s="3">
        <v>0</v>
      </c>
      <c r="M724" s="3">
        <v>175113700</v>
      </c>
      <c r="N724" s="3">
        <v>0</v>
      </c>
      <c r="O724" s="3">
        <v>0</v>
      </c>
      <c r="P724" s="3">
        <v>0</v>
      </c>
      <c r="Q724" s="3">
        <v>0</v>
      </c>
      <c r="R724" s="3">
        <v>7099700</v>
      </c>
      <c r="S724" s="3">
        <v>0</v>
      </c>
      <c r="T724" s="3">
        <v>0</v>
      </c>
      <c r="U724" s="3">
        <v>0</v>
      </c>
      <c r="V724" s="3">
        <v>2007</v>
      </c>
      <c r="W724" s="3">
        <v>9266900</v>
      </c>
      <c r="X724" s="3">
        <v>182213400</v>
      </c>
      <c r="Y724" s="3">
        <v>172946500</v>
      </c>
      <c r="Z724" s="3">
        <v>172604000</v>
      </c>
      <c r="AA724" s="3">
        <v>9609400</v>
      </c>
      <c r="AB724" s="3">
        <v>6</v>
      </c>
    </row>
    <row r="725" spans="1:28" x14ac:dyDescent="0.35">
      <c r="A725">
        <v>2022</v>
      </c>
      <c r="B725" t="str">
        <f t="shared" si="92"/>
        <v>40</v>
      </c>
      <c r="C725" t="s">
        <v>272</v>
      </c>
      <c r="D725" t="s">
        <v>35</v>
      </c>
      <c r="E725" t="str">
        <f t="shared" si="90"/>
        <v>251</v>
      </c>
      <c r="F725" t="s">
        <v>272</v>
      </c>
      <c r="G725" t="str">
        <f>"068"</f>
        <v>068</v>
      </c>
      <c r="H725" t="str">
        <f t="shared" si="91"/>
        <v>3619</v>
      </c>
      <c r="I725" s="3">
        <v>89836400</v>
      </c>
      <c r="J725" s="3">
        <v>100</v>
      </c>
      <c r="K725" s="3">
        <v>89836400</v>
      </c>
      <c r="L725" s="3">
        <v>0</v>
      </c>
      <c r="M725" s="3">
        <v>89836400</v>
      </c>
      <c r="N725" s="3">
        <v>0</v>
      </c>
      <c r="O725" s="3">
        <v>0</v>
      </c>
      <c r="P725" s="3">
        <v>0</v>
      </c>
      <c r="Q725" s="3">
        <v>0</v>
      </c>
      <c r="R725" s="3">
        <v>-96100</v>
      </c>
      <c r="S725" s="3">
        <v>0</v>
      </c>
      <c r="T725" s="3">
        <v>0</v>
      </c>
      <c r="U725" s="3">
        <v>0</v>
      </c>
      <c r="V725" s="3">
        <v>2007</v>
      </c>
      <c r="W725" s="3">
        <v>32806800</v>
      </c>
      <c r="X725" s="3">
        <v>89740300</v>
      </c>
      <c r="Y725" s="3">
        <v>56933500</v>
      </c>
      <c r="Z725" s="3">
        <v>90674800</v>
      </c>
      <c r="AA725" s="3">
        <v>-934500</v>
      </c>
      <c r="AB725" s="3">
        <v>-1</v>
      </c>
    </row>
    <row r="726" spans="1:28" x14ac:dyDescent="0.35">
      <c r="A726">
        <v>2022</v>
      </c>
      <c r="B726" t="str">
        <f t="shared" si="92"/>
        <v>40</v>
      </c>
      <c r="C726" t="s">
        <v>272</v>
      </c>
      <c r="D726" t="s">
        <v>35</v>
      </c>
      <c r="E726" t="str">
        <f t="shared" si="90"/>
        <v>251</v>
      </c>
      <c r="F726" t="s">
        <v>272</v>
      </c>
      <c r="G726" t="str">
        <f>"070"</f>
        <v>070</v>
      </c>
      <c r="H726" t="str">
        <f t="shared" si="91"/>
        <v>3619</v>
      </c>
      <c r="I726" s="3">
        <v>35105900</v>
      </c>
      <c r="J726" s="3">
        <v>100</v>
      </c>
      <c r="K726" s="3">
        <v>35105900</v>
      </c>
      <c r="L726" s="3">
        <v>0</v>
      </c>
      <c r="M726" s="3">
        <v>35105900</v>
      </c>
      <c r="N726" s="3">
        <v>0</v>
      </c>
      <c r="O726" s="3">
        <v>0</v>
      </c>
      <c r="P726" s="3">
        <v>0</v>
      </c>
      <c r="Q726" s="3">
        <v>0</v>
      </c>
      <c r="R726" s="3">
        <v>-13900</v>
      </c>
      <c r="S726" s="3">
        <v>0</v>
      </c>
      <c r="T726" s="3">
        <v>0</v>
      </c>
      <c r="U726" s="3">
        <v>0</v>
      </c>
      <c r="V726" s="3">
        <v>2007</v>
      </c>
      <c r="W726" s="3">
        <v>14904700</v>
      </c>
      <c r="X726" s="3">
        <v>35092000</v>
      </c>
      <c r="Y726" s="3">
        <v>20187300</v>
      </c>
      <c r="Z726" s="3">
        <v>38126900</v>
      </c>
      <c r="AA726" s="3">
        <v>-3034900</v>
      </c>
      <c r="AB726" s="3">
        <v>-8</v>
      </c>
    </row>
    <row r="727" spans="1:28" x14ac:dyDescent="0.35">
      <c r="A727">
        <v>2022</v>
      </c>
      <c r="B727" t="str">
        <f t="shared" si="92"/>
        <v>40</v>
      </c>
      <c r="C727" t="s">
        <v>272</v>
      </c>
      <c r="D727" t="s">
        <v>35</v>
      </c>
      <c r="E727" t="str">
        <f t="shared" si="90"/>
        <v>251</v>
      </c>
      <c r="F727" t="s">
        <v>272</v>
      </c>
      <c r="G727" t="str">
        <f>"071"</f>
        <v>071</v>
      </c>
      <c r="H727" t="str">
        <f t="shared" si="91"/>
        <v>3619</v>
      </c>
      <c r="I727" s="3">
        <v>72492300</v>
      </c>
      <c r="J727" s="3">
        <v>100</v>
      </c>
      <c r="K727" s="3">
        <v>72492300</v>
      </c>
      <c r="L727" s="3">
        <v>0</v>
      </c>
      <c r="M727" s="3">
        <v>72492300</v>
      </c>
      <c r="N727" s="3">
        <v>854900</v>
      </c>
      <c r="O727" s="3">
        <v>854900</v>
      </c>
      <c r="P727" s="3">
        <v>169500</v>
      </c>
      <c r="Q727" s="3">
        <v>169500</v>
      </c>
      <c r="R727" s="3">
        <v>706400</v>
      </c>
      <c r="S727" s="3">
        <v>0</v>
      </c>
      <c r="T727" s="3">
        <v>0</v>
      </c>
      <c r="U727" s="3">
        <v>0</v>
      </c>
      <c r="V727" s="3">
        <v>2008</v>
      </c>
      <c r="W727" s="3">
        <v>66751300</v>
      </c>
      <c r="X727" s="3">
        <v>74223100</v>
      </c>
      <c r="Y727" s="3">
        <v>7471800</v>
      </c>
      <c r="Z727" s="3">
        <v>75202100</v>
      </c>
      <c r="AA727" s="3">
        <v>-979000</v>
      </c>
      <c r="AB727" s="3">
        <v>-1</v>
      </c>
    </row>
    <row r="728" spans="1:28" x14ac:dyDescent="0.35">
      <c r="A728">
        <v>2022</v>
      </c>
      <c r="B728" t="str">
        <f t="shared" si="92"/>
        <v>40</v>
      </c>
      <c r="C728" t="s">
        <v>272</v>
      </c>
      <c r="D728" t="s">
        <v>35</v>
      </c>
      <c r="E728" t="str">
        <f t="shared" si="90"/>
        <v>251</v>
      </c>
      <c r="F728" t="s">
        <v>272</v>
      </c>
      <c r="G728" t="str">
        <f>"072"</f>
        <v>072</v>
      </c>
      <c r="H728" t="str">
        <f t="shared" si="91"/>
        <v>3619</v>
      </c>
      <c r="I728" s="3">
        <v>29297700</v>
      </c>
      <c r="J728" s="3">
        <v>100</v>
      </c>
      <c r="K728" s="3">
        <v>29297700</v>
      </c>
      <c r="L728" s="3">
        <v>0</v>
      </c>
      <c r="M728" s="3">
        <v>29297700</v>
      </c>
      <c r="N728" s="3">
        <v>0</v>
      </c>
      <c r="O728" s="3">
        <v>0</v>
      </c>
      <c r="P728" s="3">
        <v>0</v>
      </c>
      <c r="Q728" s="3">
        <v>0</v>
      </c>
      <c r="R728" s="3">
        <v>-109100</v>
      </c>
      <c r="S728" s="3">
        <v>0</v>
      </c>
      <c r="T728" s="3">
        <v>0</v>
      </c>
      <c r="U728" s="3">
        <v>0</v>
      </c>
      <c r="V728" s="3">
        <v>2009</v>
      </c>
      <c r="W728" s="3">
        <v>24474700</v>
      </c>
      <c r="X728" s="3">
        <v>29188600</v>
      </c>
      <c r="Y728" s="3">
        <v>4713900</v>
      </c>
      <c r="Z728" s="3">
        <v>25135900</v>
      </c>
      <c r="AA728" s="3">
        <v>4052700</v>
      </c>
      <c r="AB728" s="3">
        <v>16</v>
      </c>
    </row>
    <row r="729" spans="1:28" x14ac:dyDescent="0.35">
      <c r="A729">
        <v>2022</v>
      </c>
      <c r="B729" t="str">
        <f t="shared" si="92"/>
        <v>40</v>
      </c>
      <c r="C729" t="s">
        <v>272</v>
      </c>
      <c r="D729" t="s">
        <v>35</v>
      </c>
      <c r="E729" t="str">
        <f t="shared" si="90"/>
        <v>251</v>
      </c>
      <c r="F729" t="s">
        <v>272</v>
      </c>
      <c r="G729" t="str">
        <f>"073"</f>
        <v>073</v>
      </c>
      <c r="H729" t="str">
        <f t="shared" si="91"/>
        <v>3619</v>
      </c>
      <c r="I729" s="3">
        <v>9009500</v>
      </c>
      <c r="J729" s="3">
        <v>100</v>
      </c>
      <c r="K729" s="3">
        <v>9009500</v>
      </c>
      <c r="L729" s="3">
        <v>0</v>
      </c>
      <c r="M729" s="3">
        <v>9009500</v>
      </c>
      <c r="N729" s="3">
        <v>0</v>
      </c>
      <c r="O729" s="3">
        <v>0</v>
      </c>
      <c r="P729" s="3">
        <v>0</v>
      </c>
      <c r="Q729" s="3">
        <v>0</v>
      </c>
      <c r="R729" s="3">
        <v>10600</v>
      </c>
      <c r="S729" s="3">
        <v>0</v>
      </c>
      <c r="T729" s="3">
        <v>0</v>
      </c>
      <c r="U729" s="3">
        <v>0</v>
      </c>
      <c r="V729" s="3">
        <v>2009</v>
      </c>
      <c r="W729" s="3">
        <v>4602800</v>
      </c>
      <c r="X729" s="3">
        <v>9020100</v>
      </c>
      <c r="Y729" s="3">
        <v>4417300</v>
      </c>
      <c r="Z729" s="3">
        <v>9369200</v>
      </c>
      <c r="AA729" s="3">
        <v>-349100</v>
      </c>
      <c r="AB729" s="3">
        <v>-4</v>
      </c>
    </row>
    <row r="730" spans="1:28" x14ac:dyDescent="0.35">
      <c r="A730">
        <v>2022</v>
      </c>
      <c r="B730" t="str">
        <f t="shared" si="92"/>
        <v>40</v>
      </c>
      <c r="C730" t="s">
        <v>272</v>
      </c>
      <c r="D730" t="s">
        <v>35</v>
      </c>
      <c r="E730" t="str">
        <f t="shared" si="90"/>
        <v>251</v>
      </c>
      <c r="F730" t="s">
        <v>272</v>
      </c>
      <c r="G730" t="str">
        <f>"074"</f>
        <v>074</v>
      </c>
      <c r="H730" t="str">
        <f t="shared" si="91"/>
        <v>3619</v>
      </c>
      <c r="I730" s="3">
        <v>66948800</v>
      </c>
      <c r="J730" s="3">
        <v>100</v>
      </c>
      <c r="K730" s="3">
        <v>66948800</v>
      </c>
      <c r="L730" s="3">
        <v>0</v>
      </c>
      <c r="M730" s="3">
        <v>66948800</v>
      </c>
      <c r="N730" s="3">
        <v>3187100</v>
      </c>
      <c r="O730" s="3">
        <v>3187100</v>
      </c>
      <c r="P730" s="3">
        <v>1613100</v>
      </c>
      <c r="Q730" s="3">
        <v>1613100</v>
      </c>
      <c r="R730" s="3">
        <v>-10500</v>
      </c>
      <c r="S730" s="3">
        <v>0</v>
      </c>
      <c r="T730" s="3">
        <v>0</v>
      </c>
      <c r="U730" s="3">
        <v>917800</v>
      </c>
      <c r="V730" s="3">
        <v>2009</v>
      </c>
      <c r="W730" s="3">
        <v>63334700</v>
      </c>
      <c r="X730" s="3">
        <v>72656300</v>
      </c>
      <c r="Y730" s="3">
        <v>9321600</v>
      </c>
      <c r="Z730" s="3">
        <v>63204700</v>
      </c>
      <c r="AA730" s="3">
        <v>9451600</v>
      </c>
      <c r="AB730" s="3">
        <v>15</v>
      </c>
    </row>
    <row r="731" spans="1:28" x14ac:dyDescent="0.35">
      <c r="A731">
        <v>2022</v>
      </c>
      <c r="B731" t="str">
        <f t="shared" si="92"/>
        <v>40</v>
      </c>
      <c r="C731" t="s">
        <v>272</v>
      </c>
      <c r="D731" t="s">
        <v>35</v>
      </c>
      <c r="E731" t="str">
        <f t="shared" si="90"/>
        <v>251</v>
      </c>
      <c r="F731" t="s">
        <v>272</v>
      </c>
      <c r="G731" t="str">
        <f>"075"</f>
        <v>075</v>
      </c>
      <c r="H731" t="str">
        <f t="shared" si="91"/>
        <v>3619</v>
      </c>
      <c r="I731" s="3">
        <v>144447300</v>
      </c>
      <c r="J731" s="3">
        <v>100</v>
      </c>
      <c r="K731" s="3">
        <v>144447300</v>
      </c>
      <c r="L731" s="3">
        <v>0</v>
      </c>
      <c r="M731" s="3">
        <v>144447300</v>
      </c>
      <c r="N731" s="3">
        <v>0</v>
      </c>
      <c r="O731" s="3">
        <v>0</v>
      </c>
      <c r="P731" s="3">
        <v>50200</v>
      </c>
      <c r="Q731" s="3">
        <v>50200</v>
      </c>
      <c r="R731" s="3">
        <v>2376900</v>
      </c>
      <c r="S731" s="3">
        <v>0</v>
      </c>
      <c r="T731" s="3">
        <v>0</v>
      </c>
      <c r="U731" s="3">
        <v>0</v>
      </c>
      <c r="V731" s="3">
        <v>2009</v>
      </c>
      <c r="W731" s="3">
        <v>26470500</v>
      </c>
      <c r="X731" s="3">
        <v>146874400</v>
      </c>
      <c r="Y731" s="3">
        <v>120403900</v>
      </c>
      <c r="Z731" s="3">
        <v>155089600</v>
      </c>
      <c r="AA731" s="3">
        <v>-8215200</v>
      </c>
      <c r="AB731" s="3">
        <v>-5</v>
      </c>
    </row>
    <row r="732" spans="1:28" x14ac:dyDescent="0.35">
      <c r="A732">
        <v>2022</v>
      </c>
      <c r="B732" t="str">
        <f t="shared" si="92"/>
        <v>40</v>
      </c>
      <c r="C732" t="s">
        <v>272</v>
      </c>
      <c r="D732" t="s">
        <v>35</v>
      </c>
      <c r="E732" t="str">
        <f t="shared" si="90"/>
        <v>251</v>
      </c>
      <c r="F732" t="s">
        <v>272</v>
      </c>
      <c r="G732" t="str">
        <f>"076"</f>
        <v>076</v>
      </c>
      <c r="H732" t="str">
        <f t="shared" si="91"/>
        <v>3619</v>
      </c>
      <c r="I732" s="3">
        <v>21589200</v>
      </c>
      <c r="J732" s="3">
        <v>100</v>
      </c>
      <c r="K732" s="3">
        <v>21589200</v>
      </c>
      <c r="L732" s="3">
        <v>0</v>
      </c>
      <c r="M732" s="3">
        <v>21589200</v>
      </c>
      <c r="N732" s="3">
        <v>0</v>
      </c>
      <c r="O732" s="3">
        <v>0</v>
      </c>
      <c r="P732" s="3">
        <v>0</v>
      </c>
      <c r="Q732" s="3">
        <v>0</v>
      </c>
      <c r="R732" s="3">
        <v>-95900</v>
      </c>
      <c r="S732" s="3">
        <v>0</v>
      </c>
      <c r="T732" s="3">
        <v>0</v>
      </c>
      <c r="U732" s="3">
        <v>0</v>
      </c>
      <c r="V732" s="3">
        <v>2010</v>
      </c>
      <c r="W732" s="3">
        <v>16113000</v>
      </c>
      <c r="X732" s="3">
        <v>21493300</v>
      </c>
      <c r="Y732" s="3">
        <v>5380300</v>
      </c>
      <c r="Z732" s="3">
        <v>23306200</v>
      </c>
      <c r="AA732" s="3">
        <v>-1812900</v>
      </c>
      <c r="AB732" s="3">
        <v>-8</v>
      </c>
    </row>
    <row r="733" spans="1:28" x14ac:dyDescent="0.35">
      <c r="A733">
        <v>2022</v>
      </c>
      <c r="B733" t="str">
        <f t="shared" si="92"/>
        <v>40</v>
      </c>
      <c r="C733" t="s">
        <v>272</v>
      </c>
      <c r="D733" t="s">
        <v>35</v>
      </c>
      <c r="E733" t="str">
        <f t="shared" si="90"/>
        <v>251</v>
      </c>
      <c r="F733" t="s">
        <v>272</v>
      </c>
      <c r="G733" t="str">
        <f>"077"</f>
        <v>077</v>
      </c>
      <c r="H733" t="str">
        <f t="shared" si="91"/>
        <v>3619</v>
      </c>
      <c r="I733" s="3">
        <v>0</v>
      </c>
      <c r="J733" s="3">
        <v>100</v>
      </c>
      <c r="K733" s="3">
        <v>0</v>
      </c>
      <c r="L733" s="3">
        <v>0</v>
      </c>
      <c r="M733" s="3">
        <v>0</v>
      </c>
      <c r="N733" s="3">
        <v>8889300</v>
      </c>
      <c r="O733" s="3">
        <v>8889300</v>
      </c>
      <c r="P733" s="3">
        <v>440000</v>
      </c>
      <c r="Q733" s="3">
        <v>440000</v>
      </c>
      <c r="R733" s="3">
        <v>0</v>
      </c>
      <c r="S733" s="3">
        <v>0</v>
      </c>
      <c r="T733" s="3">
        <v>0</v>
      </c>
      <c r="U733" s="3">
        <v>0</v>
      </c>
      <c r="V733" s="3">
        <v>2012</v>
      </c>
      <c r="W733" s="3">
        <v>3368100</v>
      </c>
      <c r="X733" s="3">
        <v>9329300</v>
      </c>
      <c r="Y733" s="3">
        <v>5961200</v>
      </c>
      <c r="Z733" s="3">
        <v>9265200</v>
      </c>
      <c r="AA733" s="3">
        <v>64100</v>
      </c>
      <c r="AB733" s="3">
        <v>1</v>
      </c>
    </row>
    <row r="734" spans="1:28" x14ac:dyDescent="0.35">
      <c r="A734">
        <v>2022</v>
      </c>
      <c r="B734" t="str">
        <f t="shared" si="92"/>
        <v>40</v>
      </c>
      <c r="C734" t="s">
        <v>272</v>
      </c>
      <c r="D734" t="s">
        <v>35</v>
      </c>
      <c r="E734" t="str">
        <f t="shared" si="90"/>
        <v>251</v>
      </c>
      <c r="F734" t="s">
        <v>272</v>
      </c>
      <c r="G734" t="str">
        <f>"078"</f>
        <v>078</v>
      </c>
      <c r="H734" t="str">
        <f t="shared" si="91"/>
        <v>3619</v>
      </c>
      <c r="I734" s="3">
        <v>312474900</v>
      </c>
      <c r="J734" s="3">
        <v>100</v>
      </c>
      <c r="K734" s="3">
        <v>312474900</v>
      </c>
      <c r="L734" s="3">
        <v>0</v>
      </c>
      <c r="M734" s="3">
        <v>312474900</v>
      </c>
      <c r="N734" s="3">
        <v>0</v>
      </c>
      <c r="O734" s="3">
        <v>0</v>
      </c>
      <c r="P734" s="3">
        <v>0</v>
      </c>
      <c r="Q734" s="3">
        <v>0</v>
      </c>
      <c r="R734" s="3">
        <v>-496100</v>
      </c>
      <c r="S734" s="3">
        <v>0</v>
      </c>
      <c r="T734" s="3">
        <v>0</v>
      </c>
      <c r="U734" s="3">
        <v>0</v>
      </c>
      <c r="V734" s="3">
        <v>2013</v>
      </c>
      <c r="W734" s="3">
        <v>49588500</v>
      </c>
      <c r="X734" s="3">
        <v>311978800</v>
      </c>
      <c r="Y734" s="3">
        <v>262390300</v>
      </c>
      <c r="Z734" s="3">
        <v>334295100</v>
      </c>
      <c r="AA734" s="3">
        <v>-22316300</v>
      </c>
      <c r="AB734" s="3">
        <v>-7</v>
      </c>
    </row>
    <row r="735" spans="1:28" x14ac:dyDescent="0.35">
      <c r="A735">
        <v>2022</v>
      </c>
      <c r="B735" t="str">
        <f t="shared" si="92"/>
        <v>40</v>
      </c>
      <c r="C735" t="s">
        <v>272</v>
      </c>
      <c r="D735" t="s">
        <v>35</v>
      </c>
      <c r="E735" t="str">
        <f t="shared" si="90"/>
        <v>251</v>
      </c>
      <c r="F735" t="s">
        <v>272</v>
      </c>
      <c r="G735" t="str">
        <f>"079"</f>
        <v>079</v>
      </c>
      <c r="H735" t="str">
        <f t="shared" si="91"/>
        <v>3619</v>
      </c>
      <c r="I735" s="3">
        <v>66028200</v>
      </c>
      <c r="J735" s="3">
        <v>100</v>
      </c>
      <c r="K735" s="3">
        <v>66028200</v>
      </c>
      <c r="L735" s="3">
        <v>0</v>
      </c>
      <c r="M735" s="3">
        <v>66028200</v>
      </c>
      <c r="N735" s="3">
        <v>0</v>
      </c>
      <c r="O735" s="3">
        <v>0</v>
      </c>
      <c r="P735" s="3">
        <v>0</v>
      </c>
      <c r="Q735" s="3">
        <v>0</v>
      </c>
      <c r="R735" s="3">
        <v>-4400</v>
      </c>
      <c r="S735" s="3">
        <v>0</v>
      </c>
      <c r="T735" s="3">
        <v>0</v>
      </c>
      <c r="U735" s="3">
        <v>0</v>
      </c>
      <c r="V735" s="3">
        <v>2013</v>
      </c>
      <c r="W735" s="3">
        <v>13718700</v>
      </c>
      <c r="X735" s="3">
        <v>66023800</v>
      </c>
      <c r="Y735" s="3">
        <v>52305100</v>
      </c>
      <c r="Z735" s="3">
        <v>70645500</v>
      </c>
      <c r="AA735" s="3">
        <v>-4621700</v>
      </c>
      <c r="AB735" s="3">
        <v>-7</v>
      </c>
    </row>
    <row r="736" spans="1:28" x14ac:dyDescent="0.35">
      <c r="A736">
        <v>2022</v>
      </c>
      <c r="B736" t="str">
        <f t="shared" si="92"/>
        <v>40</v>
      </c>
      <c r="C736" t="s">
        <v>272</v>
      </c>
      <c r="D736" t="s">
        <v>35</v>
      </c>
      <c r="E736" t="str">
        <f t="shared" si="90"/>
        <v>251</v>
      </c>
      <c r="F736" t="s">
        <v>272</v>
      </c>
      <c r="G736" t="str">
        <f>"080"</f>
        <v>080</v>
      </c>
      <c r="H736" t="str">
        <f t="shared" si="91"/>
        <v>3619</v>
      </c>
      <c r="I736" s="3">
        <v>14122100</v>
      </c>
      <c r="J736" s="3">
        <v>100</v>
      </c>
      <c r="K736" s="3">
        <v>14122100</v>
      </c>
      <c r="L736" s="3">
        <v>0</v>
      </c>
      <c r="M736" s="3">
        <v>14122100</v>
      </c>
      <c r="N736" s="3">
        <v>0</v>
      </c>
      <c r="O736" s="3">
        <v>0</v>
      </c>
      <c r="P736" s="3">
        <v>0</v>
      </c>
      <c r="Q736" s="3">
        <v>0</v>
      </c>
      <c r="R736" s="3">
        <v>37700</v>
      </c>
      <c r="S736" s="3">
        <v>0</v>
      </c>
      <c r="T736" s="3">
        <v>0</v>
      </c>
      <c r="U736" s="3">
        <v>0</v>
      </c>
      <c r="V736" s="3">
        <v>2014</v>
      </c>
      <c r="W736" s="3">
        <v>3500300</v>
      </c>
      <c r="X736" s="3">
        <v>14159800</v>
      </c>
      <c r="Y736" s="3">
        <v>10659500</v>
      </c>
      <c r="Z736" s="3">
        <v>14970300</v>
      </c>
      <c r="AA736" s="3">
        <v>-810500</v>
      </c>
      <c r="AB736" s="3">
        <v>-5</v>
      </c>
    </row>
    <row r="737" spans="1:28" x14ac:dyDescent="0.35">
      <c r="A737">
        <v>2022</v>
      </c>
      <c r="B737" t="str">
        <f t="shared" si="92"/>
        <v>40</v>
      </c>
      <c r="C737" t="s">
        <v>272</v>
      </c>
      <c r="D737" t="s">
        <v>35</v>
      </c>
      <c r="E737" t="str">
        <f t="shared" si="90"/>
        <v>251</v>
      </c>
      <c r="F737" t="s">
        <v>272</v>
      </c>
      <c r="G737" t="str">
        <f>"081"</f>
        <v>081</v>
      </c>
      <c r="H737" t="str">
        <f t="shared" si="91"/>
        <v>3619</v>
      </c>
      <c r="I737" s="3">
        <v>21987700</v>
      </c>
      <c r="J737" s="3">
        <v>100</v>
      </c>
      <c r="K737" s="3">
        <v>21987700</v>
      </c>
      <c r="L737" s="3">
        <v>0</v>
      </c>
      <c r="M737" s="3">
        <v>21987700</v>
      </c>
      <c r="N737" s="3">
        <v>0</v>
      </c>
      <c r="O737" s="3">
        <v>0</v>
      </c>
      <c r="P737" s="3">
        <v>0</v>
      </c>
      <c r="Q737" s="3">
        <v>0</v>
      </c>
      <c r="R737" s="3">
        <v>34700</v>
      </c>
      <c r="S737" s="3">
        <v>0</v>
      </c>
      <c r="T737" s="3">
        <v>0</v>
      </c>
      <c r="U737" s="3">
        <v>0</v>
      </c>
      <c r="V737" s="3">
        <v>2015</v>
      </c>
      <c r="W737" s="3">
        <v>2689200</v>
      </c>
      <c r="X737" s="3">
        <v>22022400</v>
      </c>
      <c r="Y737" s="3">
        <v>19333200</v>
      </c>
      <c r="Z737" s="3">
        <v>22022200</v>
      </c>
      <c r="AA737" s="3">
        <v>200</v>
      </c>
      <c r="AB737" s="3">
        <v>0</v>
      </c>
    </row>
    <row r="738" spans="1:28" x14ac:dyDescent="0.35">
      <c r="A738">
        <v>2022</v>
      </c>
      <c r="B738" t="str">
        <f t="shared" si="92"/>
        <v>40</v>
      </c>
      <c r="C738" t="s">
        <v>272</v>
      </c>
      <c r="D738" t="s">
        <v>35</v>
      </c>
      <c r="E738" t="str">
        <f t="shared" si="90"/>
        <v>251</v>
      </c>
      <c r="F738" t="s">
        <v>272</v>
      </c>
      <c r="G738" t="str">
        <f>"082"</f>
        <v>082</v>
      </c>
      <c r="H738" t="str">
        <f t="shared" si="91"/>
        <v>3619</v>
      </c>
      <c r="I738" s="3">
        <v>97407400</v>
      </c>
      <c r="J738" s="3">
        <v>100</v>
      </c>
      <c r="K738" s="3">
        <v>97407400</v>
      </c>
      <c r="L738" s="3">
        <v>0</v>
      </c>
      <c r="M738" s="3">
        <v>97407400</v>
      </c>
      <c r="N738" s="3">
        <v>0</v>
      </c>
      <c r="O738" s="3">
        <v>0</v>
      </c>
      <c r="P738" s="3">
        <v>0</v>
      </c>
      <c r="Q738" s="3">
        <v>0</v>
      </c>
      <c r="R738" s="3">
        <v>2609600</v>
      </c>
      <c r="S738" s="3">
        <v>0</v>
      </c>
      <c r="T738" s="3">
        <v>0</v>
      </c>
      <c r="U738" s="3">
        <v>0</v>
      </c>
      <c r="V738" s="3">
        <v>2015</v>
      </c>
      <c r="W738" s="3">
        <v>5474100</v>
      </c>
      <c r="X738" s="3">
        <v>100017000</v>
      </c>
      <c r="Y738" s="3">
        <v>94542900</v>
      </c>
      <c r="Z738" s="3">
        <v>99527200</v>
      </c>
      <c r="AA738" s="3">
        <v>489800</v>
      </c>
      <c r="AB738" s="3">
        <v>0</v>
      </c>
    </row>
    <row r="739" spans="1:28" x14ac:dyDescent="0.35">
      <c r="A739">
        <v>2022</v>
      </c>
      <c r="B739" t="str">
        <f t="shared" si="92"/>
        <v>40</v>
      </c>
      <c r="C739" t="s">
        <v>272</v>
      </c>
      <c r="D739" t="s">
        <v>35</v>
      </c>
      <c r="E739" t="str">
        <f t="shared" ref="E739:E763" si="93">"251"</f>
        <v>251</v>
      </c>
      <c r="F739" t="s">
        <v>272</v>
      </c>
      <c r="G739" t="str">
        <f>"083"</f>
        <v>083</v>
      </c>
      <c r="H739" t="str">
        <f t="shared" ref="H739:H763" si="94">"3619"</f>
        <v>3619</v>
      </c>
      <c r="I739" s="3">
        <v>55332500</v>
      </c>
      <c r="J739" s="3">
        <v>100</v>
      </c>
      <c r="K739" s="3">
        <v>55332500</v>
      </c>
      <c r="L739" s="3">
        <v>0</v>
      </c>
      <c r="M739" s="3">
        <v>55332500</v>
      </c>
      <c r="N739" s="3">
        <v>0</v>
      </c>
      <c r="O739" s="3">
        <v>0</v>
      </c>
      <c r="P739" s="3">
        <v>0</v>
      </c>
      <c r="Q739" s="3">
        <v>0</v>
      </c>
      <c r="R739" s="3">
        <v>5087700</v>
      </c>
      <c r="S739" s="3">
        <v>0</v>
      </c>
      <c r="T739" s="3">
        <v>0</v>
      </c>
      <c r="U739" s="3">
        <v>0</v>
      </c>
      <c r="V739" s="3">
        <v>2015</v>
      </c>
      <c r="W739" s="3">
        <v>5774200</v>
      </c>
      <c r="X739" s="3">
        <v>60420200</v>
      </c>
      <c r="Y739" s="3">
        <v>54646000</v>
      </c>
      <c r="Z739" s="3">
        <v>74102400</v>
      </c>
      <c r="AA739" s="3">
        <v>-13682200</v>
      </c>
      <c r="AB739" s="3">
        <v>-18</v>
      </c>
    </row>
    <row r="740" spans="1:28" x14ac:dyDescent="0.35">
      <c r="A740">
        <v>2022</v>
      </c>
      <c r="B740" t="str">
        <f t="shared" ref="B740:B771" si="95">"40"</f>
        <v>40</v>
      </c>
      <c r="C740" t="s">
        <v>272</v>
      </c>
      <c r="D740" t="s">
        <v>35</v>
      </c>
      <c r="E740" t="str">
        <f t="shared" si="93"/>
        <v>251</v>
      </c>
      <c r="F740" t="s">
        <v>272</v>
      </c>
      <c r="G740" t="str">
        <f>"084"</f>
        <v>084</v>
      </c>
      <c r="H740" t="str">
        <f t="shared" si="94"/>
        <v>3619</v>
      </c>
      <c r="I740" s="3">
        <v>161145900</v>
      </c>
      <c r="J740" s="3">
        <v>100</v>
      </c>
      <c r="K740" s="3">
        <v>161145900</v>
      </c>
      <c r="L740" s="3">
        <v>0</v>
      </c>
      <c r="M740" s="3">
        <v>161145900</v>
      </c>
      <c r="N740" s="3">
        <v>3344200</v>
      </c>
      <c r="O740" s="3">
        <v>3344200</v>
      </c>
      <c r="P740" s="3">
        <v>419500</v>
      </c>
      <c r="Q740" s="3">
        <v>419500</v>
      </c>
      <c r="R740" s="3">
        <v>802200</v>
      </c>
      <c r="S740" s="3">
        <v>0</v>
      </c>
      <c r="T740" s="3">
        <v>0</v>
      </c>
      <c r="U740" s="3">
        <v>0</v>
      </c>
      <c r="V740" s="3">
        <v>2015</v>
      </c>
      <c r="W740" s="3">
        <v>60111100</v>
      </c>
      <c r="X740" s="3">
        <v>165711800</v>
      </c>
      <c r="Y740" s="3">
        <v>105600700</v>
      </c>
      <c r="Z740" s="3">
        <v>141439300</v>
      </c>
      <c r="AA740" s="3">
        <v>24272500</v>
      </c>
      <c r="AB740" s="3">
        <v>17</v>
      </c>
    </row>
    <row r="741" spans="1:28" x14ac:dyDescent="0.35">
      <c r="A741">
        <v>2022</v>
      </c>
      <c r="B741" t="str">
        <f t="shared" si="95"/>
        <v>40</v>
      </c>
      <c r="C741" t="s">
        <v>272</v>
      </c>
      <c r="D741" t="s">
        <v>35</v>
      </c>
      <c r="E741" t="str">
        <f t="shared" si="93"/>
        <v>251</v>
      </c>
      <c r="F741" t="s">
        <v>272</v>
      </c>
      <c r="G741" t="str">
        <f>"085"</f>
        <v>085</v>
      </c>
      <c r="H741" t="str">
        <f t="shared" si="94"/>
        <v>3619</v>
      </c>
      <c r="I741" s="3">
        <v>51628900</v>
      </c>
      <c r="J741" s="3">
        <v>100</v>
      </c>
      <c r="K741" s="3">
        <v>51628900</v>
      </c>
      <c r="L741" s="3">
        <v>0</v>
      </c>
      <c r="M741" s="3">
        <v>51628900</v>
      </c>
      <c r="N741" s="3">
        <v>4328100</v>
      </c>
      <c r="O741" s="3">
        <v>4328100</v>
      </c>
      <c r="P741" s="3">
        <v>451800</v>
      </c>
      <c r="Q741" s="3">
        <v>451800</v>
      </c>
      <c r="R741" s="3">
        <v>-277200</v>
      </c>
      <c r="S741" s="3">
        <v>0</v>
      </c>
      <c r="T741" s="3">
        <v>0</v>
      </c>
      <c r="U741" s="3">
        <v>756900</v>
      </c>
      <c r="V741" s="3">
        <v>2015</v>
      </c>
      <c r="W741" s="3">
        <v>32096600</v>
      </c>
      <c r="X741" s="3">
        <v>56888500</v>
      </c>
      <c r="Y741" s="3">
        <v>24791900</v>
      </c>
      <c r="Z741" s="3">
        <v>53347400</v>
      </c>
      <c r="AA741" s="3">
        <v>3541100</v>
      </c>
      <c r="AB741" s="3">
        <v>7</v>
      </c>
    </row>
    <row r="742" spans="1:28" x14ac:dyDescent="0.35">
      <c r="A742">
        <v>2022</v>
      </c>
      <c r="B742" t="str">
        <f t="shared" si="95"/>
        <v>40</v>
      </c>
      <c r="C742" t="s">
        <v>272</v>
      </c>
      <c r="D742" t="s">
        <v>35</v>
      </c>
      <c r="E742" t="str">
        <f t="shared" si="93"/>
        <v>251</v>
      </c>
      <c r="F742" t="s">
        <v>272</v>
      </c>
      <c r="G742" t="str">
        <f>"086"</f>
        <v>086</v>
      </c>
      <c r="H742" t="str">
        <f t="shared" si="94"/>
        <v>3619</v>
      </c>
      <c r="I742" s="3">
        <v>4768100</v>
      </c>
      <c r="J742" s="3">
        <v>100</v>
      </c>
      <c r="K742" s="3">
        <v>4768100</v>
      </c>
      <c r="L742" s="3">
        <v>0</v>
      </c>
      <c r="M742" s="3">
        <v>4768100</v>
      </c>
      <c r="N742" s="3">
        <v>0</v>
      </c>
      <c r="O742" s="3">
        <v>0</v>
      </c>
      <c r="P742" s="3">
        <v>0</v>
      </c>
      <c r="Q742" s="3">
        <v>0</v>
      </c>
      <c r="R742" s="3">
        <v>3100</v>
      </c>
      <c r="S742" s="3">
        <v>0</v>
      </c>
      <c r="T742" s="3">
        <v>0</v>
      </c>
      <c r="U742" s="3">
        <v>0</v>
      </c>
      <c r="V742" s="3">
        <v>2016</v>
      </c>
      <c r="W742" s="3">
        <v>3311300</v>
      </c>
      <c r="X742" s="3">
        <v>4771200</v>
      </c>
      <c r="Y742" s="3">
        <v>1459900</v>
      </c>
      <c r="Z742" s="3">
        <v>4912600</v>
      </c>
      <c r="AA742" s="3">
        <v>-141400</v>
      </c>
      <c r="AB742" s="3">
        <v>-3</v>
      </c>
    </row>
    <row r="743" spans="1:28" x14ac:dyDescent="0.35">
      <c r="A743">
        <v>2022</v>
      </c>
      <c r="B743" t="str">
        <f t="shared" si="95"/>
        <v>40</v>
      </c>
      <c r="C743" t="s">
        <v>272</v>
      </c>
      <c r="D743" t="s">
        <v>35</v>
      </c>
      <c r="E743" t="str">
        <f t="shared" si="93"/>
        <v>251</v>
      </c>
      <c r="F743" t="s">
        <v>272</v>
      </c>
      <c r="G743" t="str">
        <f>"087"</f>
        <v>087</v>
      </c>
      <c r="H743" t="str">
        <f t="shared" si="94"/>
        <v>3619</v>
      </c>
      <c r="I743" s="3">
        <v>3505800</v>
      </c>
      <c r="J743" s="3">
        <v>100</v>
      </c>
      <c r="K743" s="3">
        <v>3505800</v>
      </c>
      <c r="L743" s="3">
        <v>0</v>
      </c>
      <c r="M743" s="3">
        <v>3505800</v>
      </c>
      <c r="N743" s="3">
        <v>0</v>
      </c>
      <c r="O743" s="3">
        <v>0</v>
      </c>
      <c r="P743" s="3">
        <v>0</v>
      </c>
      <c r="Q743" s="3">
        <v>0</v>
      </c>
      <c r="R743" s="3">
        <v>2600</v>
      </c>
      <c r="S743" s="3">
        <v>0</v>
      </c>
      <c r="T743" s="3">
        <v>0</v>
      </c>
      <c r="U743" s="3">
        <v>0</v>
      </c>
      <c r="V743" s="3">
        <v>2016</v>
      </c>
      <c r="W743" s="3">
        <v>380600</v>
      </c>
      <c r="X743" s="3">
        <v>3508400</v>
      </c>
      <c r="Y743" s="3">
        <v>3127800</v>
      </c>
      <c r="Z743" s="3">
        <v>3820700</v>
      </c>
      <c r="AA743" s="3">
        <v>-312300</v>
      </c>
      <c r="AB743" s="3">
        <v>-8</v>
      </c>
    </row>
    <row r="744" spans="1:28" x14ac:dyDescent="0.35">
      <c r="A744">
        <v>2022</v>
      </c>
      <c r="B744" t="str">
        <f t="shared" si="95"/>
        <v>40</v>
      </c>
      <c r="C744" t="s">
        <v>272</v>
      </c>
      <c r="D744" t="s">
        <v>35</v>
      </c>
      <c r="E744" t="str">
        <f t="shared" si="93"/>
        <v>251</v>
      </c>
      <c r="F744" t="s">
        <v>272</v>
      </c>
      <c r="G744" t="str">
        <f>"088"</f>
        <v>088</v>
      </c>
      <c r="H744" t="str">
        <f t="shared" si="94"/>
        <v>3619</v>
      </c>
      <c r="I744" s="3">
        <v>4200900</v>
      </c>
      <c r="J744" s="3">
        <v>100</v>
      </c>
      <c r="K744" s="3">
        <v>4200900</v>
      </c>
      <c r="L744" s="3">
        <v>0</v>
      </c>
      <c r="M744" s="3">
        <v>4200900</v>
      </c>
      <c r="N744" s="3">
        <v>0</v>
      </c>
      <c r="O744" s="3">
        <v>0</v>
      </c>
      <c r="P744" s="3">
        <v>0</v>
      </c>
      <c r="Q744" s="3">
        <v>0</v>
      </c>
      <c r="R744" s="3">
        <v>20400</v>
      </c>
      <c r="S744" s="3">
        <v>0</v>
      </c>
      <c r="T744" s="3">
        <v>0</v>
      </c>
      <c r="U744" s="3">
        <v>0</v>
      </c>
      <c r="V744" s="3">
        <v>2016</v>
      </c>
      <c r="W744" s="3">
        <v>4207500</v>
      </c>
      <c r="X744" s="3">
        <v>4221300</v>
      </c>
      <c r="Y744" s="3">
        <v>13800</v>
      </c>
      <c r="Z744" s="3">
        <v>4689400</v>
      </c>
      <c r="AA744" s="3">
        <v>-468100</v>
      </c>
      <c r="AB744" s="3">
        <v>-10</v>
      </c>
    </row>
    <row r="745" spans="1:28" x14ac:dyDescent="0.35">
      <c r="A745">
        <v>2022</v>
      </c>
      <c r="B745" t="str">
        <f t="shared" si="95"/>
        <v>40</v>
      </c>
      <c r="C745" t="s">
        <v>272</v>
      </c>
      <c r="D745" t="s">
        <v>35</v>
      </c>
      <c r="E745" t="str">
        <f t="shared" si="93"/>
        <v>251</v>
      </c>
      <c r="F745" t="s">
        <v>272</v>
      </c>
      <c r="G745" t="str">
        <f>"089"</f>
        <v>089</v>
      </c>
      <c r="H745" t="str">
        <f t="shared" si="94"/>
        <v>3619</v>
      </c>
      <c r="I745" s="3">
        <v>3015100</v>
      </c>
      <c r="J745" s="3">
        <v>100</v>
      </c>
      <c r="K745" s="3">
        <v>3015100</v>
      </c>
      <c r="L745" s="3">
        <v>0</v>
      </c>
      <c r="M745" s="3">
        <v>3015100</v>
      </c>
      <c r="N745" s="3">
        <v>0</v>
      </c>
      <c r="O745" s="3">
        <v>0</v>
      </c>
      <c r="P745" s="3">
        <v>0</v>
      </c>
      <c r="Q745" s="3">
        <v>0</v>
      </c>
      <c r="R745" s="3">
        <v>-300</v>
      </c>
      <c r="S745" s="3">
        <v>0</v>
      </c>
      <c r="T745" s="3">
        <v>0</v>
      </c>
      <c r="U745" s="3">
        <v>0</v>
      </c>
      <c r="V745" s="3">
        <v>2017</v>
      </c>
      <c r="W745" s="3">
        <v>0</v>
      </c>
      <c r="X745" s="3">
        <v>3014800</v>
      </c>
      <c r="Y745" s="3">
        <v>3014800</v>
      </c>
      <c r="Z745" s="3">
        <v>3215700</v>
      </c>
      <c r="AA745" s="3">
        <v>-200900</v>
      </c>
      <c r="AB745" s="3">
        <v>-6</v>
      </c>
    </row>
    <row r="746" spans="1:28" x14ac:dyDescent="0.35">
      <c r="A746">
        <v>2022</v>
      </c>
      <c r="B746" t="str">
        <f t="shared" si="95"/>
        <v>40</v>
      </c>
      <c r="C746" t="s">
        <v>272</v>
      </c>
      <c r="D746" t="s">
        <v>35</v>
      </c>
      <c r="E746" t="str">
        <f t="shared" si="93"/>
        <v>251</v>
      </c>
      <c r="F746" t="s">
        <v>272</v>
      </c>
      <c r="G746" t="str">
        <f>"090"</f>
        <v>090</v>
      </c>
      <c r="H746" t="str">
        <f t="shared" si="94"/>
        <v>3619</v>
      </c>
      <c r="I746" s="3">
        <v>2234100</v>
      </c>
      <c r="J746" s="3">
        <v>100</v>
      </c>
      <c r="K746" s="3">
        <v>2234100</v>
      </c>
      <c r="L746" s="3">
        <v>0</v>
      </c>
      <c r="M746" s="3">
        <v>2234100</v>
      </c>
      <c r="N746" s="3">
        <v>0</v>
      </c>
      <c r="O746" s="3">
        <v>0</v>
      </c>
      <c r="P746" s="3">
        <v>0</v>
      </c>
      <c r="Q746" s="3">
        <v>0</v>
      </c>
      <c r="R746" s="3">
        <v>-300</v>
      </c>
      <c r="S746" s="3">
        <v>0</v>
      </c>
      <c r="T746" s="3">
        <v>0</v>
      </c>
      <c r="U746" s="3">
        <v>0</v>
      </c>
      <c r="V746" s="3">
        <v>2017</v>
      </c>
      <c r="W746" s="3">
        <v>276600</v>
      </c>
      <c r="X746" s="3">
        <v>2233800</v>
      </c>
      <c r="Y746" s="3">
        <v>1957200</v>
      </c>
      <c r="Z746" s="3">
        <v>2400500</v>
      </c>
      <c r="AA746" s="3">
        <v>-166700</v>
      </c>
      <c r="AB746" s="3">
        <v>-7</v>
      </c>
    </row>
    <row r="747" spans="1:28" x14ac:dyDescent="0.35">
      <c r="A747">
        <v>2022</v>
      </c>
      <c r="B747" t="str">
        <f t="shared" si="95"/>
        <v>40</v>
      </c>
      <c r="C747" t="s">
        <v>272</v>
      </c>
      <c r="D747" t="s">
        <v>35</v>
      </c>
      <c r="E747" t="str">
        <f t="shared" si="93"/>
        <v>251</v>
      </c>
      <c r="F747" t="s">
        <v>272</v>
      </c>
      <c r="G747" t="str">
        <f>"091"</f>
        <v>091</v>
      </c>
      <c r="H747" t="str">
        <f t="shared" si="94"/>
        <v>3619</v>
      </c>
      <c r="I747" s="3">
        <v>41856500</v>
      </c>
      <c r="J747" s="3">
        <v>100</v>
      </c>
      <c r="K747" s="3">
        <v>41856500</v>
      </c>
      <c r="L747" s="3">
        <v>0</v>
      </c>
      <c r="M747" s="3">
        <v>41856500</v>
      </c>
      <c r="N747" s="3">
        <v>0</v>
      </c>
      <c r="O747" s="3">
        <v>0</v>
      </c>
      <c r="P747" s="3">
        <v>0</v>
      </c>
      <c r="Q747" s="3">
        <v>0</v>
      </c>
      <c r="R747" s="3">
        <v>-2227700</v>
      </c>
      <c r="S747" s="3">
        <v>0</v>
      </c>
      <c r="T747" s="3">
        <v>0</v>
      </c>
      <c r="U747" s="3">
        <v>0</v>
      </c>
      <c r="V747" s="3">
        <v>2017</v>
      </c>
      <c r="W747" s="3">
        <v>62670400</v>
      </c>
      <c r="X747" s="3">
        <v>39628800</v>
      </c>
      <c r="Y747" s="3">
        <v>-23041600</v>
      </c>
      <c r="Z747" s="3">
        <v>41617300</v>
      </c>
      <c r="AA747" s="3">
        <v>-1988500</v>
      </c>
      <c r="AB747" s="3">
        <v>-5</v>
      </c>
    </row>
    <row r="748" spans="1:28" x14ac:dyDescent="0.35">
      <c r="A748">
        <v>2022</v>
      </c>
      <c r="B748" t="str">
        <f t="shared" si="95"/>
        <v>40</v>
      </c>
      <c r="C748" t="s">
        <v>272</v>
      </c>
      <c r="D748" t="s">
        <v>35</v>
      </c>
      <c r="E748" t="str">
        <f t="shared" si="93"/>
        <v>251</v>
      </c>
      <c r="F748" t="s">
        <v>272</v>
      </c>
      <c r="G748" t="str">
        <f>"092"</f>
        <v>092</v>
      </c>
      <c r="H748" t="str">
        <f t="shared" si="94"/>
        <v>3619</v>
      </c>
      <c r="I748" s="3">
        <v>3861700</v>
      </c>
      <c r="J748" s="3">
        <v>100</v>
      </c>
      <c r="K748" s="3">
        <v>3861700</v>
      </c>
      <c r="L748" s="3">
        <v>0</v>
      </c>
      <c r="M748" s="3">
        <v>3861700</v>
      </c>
      <c r="N748" s="3">
        <v>0</v>
      </c>
      <c r="O748" s="3">
        <v>0</v>
      </c>
      <c r="P748" s="3">
        <v>0</v>
      </c>
      <c r="Q748" s="3">
        <v>0</v>
      </c>
      <c r="R748" s="3">
        <v>8516400</v>
      </c>
      <c r="S748" s="3">
        <v>0</v>
      </c>
      <c r="T748" s="3">
        <v>0</v>
      </c>
      <c r="U748" s="3">
        <v>0</v>
      </c>
      <c r="V748" s="3">
        <v>2017</v>
      </c>
      <c r="W748" s="3">
        <v>1122000</v>
      </c>
      <c r="X748" s="3">
        <v>12378100</v>
      </c>
      <c r="Y748" s="3">
        <v>11256100</v>
      </c>
      <c r="Z748" s="3">
        <v>4277700</v>
      </c>
      <c r="AA748" s="3">
        <v>8100400</v>
      </c>
      <c r="AB748" s="3">
        <v>189</v>
      </c>
    </row>
    <row r="749" spans="1:28" x14ac:dyDescent="0.35">
      <c r="A749">
        <v>2022</v>
      </c>
      <c r="B749" t="str">
        <f t="shared" si="95"/>
        <v>40</v>
      </c>
      <c r="C749" t="s">
        <v>272</v>
      </c>
      <c r="D749" t="s">
        <v>35</v>
      </c>
      <c r="E749" t="str">
        <f t="shared" si="93"/>
        <v>251</v>
      </c>
      <c r="F749" t="s">
        <v>272</v>
      </c>
      <c r="G749" t="str">
        <f>"093"</f>
        <v>093</v>
      </c>
      <c r="H749" t="str">
        <f t="shared" si="94"/>
        <v>3619</v>
      </c>
      <c r="I749" s="3">
        <v>2619800</v>
      </c>
      <c r="J749" s="3">
        <v>100</v>
      </c>
      <c r="K749" s="3">
        <v>2619800</v>
      </c>
      <c r="L749" s="3">
        <v>0</v>
      </c>
      <c r="M749" s="3">
        <v>2619800</v>
      </c>
      <c r="N749" s="3">
        <v>0</v>
      </c>
      <c r="O749" s="3">
        <v>0</v>
      </c>
      <c r="P749" s="3">
        <v>0</v>
      </c>
      <c r="Q749" s="3">
        <v>0</v>
      </c>
      <c r="R749" s="3">
        <v>-300</v>
      </c>
      <c r="S749" s="3">
        <v>0</v>
      </c>
      <c r="T749" s="3">
        <v>0</v>
      </c>
      <c r="U749" s="3">
        <v>0</v>
      </c>
      <c r="V749" s="3">
        <v>2018</v>
      </c>
      <c r="W749" s="3">
        <v>756900</v>
      </c>
      <c r="X749" s="3">
        <v>2619500</v>
      </c>
      <c r="Y749" s="3">
        <v>1862600</v>
      </c>
      <c r="Z749" s="3">
        <v>2144700</v>
      </c>
      <c r="AA749" s="3">
        <v>474800</v>
      </c>
      <c r="AB749" s="3">
        <v>22</v>
      </c>
    </row>
    <row r="750" spans="1:28" x14ac:dyDescent="0.35">
      <c r="A750">
        <v>2022</v>
      </c>
      <c r="B750" t="str">
        <f t="shared" si="95"/>
        <v>40</v>
      </c>
      <c r="C750" t="s">
        <v>272</v>
      </c>
      <c r="D750" t="s">
        <v>35</v>
      </c>
      <c r="E750" t="str">
        <f t="shared" si="93"/>
        <v>251</v>
      </c>
      <c r="F750" t="s">
        <v>272</v>
      </c>
      <c r="G750" t="str">
        <f>"094"</f>
        <v>094</v>
      </c>
      <c r="H750" t="str">
        <f t="shared" si="94"/>
        <v>3619</v>
      </c>
      <c r="I750" s="3">
        <v>84442200</v>
      </c>
      <c r="J750" s="3">
        <v>100</v>
      </c>
      <c r="K750" s="3">
        <v>84442200</v>
      </c>
      <c r="L750" s="3">
        <v>0</v>
      </c>
      <c r="M750" s="3">
        <v>84442200</v>
      </c>
      <c r="N750" s="3">
        <v>0</v>
      </c>
      <c r="O750" s="3">
        <v>0</v>
      </c>
      <c r="P750" s="3">
        <v>0</v>
      </c>
      <c r="Q750" s="3">
        <v>0</v>
      </c>
      <c r="R750" s="3">
        <v>68475100</v>
      </c>
      <c r="S750" s="3">
        <v>0</v>
      </c>
      <c r="T750" s="3">
        <v>0</v>
      </c>
      <c r="U750" s="3">
        <v>0</v>
      </c>
      <c r="V750" s="3">
        <v>2019</v>
      </c>
      <c r="W750" s="3">
        <v>5468400</v>
      </c>
      <c r="X750" s="3">
        <v>152917300</v>
      </c>
      <c r="Y750" s="3">
        <v>147448900</v>
      </c>
      <c r="Z750" s="3">
        <v>18337700</v>
      </c>
      <c r="AA750" s="3">
        <v>134579600</v>
      </c>
      <c r="AB750" s="3">
        <v>734</v>
      </c>
    </row>
    <row r="751" spans="1:28" x14ac:dyDescent="0.35">
      <c r="A751">
        <v>2022</v>
      </c>
      <c r="B751" t="str">
        <f t="shared" si="95"/>
        <v>40</v>
      </c>
      <c r="C751" t="s">
        <v>272</v>
      </c>
      <c r="D751" t="s">
        <v>35</v>
      </c>
      <c r="E751" t="str">
        <f t="shared" si="93"/>
        <v>251</v>
      </c>
      <c r="F751" t="s">
        <v>272</v>
      </c>
      <c r="G751" t="str">
        <f>"095"</f>
        <v>095</v>
      </c>
      <c r="H751" t="str">
        <f t="shared" si="94"/>
        <v>3619</v>
      </c>
      <c r="I751" s="3">
        <v>1688000</v>
      </c>
      <c r="J751" s="3">
        <v>100</v>
      </c>
      <c r="K751" s="3">
        <v>1688000</v>
      </c>
      <c r="L751" s="3">
        <v>0</v>
      </c>
      <c r="M751" s="3">
        <v>1688000</v>
      </c>
      <c r="N751" s="3">
        <v>0</v>
      </c>
      <c r="O751" s="3">
        <v>0</v>
      </c>
      <c r="P751" s="3">
        <v>0</v>
      </c>
      <c r="Q751" s="3">
        <v>0</v>
      </c>
      <c r="R751" s="3">
        <v>-200</v>
      </c>
      <c r="S751" s="3">
        <v>0</v>
      </c>
      <c r="T751" s="3">
        <v>0</v>
      </c>
      <c r="U751" s="3">
        <v>0</v>
      </c>
      <c r="V751" s="3">
        <v>2019</v>
      </c>
      <c r="W751" s="3">
        <v>88600</v>
      </c>
      <c r="X751" s="3">
        <v>1687800</v>
      </c>
      <c r="Y751" s="3">
        <v>1599200</v>
      </c>
      <c r="Z751" s="3">
        <v>1872000</v>
      </c>
      <c r="AA751" s="3">
        <v>-184200</v>
      </c>
      <c r="AB751" s="3">
        <v>-10</v>
      </c>
    </row>
    <row r="752" spans="1:28" x14ac:dyDescent="0.35">
      <c r="A752">
        <v>2022</v>
      </c>
      <c r="B752" t="str">
        <f t="shared" si="95"/>
        <v>40</v>
      </c>
      <c r="C752" t="s">
        <v>272</v>
      </c>
      <c r="D752" t="s">
        <v>35</v>
      </c>
      <c r="E752" t="str">
        <f t="shared" si="93"/>
        <v>251</v>
      </c>
      <c r="F752" t="s">
        <v>272</v>
      </c>
      <c r="G752" t="str">
        <f>"096"</f>
        <v>096</v>
      </c>
      <c r="H752" t="str">
        <f t="shared" si="94"/>
        <v>3619</v>
      </c>
      <c r="I752" s="3">
        <v>197333700</v>
      </c>
      <c r="J752" s="3">
        <v>100</v>
      </c>
      <c r="K752" s="3">
        <v>197333700</v>
      </c>
      <c r="L752" s="3">
        <v>0</v>
      </c>
      <c r="M752" s="3">
        <v>197333700</v>
      </c>
      <c r="N752" s="3">
        <v>0</v>
      </c>
      <c r="O752" s="3">
        <v>0</v>
      </c>
      <c r="P752" s="3">
        <v>0</v>
      </c>
      <c r="Q752" s="3">
        <v>0</v>
      </c>
      <c r="R752" s="3">
        <v>-2600</v>
      </c>
      <c r="S752" s="3">
        <v>0</v>
      </c>
      <c r="T752" s="3">
        <v>0</v>
      </c>
      <c r="U752" s="3">
        <v>0</v>
      </c>
      <c r="V752" s="3">
        <v>2019</v>
      </c>
      <c r="W752" s="3">
        <v>3814600</v>
      </c>
      <c r="X752" s="3">
        <v>197331100</v>
      </c>
      <c r="Y752" s="3">
        <v>193516500</v>
      </c>
      <c r="Z752" s="3">
        <v>20494800</v>
      </c>
      <c r="AA752" s="3">
        <v>176836300</v>
      </c>
      <c r="AB752" s="3">
        <v>863</v>
      </c>
    </row>
    <row r="753" spans="1:28" x14ac:dyDescent="0.35">
      <c r="A753">
        <v>2022</v>
      </c>
      <c r="B753" t="str">
        <f t="shared" si="95"/>
        <v>40</v>
      </c>
      <c r="C753" t="s">
        <v>272</v>
      </c>
      <c r="D753" t="s">
        <v>35</v>
      </c>
      <c r="E753" t="str">
        <f t="shared" si="93"/>
        <v>251</v>
      </c>
      <c r="F753" t="s">
        <v>272</v>
      </c>
      <c r="G753" t="str">
        <f>"097"</f>
        <v>097</v>
      </c>
      <c r="H753" t="str">
        <f t="shared" si="94"/>
        <v>3619</v>
      </c>
      <c r="I753" s="3">
        <v>68744200</v>
      </c>
      <c r="J753" s="3">
        <v>100</v>
      </c>
      <c r="K753" s="3">
        <v>68744200</v>
      </c>
      <c r="L753" s="3">
        <v>0</v>
      </c>
      <c r="M753" s="3">
        <v>68744200</v>
      </c>
      <c r="N753" s="3">
        <v>0</v>
      </c>
      <c r="O753" s="3">
        <v>0</v>
      </c>
      <c r="P753" s="3">
        <v>0</v>
      </c>
      <c r="Q753" s="3">
        <v>0</v>
      </c>
      <c r="R753" s="3">
        <v>-9000</v>
      </c>
      <c r="S753" s="3">
        <v>0</v>
      </c>
      <c r="T753" s="3">
        <v>0</v>
      </c>
      <c r="U753" s="3">
        <v>0</v>
      </c>
      <c r="V753" s="3">
        <v>2019</v>
      </c>
      <c r="W753" s="3">
        <v>37542700</v>
      </c>
      <c r="X753" s="3">
        <v>68735200</v>
      </c>
      <c r="Y753" s="3">
        <v>31192500</v>
      </c>
      <c r="Z753" s="3">
        <v>65475400</v>
      </c>
      <c r="AA753" s="3">
        <v>3259800</v>
      </c>
      <c r="AB753" s="3">
        <v>5</v>
      </c>
    </row>
    <row r="754" spans="1:28" x14ac:dyDescent="0.35">
      <c r="A754">
        <v>2022</v>
      </c>
      <c r="B754" t="str">
        <f t="shared" si="95"/>
        <v>40</v>
      </c>
      <c r="C754" t="s">
        <v>272</v>
      </c>
      <c r="D754" t="s">
        <v>35</v>
      </c>
      <c r="E754" t="str">
        <f t="shared" si="93"/>
        <v>251</v>
      </c>
      <c r="F754" t="s">
        <v>272</v>
      </c>
      <c r="G754" t="str">
        <f>"098"</f>
        <v>098</v>
      </c>
      <c r="H754" t="str">
        <f t="shared" si="94"/>
        <v>3619</v>
      </c>
      <c r="I754" s="3">
        <v>1525500</v>
      </c>
      <c r="J754" s="3">
        <v>100</v>
      </c>
      <c r="K754" s="3">
        <v>1525500</v>
      </c>
      <c r="L754" s="3">
        <v>0</v>
      </c>
      <c r="M754" s="3">
        <v>1525500</v>
      </c>
      <c r="N754" s="3">
        <v>0</v>
      </c>
      <c r="O754" s="3">
        <v>0</v>
      </c>
      <c r="P754" s="3">
        <v>0</v>
      </c>
      <c r="Q754" s="3">
        <v>0</v>
      </c>
      <c r="R754" s="3">
        <v>-100</v>
      </c>
      <c r="S754" s="3">
        <v>0</v>
      </c>
      <c r="T754" s="3">
        <v>0</v>
      </c>
      <c r="U754" s="3">
        <v>0</v>
      </c>
      <c r="V754" s="3">
        <v>2019</v>
      </c>
      <c r="W754" s="3">
        <v>1483700</v>
      </c>
      <c r="X754" s="3">
        <v>1525400</v>
      </c>
      <c r="Y754" s="3">
        <v>41700</v>
      </c>
      <c r="Z754" s="3">
        <v>1657900</v>
      </c>
      <c r="AA754" s="3">
        <v>-132500</v>
      </c>
      <c r="AB754" s="3">
        <v>-8</v>
      </c>
    </row>
    <row r="755" spans="1:28" x14ac:dyDescent="0.35">
      <c r="A755">
        <v>2022</v>
      </c>
      <c r="B755" t="str">
        <f t="shared" si="95"/>
        <v>40</v>
      </c>
      <c r="C755" t="s">
        <v>272</v>
      </c>
      <c r="D755" t="s">
        <v>35</v>
      </c>
      <c r="E755" t="str">
        <f t="shared" si="93"/>
        <v>251</v>
      </c>
      <c r="F755" t="s">
        <v>272</v>
      </c>
      <c r="G755" t="str">
        <f>"099"</f>
        <v>099</v>
      </c>
      <c r="H755" t="str">
        <f t="shared" si="94"/>
        <v>3619</v>
      </c>
      <c r="I755" s="3">
        <v>13330100</v>
      </c>
      <c r="J755" s="3">
        <v>100</v>
      </c>
      <c r="K755" s="3">
        <v>13330100</v>
      </c>
      <c r="L755" s="3">
        <v>0</v>
      </c>
      <c r="M755" s="3">
        <v>13330100</v>
      </c>
      <c r="N755" s="3">
        <v>0</v>
      </c>
      <c r="O755" s="3">
        <v>0</v>
      </c>
      <c r="P755" s="3">
        <v>956500</v>
      </c>
      <c r="Q755" s="3">
        <v>956500</v>
      </c>
      <c r="R755" s="3">
        <v>-1600</v>
      </c>
      <c r="S755" s="3">
        <v>0</v>
      </c>
      <c r="T755" s="3">
        <v>0</v>
      </c>
      <c r="U755" s="3">
        <v>0</v>
      </c>
      <c r="V755" s="3">
        <v>2019</v>
      </c>
      <c r="W755" s="3">
        <v>393400</v>
      </c>
      <c r="X755" s="3">
        <v>14285000</v>
      </c>
      <c r="Y755" s="3">
        <v>13891600</v>
      </c>
      <c r="Z755" s="3">
        <v>16107700</v>
      </c>
      <c r="AA755" s="3">
        <v>-1822700</v>
      </c>
      <c r="AB755" s="3">
        <v>-11</v>
      </c>
    </row>
    <row r="756" spans="1:28" x14ac:dyDescent="0.35">
      <c r="A756">
        <v>2022</v>
      </c>
      <c r="B756" t="str">
        <f t="shared" si="95"/>
        <v>40</v>
      </c>
      <c r="C756" t="s">
        <v>272</v>
      </c>
      <c r="D756" t="s">
        <v>35</v>
      </c>
      <c r="E756" t="str">
        <f t="shared" si="93"/>
        <v>251</v>
      </c>
      <c r="F756" t="s">
        <v>272</v>
      </c>
      <c r="G756" t="str">
        <f>"100"</f>
        <v>100</v>
      </c>
      <c r="H756" t="str">
        <f t="shared" si="94"/>
        <v>3619</v>
      </c>
      <c r="I756" s="3">
        <v>23407200</v>
      </c>
      <c r="J756" s="3">
        <v>100</v>
      </c>
      <c r="K756" s="3">
        <v>23407200</v>
      </c>
      <c r="L756" s="3">
        <v>0</v>
      </c>
      <c r="M756" s="3">
        <v>23407200</v>
      </c>
      <c r="N756" s="3">
        <v>0</v>
      </c>
      <c r="O756" s="3">
        <v>0</v>
      </c>
      <c r="P756" s="3">
        <v>0</v>
      </c>
      <c r="Q756" s="3">
        <v>0</v>
      </c>
      <c r="R756" s="3">
        <v>-2700</v>
      </c>
      <c r="S756" s="3">
        <v>0</v>
      </c>
      <c r="T756" s="3">
        <v>0</v>
      </c>
      <c r="U756" s="3">
        <v>0</v>
      </c>
      <c r="V756" s="3">
        <v>2019</v>
      </c>
      <c r="W756" s="3">
        <v>2068000</v>
      </c>
      <c r="X756" s="3">
        <v>23404500</v>
      </c>
      <c r="Y756" s="3">
        <v>21336500</v>
      </c>
      <c r="Z756" s="3">
        <v>24570600</v>
      </c>
      <c r="AA756" s="3">
        <v>-1166100</v>
      </c>
      <c r="AB756" s="3">
        <v>-5</v>
      </c>
    </row>
    <row r="757" spans="1:28" x14ac:dyDescent="0.35">
      <c r="A757">
        <v>2022</v>
      </c>
      <c r="B757" t="str">
        <f t="shared" si="95"/>
        <v>40</v>
      </c>
      <c r="C757" t="s">
        <v>272</v>
      </c>
      <c r="D757" t="s">
        <v>35</v>
      </c>
      <c r="E757" t="str">
        <f t="shared" si="93"/>
        <v>251</v>
      </c>
      <c r="F757" t="s">
        <v>272</v>
      </c>
      <c r="G757" t="str">
        <f>"102"</f>
        <v>102</v>
      </c>
      <c r="H757" t="str">
        <f t="shared" si="94"/>
        <v>3619</v>
      </c>
      <c r="I757" s="3">
        <v>4011400</v>
      </c>
      <c r="J757" s="3">
        <v>100</v>
      </c>
      <c r="K757" s="3">
        <v>4011400</v>
      </c>
      <c r="L757" s="3">
        <v>0</v>
      </c>
      <c r="M757" s="3">
        <v>4011400</v>
      </c>
      <c r="N757" s="3">
        <v>0</v>
      </c>
      <c r="O757" s="3">
        <v>0</v>
      </c>
      <c r="P757" s="3">
        <v>0</v>
      </c>
      <c r="Q757" s="3">
        <v>0</v>
      </c>
      <c r="R757" s="3">
        <v>230100</v>
      </c>
      <c r="S757" s="3">
        <v>0</v>
      </c>
      <c r="T757" s="3">
        <v>0</v>
      </c>
      <c r="U757" s="3">
        <v>0</v>
      </c>
      <c r="V757" s="3">
        <v>2020</v>
      </c>
      <c r="W757" s="3">
        <v>3723400</v>
      </c>
      <c r="X757" s="3">
        <v>4241500</v>
      </c>
      <c r="Y757" s="3">
        <v>518100</v>
      </c>
      <c r="Z757" s="3">
        <v>4181600</v>
      </c>
      <c r="AA757" s="3">
        <v>59900</v>
      </c>
      <c r="AB757" s="3">
        <v>1</v>
      </c>
    </row>
    <row r="758" spans="1:28" x14ac:dyDescent="0.35">
      <c r="A758">
        <v>2022</v>
      </c>
      <c r="B758" t="str">
        <f t="shared" si="95"/>
        <v>40</v>
      </c>
      <c r="C758" t="s">
        <v>272</v>
      </c>
      <c r="D758" t="s">
        <v>35</v>
      </c>
      <c r="E758" t="str">
        <f t="shared" si="93"/>
        <v>251</v>
      </c>
      <c r="F758" t="s">
        <v>272</v>
      </c>
      <c r="G758" t="str">
        <f>"103"</f>
        <v>103</v>
      </c>
      <c r="H758" t="str">
        <f t="shared" si="94"/>
        <v>3619</v>
      </c>
      <c r="I758" s="3">
        <v>1125000</v>
      </c>
      <c r="J758" s="3">
        <v>100</v>
      </c>
      <c r="K758" s="3">
        <v>1125000</v>
      </c>
      <c r="L758" s="3">
        <v>0</v>
      </c>
      <c r="M758" s="3">
        <v>1125000</v>
      </c>
      <c r="N758" s="3">
        <v>0</v>
      </c>
      <c r="O758" s="3">
        <v>0</v>
      </c>
      <c r="P758" s="3">
        <v>0</v>
      </c>
      <c r="Q758" s="3">
        <v>0</v>
      </c>
      <c r="R758" s="3">
        <v>0</v>
      </c>
      <c r="S758" s="3">
        <v>0</v>
      </c>
      <c r="T758" s="3">
        <v>0</v>
      </c>
      <c r="U758" s="3">
        <v>0</v>
      </c>
      <c r="V758" s="3">
        <v>2020</v>
      </c>
      <c r="W758" s="3">
        <v>0</v>
      </c>
      <c r="X758" s="3">
        <v>1125000</v>
      </c>
      <c r="Y758" s="3">
        <v>1125000</v>
      </c>
      <c r="Z758" s="3">
        <v>0</v>
      </c>
      <c r="AA758" s="3">
        <v>1125000</v>
      </c>
      <c r="AB758" s="3">
        <v>100</v>
      </c>
    </row>
    <row r="759" spans="1:28" x14ac:dyDescent="0.35">
      <c r="A759">
        <v>2022</v>
      </c>
      <c r="B759" t="str">
        <f t="shared" si="95"/>
        <v>40</v>
      </c>
      <c r="C759" t="s">
        <v>272</v>
      </c>
      <c r="D759" t="s">
        <v>35</v>
      </c>
      <c r="E759" t="str">
        <f t="shared" si="93"/>
        <v>251</v>
      </c>
      <c r="F759" t="s">
        <v>272</v>
      </c>
      <c r="G759" t="str">
        <f>"104"</f>
        <v>104</v>
      </c>
      <c r="H759" t="str">
        <f t="shared" si="94"/>
        <v>3619</v>
      </c>
      <c r="I759" s="3">
        <v>1519700</v>
      </c>
      <c r="J759" s="3">
        <v>100</v>
      </c>
      <c r="K759" s="3">
        <v>1519700</v>
      </c>
      <c r="L759" s="3">
        <v>0</v>
      </c>
      <c r="M759" s="3">
        <v>1519700</v>
      </c>
      <c r="N759" s="3">
        <v>0</v>
      </c>
      <c r="O759" s="3">
        <v>0</v>
      </c>
      <c r="P759" s="3">
        <v>0</v>
      </c>
      <c r="Q759" s="3">
        <v>0</v>
      </c>
      <c r="R759" s="3">
        <v>-190200</v>
      </c>
      <c r="S759" s="3">
        <v>0</v>
      </c>
      <c r="T759" s="3">
        <v>0</v>
      </c>
      <c r="U759" s="3">
        <v>0</v>
      </c>
      <c r="V759" s="3">
        <v>2020</v>
      </c>
      <c r="W759" s="3">
        <v>0</v>
      </c>
      <c r="X759" s="3">
        <v>1329500</v>
      </c>
      <c r="Y759" s="3">
        <v>1329500</v>
      </c>
      <c r="Z759" s="3">
        <v>234100</v>
      </c>
      <c r="AA759" s="3">
        <v>1095400</v>
      </c>
      <c r="AB759" s="3">
        <v>468</v>
      </c>
    </row>
    <row r="760" spans="1:28" x14ac:dyDescent="0.35">
      <c r="A760">
        <v>2022</v>
      </c>
      <c r="B760" t="str">
        <f t="shared" si="95"/>
        <v>40</v>
      </c>
      <c r="C760" t="s">
        <v>272</v>
      </c>
      <c r="D760" t="s">
        <v>35</v>
      </c>
      <c r="E760" t="str">
        <f t="shared" si="93"/>
        <v>251</v>
      </c>
      <c r="F760" t="s">
        <v>272</v>
      </c>
      <c r="G760" t="str">
        <f>"105"</f>
        <v>105</v>
      </c>
      <c r="H760" t="str">
        <f t="shared" si="94"/>
        <v>3619</v>
      </c>
      <c r="I760" s="3">
        <v>1323500</v>
      </c>
      <c r="J760" s="3">
        <v>100</v>
      </c>
      <c r="K760" s="3">
        <v>1323500</v>
      </c>
      <c r="L760" s="3">
        <v>0</v>
      </c>
      <c r="M760" s="3">
        <v>1323500</v>
      </c>
      <c r="N760" s="3">
        <v>0</v>
      </c>
      <c r="O760" s="3">
        <v>0</v>
      </c>
      <c r="P760" s="3">
        <v>0</v>
      </c>
      <c r="Q760" s="3">
        <v>0</v>
      </c>
      <c r="R760" s="3">
        <v>1400</v>
      </c>
      <c r="S760" s="3">
        <v>0</v>
      </c>
      <c r="T760" s="3">
        <v>0</v>
      </c>
      <c r="U760" s="3">
        <v>0</v>
      </c>
      <c r="V760" s="3">
        <v>2020</v>
      </c>
      <c r="W760" s="3">
        <v>1286500</v>
      </c>
      <c r="X760" s="3">
        <v>1324900</v>
      </c>
      <c r="Y760" s="3">
        <v>38400</v>
      </c>
      <c r="Z760" s="3">
        <v>1443800</v>
      </c>
      <c r="AA760" s="3">
        <v>-118900</v>
      </c>
      <c r="AB760" s="3">
        <v>-8</v>
      </c>
    </row>
    <row r="761" spans="1:28" x14ac:dyDescent="0.35">
      <c r="A761">
        <v>2022</v>
      </c>
      <c r="B761" t="str">
        <f t="shared" si="95"/>
        <v>40</v>
      </c>
      <c r="C761" t="s">
        <v>272</v>
      </c>
      <c r="D761" t="s">
        <v>35</v>
      </c>
      <c r="E761" t="str">
        <f t="shared" si="93"/>
        <v>251</v>
      </c>
      <c r="F761" t="s">
        <v>272</v>
      </c>
      <c r="G761" t="str">
        <f>"106"</f>
        <v>106</v>
      </c>
      <c r="H761" t="str">
        <f t="shared" si="94"/>
        <v>3619</v>
      </c>
      <c r="I761" s="3">
        <v>62800</v>
      </c>
      <c r="J761" s="3">
        <v>100</v>
      </c>
      <c r="K761" s="3">
        <v>62800</v>
      </c>
      <c r="L761" s="3">
        <v>0</v>
      </c>
      <c r="M761" s="3">
        <v>62800</v>
      </c>
      <c r="N761" s="3">
        <v>0</v>
      </c>
      <c r="O761" s="3">
        <v>0</v>
      </c>
      <c r="P761" s="3">
        <v>0</v>
      </c>
      <c r="Q761" s="3">
        <v>0</v>
      </c>
      <c r="R761" s="3">
        <v>0</v>
      </c>
      <c r="S761" s="3">
        <v>0</v>
      </c>
      <c r="T761" s="3">
        <v>0</v>
      </c>
      <c r="U761" s="3">
        <v>0</v>
      </c>
      <c r="V761" s="3">
        <v>2020</v>
      </c>
      <c r="W761" s="3">
        <v>0</v>
      </c>
      <c r="X761" s="3">
        <v>62800</v>
      </c>
      <c r="Y761" s="3">
        <v>62800</v>
      </c>
      <c r="Z761" s="3">
        <v>0</v>
      </c>
      <c r="AA761" s="3">
        <v>62800</v>
      </c>
      <c r="AB761" s="3">
        <v>100</v>
      </c>
    </row>
    <row r="762" spans="1:28" x14ac:dyDescent="0.35">
      <c r="A762">
        <v>2022</v>
      </c>
      <c r="B762" t="str">
        <f t="shared" si="95"/>
        <v>40</v>
      </c>
      <c r="C762" t="s">
        <v>272</v>
      </c>
      <c r="D762" t="s">
        <v>35</v>
      </c>
      <c r="E762" t="str">
        <f t="shared" si="93"/>
        <v>251</v>
      </c>
      <c r="F762" t="s">
        <v>272</v>
      </c>
      <c r="G762" t="str">
        <f>"107"</f>
        <v>107</v>
      </c>
      <c r="H762" t="str">
        <f t="shared" si="94"/>
        <v>3619</v>
      </c>
      <c r="I762" s="3">
        <v>4010600</v>
      </c>
      <c r="J762" s="3">
        <v>100</v>
      </c>
      <c r="K762" s="3">
        <v>4010600</v>
      </c>
      <c r="L762" s="3">
        <v>0</v>
      </c>
      <c r="M762" s="3">
        <v>4010600</v>
      </c>
      <c r="N762" s="3">
        <v>0</v>
      </c>
      <c r="O762" s="3">
        <v>0</v>
      </c>
      <c r="P762" s="3">
        <v>0</v>
      </c>
      <c r="Q762" s="3">
        <v>0</v>
      </c>
      <c r="R762" s="3">
        <v>0</v>
      </c>
      <c r="S762" s="3">
        <v>0</v>
      </c>
      <c r="T762" s="3">
        <v>0</v>
      </c>
      <c r="U762" s="3">
        <v>0</v>
      </c>
      <c r="V762" s="3">
        <v>2021</v>
      </c>
      <c r="W762" s="3">
        <v>0</v>
      </c>
      <c r="X762" s="3">
        <v>4010600</v>
      </c>
      <c r="Y762" s="3">
        <v>4010600</v>
      </c>
      <c r="Z762" s="3">
        <v>0</v>
      </c>
      <c r="AA762" s="3">
        <v>4010600</v>
      </c>
      <c r="AB762" s="3">
        <v>100</v>
      </c>
    </row>
    <row r="763" spans="1:28" x14ac:dyDescent="0.35">
      <c r="A763">
        <v>2022</v>
      </c>
      <c r="B763" t="str">
        <f t="shared" si="95"/>
        <v>40</v>
      </c>
      <c r="C763" t="s">
        <v>272</v>
      </c>
      <c r="D763" t="s">
        <v>35</v>
      </c>
      <c r="E763" t="str">
        <f t="shared" si="93"/>
        <v>251</v>
      </c>
      <c r="F763" t="s">
        <v>272</v>
      </c>
      <c r="G763" t="str">
        <f>"108"</f>
        <v>108</v>
      </c>
      <c r="H763" t="str">
        <f t="shared" si="94"/>
        <v>3619</v>
      </c>
      <c r="I763" s="3">
        <v>28358600</v>
      </c>
      <c r="J763" s="3">
        <v>100</v>
      </c>
      <c r="K763" s="3">
        <v>28358600</v>
      </c>
      <c r="L763" s="3">
        <v>0</v>
      </c>
      <c r="M763" s="3">
        <v>28358600</v>
      </c>
      <c r="N763" s="3">
        <v>0</v>
      </c>
      <c r="O763" s="3">
        <v>0</v>
      </c>
      <c r="P763" s="3">
        <v>0</v>
      </c>
      <c r="Q763" s="3">
        <v>0</v>
      </c>
      <c r="R763" s="3">
        <v>0</v>
      </c>
      <c r="S763" s="3">
        <v>0</v>
      </c>
      <c r="T763" s="3">
        <v>0</v>
      </c>
      <c r="U763" s="3">
        <v>0</v>
      </c>
      <c r="V763" s="3">
        <v>2021</v>
      </c>
      <c r="W763" s="3">
        <v>4416500</v>
      </c>
      <c r="X763" s="3">
        <v>28358600</v>
      </c>
      <c r="Y763" s="3">
        <v>23942100</v>
      </c>
      <c r="Z763" s="3">
        <v>4416500</v>
      </c>
      <c r="AA763" s="3">
        <v>23942100</v>
      </c>
      <c r="AB763" s="3">
        <v>542</v>
      </c>
    </row>
    <row r="764" spans="1:28" x14ac:dyDescent="0.35">
      <c r="A764">
        <v>2022</v>
      </c>
      <c r="B764" t="str">
        <f t="shared" si="95"/>
        <v>40</v>
      </c>
      <c r="C764" t="s">
        <v>272</v>
      </c>
      <c r="D764" t="s">
        <v>35</v>
      </c>
      <c r="E764" t="str">
        <f t="shared" ref="E764:E773" si="96">"265"</f>
        <v>265</v>
      </c>
      <c r="F764" t="s">
        <v>284</v>
      </c>
      <c r="G764" t="str">
        <f>"006"</f>
        <v>006</v>
      </c>
      <c r="H764" t="str">
        <f t="shared" ref="H764:H773" si="97">"4018"</f>
        <v>4018</v>
      </c>
      <c r="I764" s="3">
        <v>17092100</v>
      </c>
      <c r="J764" s="3">
        <v>100</v>
      </c>
      <c r="K764" s="3">
        <v>17092100</v>
      </c>
      <c r="L764" s="3">
        <v>0</v>
      </c>
      <c r="M764" s="3">
        <v>17092100</v>
      </c>
      <c r="N764" s="3">
        <v>0</v>
      </c>
      <c r="O764" s="3">
        <v>0</v>
      </c>
      <c r="P764" s="3">
        <v>0</v>
      </c>
      <c r="Q764" s="3">
        <v>0</v>
      </c>
      <c r="R764" s="3">
        <v>752500</v>
      </c>
      <c r="S764" s="3">
        <v>0</v>
      </c>
      <c r="T764" s="3">
        <v>0</v>
      </c>
      <c r="U764" s="3">
        <v>0</v>
      </c>
      <c r="V764" s="3">
        <v>2001</v>
      </c>
      <c r="W764" s="3">
        <v>1377200</v>
      </c>
      <c r="X764" s="3">
        <v>17844600</v>
      </c>
      <c r="Y764" s="3">
        <v>16467400</v>
      </c>
      <c r="Z764" s="3">
        <v>19648900</v>
      </c>
      <c r="AA764" s="3">
        <v>-1804300</v>
      </c>
      <c r="AB764" s="3">
        <v>-9</v>
      </c>
    </row>
    <row r="765" spans="1:28" x14ac:dyDescent="0.35">
      <c r="A765">
        <v>2022</v>
      </c>
      <c r="B765" t="str">
        <f t="shared" si="95"/>
        <v>40</v>
      </c>
      <c r="C765" t="s">
        <v>272</v>
      </c>
      <c r="D765" t="s">
        <v>35</v>
      </c>
      <c r="E765" t="str">
        <f t="shared" si="96"/>
        <v>265</v>
      </c>
      <c r="F765" t="s">
        <v>284</v>
      </c>
      <c r="G765" t="str">
        <f>"007"</f>
        <v>007</v>
      </c>
      <c r="H765" t="str">
        <f t="shared" si="97"/>
        <v>4018</v>
      </c>
      <c r="I765" s="3">
        <v>251494800</v>
      </c>
      <c r="J765" s="3">
        <v>100</v>
      </c>
      <c r="K765" s="3">
        <v>251494800</v>
      </c>
      <c r="L765" s="3">
        <v>0</v>
      </c>
      <c r="M765" s="3">
        <v>251494800</v>
      </c>
      <c r="N765" s="3">
        <v>19707600</v>
      </c>
      <c r="O765" s="3">
        <v>19707600</v>
      </c>
      <c r="P765" s="3">
        <v>2321500</v>
      </c>
      <c r="Q765" s="3">
        <v>2321500</v>
      </c>
      <c r="R765" s="3">
        <v>8777600</v>
      </c>
      <c r="S765" s="3">
        <v>-450800</v>
      </c>
      <c r="T765" s="3">
        <v>0</v>
      </c>
      <c r="U765" s="3">
        <v>0</v>
      </c>
      <c r="V765" s="3">
        <v>2007</v>
      </c>
      <c r="W765" s="3">
        <v>165053100</v>
      </c>
      <c r="X765" s="3">
        <v>281850700</v>
      </c>
      <c r="Y765" s="3">
        <v>116797600</v>
      </c>
      <c r="Z765" s="3">
        <v>250633500</v>
      </c>
      <c r="AA765" s="3">
        <v>31217200</v>
      </c>
      <c r="AB765" s="3">
        <v>12</v>
      </c>
    </row>
    <row r="766" spans="1:28" x14ac:dyDescent="0.35">
      <c r="A766">
        <v>2022</v>
      </c>
      <c r="B766" t="str">
        <f t="shared" si="95"/>
        <v>40</v>
      </c>
      <c r="C766" t="s">
        <v>272</v>
      </c>
      <c r="D766" t="s">
        <v>35</v>
      </c>
      <c r="E766" t="str">
        <f t="shared" si="96"/>
        <v>265</v>
      </c>
      <c r="F766" t="s">
        <v>284</v>
      </c>
      <c r="G766" t="str">
        <f>"008"</f>
        <v>008</v>
      </c>
      <c r="H766" t="str">
        <f t="shared" si="97"/>
        <v>4018</v>
      </c>
      <c r="I766" s="3">
        <v>95215000</v>
      </c>
      <c r="J766" s="3">
        <v>100</v>
      </c>
      <c r="K766" s="3">
        <v>95215000</v>
      </c>
      <c r="L766" s="3">
        <v>0</v>
      </c>
      <c r="M766" s="3">
        <v>95215000</v>
      </c>
      <c r="N766" s="3">
        <v>48036700</v>
      </c>
      <c r="O766" s="3">
        <v>48036700</v>
      </c>
      <c r="P766" s="3">
        <v>5786900</v>
      </c>
      <c r="Q766" s="3">
        <v>5786900</v>
      </c>
      <c r="R766" s="3">
        <v>2984800</v>
      </c>
      <c r="S766" s="3">
        <v>0</v>
      </c>
      <c r="T766" s="3">
        <v>0</v>
      </c>
      <c r="U766" s="3">
        <v>0</v>
      </c>
      <c r="V766" s="3">
        <v>2009</v>
      </c>
      <c r="W766" s="3">
        <v>23056600</v>
      </c>
      <c r="X766" s="3">
        <v>152023400</v>
      </c>
      <c r="Y766" s="3">
        <v>128966800</v>
      </c>
      <c r="Z766" s="3">
        <v>126197100</v>
      </c>
      <c r="AA766" s="3">
        <v>25826300</v>
      </c>
      <c r="AB766" s="3">
        <v>20</v>
      </c>
    </row>
    <row r="767" spans="1:28" x14ac:dyDescent="0.35">
      <c r="A767">
        <v>2022</v>
      </c>
      <c r="B767" t="str">
        <f t="shared" si="95"/>
        <v>40</v>
      </c>
      <c r="C767" t="s">
        <v>272</v>
      </c>
      <c r="D767" t="s">
        <v>35</v>
      </c>
      <c r="E767" t="str">
        <f t="shared" si="96"/>
        <v>265</v>
      </c>
      <c r="F767" t="s">
        <v>284</v>
      </c>
      <c r="G767" t="str">
        <f>"010"</f>
        <v>010</v>
      </c>
      <c r="H767" t="str">
        <f t="shared" si="97"/>
        <v>4018</v>
      </c>
      <c r="I767" s="3">
        <v>39454900</v>
      </c>
      <c r="J767" s="3">
        <v>100</v>
      </c>
      <c r="K767" s="3">
        <v>39454900</v>
      </c>
      <c r="L767" s="3">
        <v>0</v>
      </c>
      <c r="M767" s="3">
        <v>39454900</v>
      </c>
      <c r="N767" s="3">
        <v>0</v>
      </c>
      <c r="O767" s="3">
        <v>0</v>
      </c>
      <c r="P767" s="3">
        <v>0</v>
      </c>
      <c r="Q767" s="3">
        <v>0</v>
      </c>
      <c r="R767" s="3">
        <v>1519300</v>
      </c>
      <c r="S767" s="3">
        <v>0</v>
      </c>
      <c r="T767" s="3">
        <v>0</v>
      </c>
      <c r="U767" s="3">
        <v>0</v>
      </c>
      <c r="V767" s="3">
        <v>2010</v>
      </c>
      <c r="W767" s="3">
        <v>19223700</v>
      </c>
      <c r="X767" s="3">
        <v>40974200</v>
      </c>
      <c r="Y767" s="3">
        <v>21750500</v>
      </c>
      <c r="Z767" s="3">
        <v>41146500</v>
      </c>
      <c r="AA767" s="3">
        <v>-172300</v>
      </c>
      <c r="AB767" s="3">
        <v>0</v>
      </c>
    </row>
    <row r="768" spans="1:28" x14ac:dyDescent="0.35">
      <c r="A768">
        <v>2022</v>
      </c>
      <c r="B768" t="str">
        <f t="shared" si="95"/>
        <v>40</v>
      </c>
      <c r="C768" t="s">
        <v>272</v>
      </c>
      <c r="D768" t="s">
        <v>35</v>
      </c>
      <c r="E768" t="str">
        <f t="shared" si="96"/>
        <v>265</v>
      </c>
      <c r="F768" t="s">
        <v>284</v>
      </c>
      <c r="G768" t="str">
        <f>"011"</f>
        <v>011</v>
      </c>
      <c r="H768" t="str">
        <f t="shared" si="97"/>
        <v>4018</v>
      </c>
      <c r="I768" s="3">
        <v>221032000</v>
      </c>
      <c r="J768" s="3">
        <v>100</v>
      </c>
      <c r="K768" s="3">
        <v>221032000</v>
      </c>
      <c r="L768" s="3">
        <v>0</v>
      </c>
      <c r="M768" s="3">
        <v>221032000</v>
      </c>
      <c r="N768" s="3">
        <v>4865200</v>
      </c>
      <c r="O768" s="3">
        <v>4865200</v>
      </c>
      <c r="P768" s="3">
        <v>52800</v>
      </c>
      <c r="Q768" s="3">
        <v>52800</v>
      </c>
      <c r="R768" s="3">
        <v>7239100</v>
      </c>
      <c r="S768" s="3">
        <v>0</v>
      </c>
      <c r="T768" s="3">
        <v>0</v>
      </c>
      <c r="U768" s="3">
        <v>0</v>
      </c>
      <c r="V768" s="3">
        <v>2012</v>
      </c>
      <c r="W768" s="3">
        <v>12861900</v>
      </c>
      <c r="X768" s="3">
        <v>233189100</v>
      </c>
      <c r="Y768" s="3">
        <v>220327200</v>
      </c>
      <c r="Z768" s="3">
        <v>196816100</v>
      </c>
      <c r="AA768" s="3">
        <v>36373000</v>
      </c>
      <c r="AB768" s="3">
        <v>18</v>
      </c>
    </row>
    <row r="769" spans="1:28" x14ac:dyDescent="0.35">
      <c r="A769">
        <v>2022</v>
      </c>
      <c r="B769" t="str">
        <f t="shared" si="95"/>
        <v>40</v>
      </c>
      <c r="C769" t="s">
        <v>272</v>
      </c>
      <c r="D769" t="s">
        <v>35</v>
      </c>
      <c r="E769" t="str">
        <f t="shared" si="96"/>
        <v>265</v>
      </c>
      <c r="F769" t="s">
        <v>284</v>
      </c>
      <c r="G769" t="str">
        <f>"012"</f>
        <v>012</v>
      </c>
      <c r="H769" t="str">
        <f t="shared" si="97"/>
        <v>4018</v>
      </c>
      <c r="I769" s="3">
        <v>85734500</v>
      </c>
      <c r="J769" s="3">
        <v>100</v>
      </c>
      <c r="K769" s="3">
        <v>85734500</v>
      </c>
      <c r="L769" s="3">
        <v>0</v>
      </c>
      <c r="M769" s="3">
        <v>85734500</v>
      </c>
      <c r="N769" s="3">
        <v>0</v>
      </c>
      <c r="O769" s="3">
        <v>0</v>
      </c>
      <c r="P769" s="3">
        <v>0</v>
      </c>
      <c r="Q769" s="3">
        <v>0</v>
      </c>
      <c r="R769" s="3">
        <v>2290600</v>
      </c>
      <c r="S769" s="3">
        <v>0</v>
      </c>
      <c r="T769" s="3">
        <v>0</v>
      </c>
      <c r="U769" s="3">
        <v>0</v>
      </c>
      <c r="V769" s="3">
        <v>2016</v>
      </c>
      <c r="W769" s="3">
        <v>3738200</v>
      </c>
      <c r="X769" s="3">
        <v>88025100</v>
      </c>
      <c r="Y769" s="3">
        <v>84286900</v>
      </c>
      <c r="Z769" s="3">
        <v>60003700</v>
      </c>
      <c r="AA769" s="3">
        <v>28021400</v>
      </c>
      <c r="AB769" s="3">
        <v>47</v>
      </c>
    </row>
    <row r="770" spans="1:28" x14ac:dyDescent="0.35">
      <c r="A770">
        <v>2022</v>
      </c>
      <c r="B770" t="str">
        <f t="shared" si="95"/>
        <v>40</v>
      </c>
      <c r="C770" t="s">
        <v>272</v>
      </c>
      <c r="D770" t="s">
        <v>35</v>
      </c>
      <c r="E770" t="str">
        <f t="shared" si="96"/>
        <v>265</v>
      </c>
      <c r="F770" t="s">
        <v>284</v>
      </c>
      <c r="G770" t="str">
        <f>"013"</f>
        <v>013</v>
      </c>
      <c r="H770" t="str">
        <f t="shared" si="97"/>
        <v>4018</v>
      </c>
      <c r="I770" s="3">
        <v>9474200</v>
      </c>
      <c r="J770" s="3">
        <v>100</v>
      </c>
      <c r="K770" s="3">
        <v>9474200</v>
      </c>
      <c r="L770" s="3">
        <v>0</v>
      </c>
      <c r="M770" s="3">
        <v>9474200</v>
      </c>
      <c r="N770" s="3">
        <v>0</v>
      </c>
      <c r="O770" s="3">
        <v>0</v>
      </c>
      <c r="P770" s="3">
        <v>0</v>
      </c>
      <c r="Q770" s="3">
        <v>0</v>
      </c>
      <c r="R770" s="3">
        <v>208800</v>
      </c>
      <c r="S770" s="3">
        <v>0</v>
      </c>
      <c r="T770" s="3">
        <v>0</v>
      </c>
      <c r="U770" s="3">
        <v>0</v>
      </c>
      <c r="V770" s="3">
        <v>2017</v>
      </c>
      <c r="W770" s="3">
        <v>4703500</v>
      </c>
      <c r="X770" s="3">
        <v>9683000</v>
      </c>
      <c r="Y770" s="3">
        <v>4979500</v>
      </c>
      <c r="Z770" s="3">
        <v>5469300</v>
      </c>
      <c r="AA770" s="3">
        <v>4213700</v>
      </c>
      <c r="AB770" s="3">
        <v>77</v>
      </c>
    </row>
    <row r="771" spans="1:28" x14ac:dyDescent="0.35">
      <c r="A771">
        <v>2022</v>
      </c>
      <c r="B771" t="str">
        <f t="shared" si="95"/>
        <v>40</v>
      </c>
      <c r="C771" t="s">
        <v>272</v>
      </c>
      <c r="D771" t="s">
        <v>35</v>
      </c>
      <c r="E771" t="str">
        <f t="shared" si="96"/>
        <v>265</v>
      </c>
      <c r="F771" t="s">
        <v>284</v>
      </c>
      <c r="G771" t="str">
        <f>"014"</f>
        <v>014</v>
      </c>
      <c r="H771" t="str">
        <f t="shared" si="97"/>
        <v>4018</v>
      </c>
      <c r="I771" s="3">
        <v>8377000</v>
      </c>
      <c r="J771" s="3">
        <v>100</v>
      </c>
      <c r="K771" s="3">
        <v>8377000</v>
      </c>
      <c r="L771" s="3">
        <v>0</v>
      </c>
      <c r="M771" s="3">
        <v>8377000</v>
      </c>
      <c r="N771" s="3">
        <v>0</v>
      </c>
      <c r="O771" s="3">
        <v>0</v>
      </c>
      <c r="P771" s="3">
        <v>0</v>
      </c>
      <c r="Q771" s="3">
        <v>0</v>
      </c>
      <c r="R771" s="3">
        <v>366800</v>
      </c>
      <c r="S771" s="3">
        <v>0</v>
      </c>
      <c r="T771" s="3">
        <v>0</v>
      </c>
      <c r="U771" s="3">
        <v>0</v>
      </c>
      <c r="V771" s="3">
        <v>2018</v>
      </c>
      <c r="W771" s="3">
        <v>641300</v>
      </c>
      <c r="X771" s="3">
        <v>8743800</v>
      </c>
      <c r="Y771" s="3">
        <v>8102500</v>
      </c>
      <c r="Z771" s="3">
        <v>9559200</v>
      </c>
      <c r="AA771" s="3">
        <v>-815400</v>
      </c>
      <c r="AB771" s="3">
        <v>-9</v>
      </c>
    </row>
    <row r="772" spans="1:28" x14ac:dyDescent="0.35">
      <c r="A772">
        <v>2022</v>
      </c>
      <c r="B772" t="str">
        <f t="shared" ref="B772:B800" si="98">"40"</f>
        <v>40</v>
      </c>
      <c r="C772" t="s">
        <v>272</v>
      </c>
      <c r="D772" t="s">
        <v>35</v>
      </c>
      <c r="E772" t="str">
        <f t="shared" si="96"/>
        <v>265</v>
      </c>
      <c r="F772" t="s">
        <v>284</v>
      </c>
      <c r="G772" t="str">
        <f>"015"</f>
        <v>015</v>
      </c>
      <c r="H772" t="str">
        <f t="shared" si="97"/>
        <v>4018</v>
      </c>
      <c r="I772" s="3">
        <v>7190100</v>
      </c>
      <c r="J772" s="3">
        <v>100</v>
      </c>
      <c r="K772" s="3">
        <v>7190100</v>
      </c>
      <c r="L772" s="3">
        <v>0</v>
      </c>
      <c r="M772" s="3">
        <v>7190100</v>
      </c>
      <c r="N772" s="3">
        <v>0</v>
      </c>
      <c r="O772" s="3">
        <v>0</v>
      </c>
      <c r="P772" s="3">
        <v>0</v>
      </c>
      <c r="Q772" s="3">
        <v>0</v>
      </c>
      <c r="R772" s="3">
        <v>243600</v>
      </c>
      <c r="S772" s="3">
        <v>0</v>
      </c>
      <c r="T772" s="3">
        <v>0</v>
      </c>
      <c r="U772" s="3">
        <v>0</v>
      </c>
      <c r="V772" s="3">
        <v>2018</v>
      </c>
      <c r="W772" s="3">
        <v>1899900</v>
      </c>
      <c r="X772" s="3">
        <v>7433700</v>
      </c>
      <c r="Y772" s="3">
        <v>5533800</v>
      </c>
      <c r="Z772" s="3">
        <v>6374800</v>
      </c>
      <c r="AA772" s="3">
        <v>1058900</v>
      </c>
      <c r="AB772" s="3">
        <v>17</v>
      </c>
    </row>
    <row r="773" spans="1:28" x14ac:dyDescent="0.35">
      <c r="A773">
        <v>2022</v>
      </c>
      <c r="B773" t="str">
        <f t="shared" si="98"/>
        <v>40</v>
      </c>
      <c r="C773" t="s">
        <v>272</v>
      </c>
      <c r="D773" t="s">
        <v>35</v>
      </c>
      <c r="E773" t="str">
        <f t="shared" si="96"/>
        <v>265</v>
      </c>
      <c r="F773" t="s">
        <v>284</v>
      </c>
      <c r="G773" t="str">
        <f>"016"</f>
        <v>016</v>
      </c>
      <c r="H773" t="str">
        <f t="shared" si="97"/>
        <v>4018</v>
      </c>
      <c r="I773" s="3">
        <v>177013200</v>
      </c>
      <c r="J773" s="3">
        <v>100</v>
      </c>
      <c r="K773" s="3">
        <v>177013200</v>
      </c>
      <c r="L773" s="3">
        <v>0</v>
      </c>
      <c r="M773" s="3">
        <v>177013200</v>
      </c>
      <c r="N773" s="3">
        <v>361600</v>
      </c>
      <c r="O773" s="3">
        <v>361600</v>
      </c>
      <c r="P773" s="3">
        <v>1800</v>
      </c>
      <c r="Q773" s="3">
        <v>1800</v>
      </c>
      <c r="R773" s="3">
        <v>6854900</v>
      </c>
      <c r="S773" s="3">
        <v>0</v>
      </c>
      <c r="T773" s="3">
        <v>0</v>
      </c>
      <c r="U773" s="3">
        <v>0</v>
      </c>
      <c r="V773" s="3">
        <v>2018</v>
      </c>
      <c r="W773" s="3">
        <v>1549200</v>
      </c>
      <c r="X773" s="3">
        <v>184231500</v>
      </c>
      <c r="Y773" s="3">
        <v>182682300</v>
      </c>
      <c r="Z773" s="3">
        <v>178620300</v>
      </c>
      <c r="AA773" s="3">
        <v>5611200</v>
      </c>
      <c r="AB773" s="3">
        <v>3</v>
      </c>
    </row>
    <row r="774" spans="1:28" x14ac:dyDescent="0.35">
      <c r="A774">
        <v>2022</v>
      </c>
      <c r="B774" t="str">
        <f t="shared" si="98"/>
        <v>40</v>
      </c>
      <c r="C774" t="s">
        <v>272</v>
      </c>
      <c r="D774" t="s">
        <v>35</v>
      </c>
      <c r="E774" t="str">
        <f>"281"</f>
        <v>281</v>
      </c>
      <c r="F774" t="s">
        <v>285</v>
      </c>
      <c r="G774" t="str">
        <f>"003"</f>
        <v>003</v>
      </c>
      <c r="H774" t="str">
        <f>"5026"</f>
        <v>5026</v>
      </c>
      <c r="I774" s="3">
        <v>6713200</v>
      </c>
      <c r="J774" s="3">
        <v>89.04</v>
      </c>
      <c r="K774" s="3">
        <v>7539500</v>
      </c>
      <c r="L774" s="3">
        <v>0</v>
      </c>
      <c r="M774" s="3">
        <v>7539500</v>
      </c>
      <c r="N774" s="3">
        <v>0</v>
      </c>
      <c r="O774" s="3">
        <v>0</v>
      </c>
      <c r="P774" s="3">
        <v>9000</v>
      </c>
      <c r="Q774" s="3">
        <v>9000</v>
      </c>
      <c r="R774" s="3">
        <v>-8400</v>
      </c>
      <c r="S774" s="3">
        <v>0</v>
      </c>
      <c r="T774" s="3">
        <v>0</v>
      </c>
      <c r="U774" s="3">
        <v>62224400</v>
      </c>
      <c r="V774" s="3">
        <v>2006</v>
      </c>
      <c r="W774" s="3">
        <v>56131300</v>
      </c>
      <c r="X774" s="3">
        <v>69764500</v>
      </c>
      <c r="Y774" s="3">
        <v>13633200</v>
      </c>
      <c r="Z774" s="3">
        <v>69940700</v>
      </c>
      <c r="AA774" s="3">
        <v>-176200</v>
      </c>
      <c r="AB774" s="3">
        <v>0</v>
      </c>
    </row>
    <row r="775" spans="1:28" x14ac:dyDescent="0.35">
      <c r="A775">
        <v>2022</v>
      </c>
      <c r="B775" t="str">
        <f t="shared" si="98"/>
        <v>40</v>
      </c>
      <c r="C775" t="s">
        <v>272</v>
      </c>
      <c r="D775" t="s">
        <v>35</v>
      </c>
      <c r="E775" t="str">
        <f>"281"</f>
        <v>281</v>
      </c>
      <c r="F775" t="s">
        <v>285</v>
      </c>
      <c r="G775" t="str">
        <f>"004"</f>
        <v>004</v>
      </c>
      <c r="H775" t="str">
        <f>"5026"</f>
        <v>5026</v>
      </c>
      <c r="I775" s="3">
        <v>43197600</v>
      </c>
      <c r="J775" s="3">
        <v>89.04</v>
      </c>
      <c r="K775" s="3">
        <v>48514800</v>
      </c>
      <c r="L775" s="3">
        <v>0</v>
      </c>
      <c r="M775" s="3">
        <v>48514800</v>
      </c>
      <c r="N775" s="3">
        <v>11026400</v>
      </c>
      <c r="O775" s="3">
        <v>11026400</v>
      </c>
      <c r="P775" s="3">
        <v>1169200</v>
      </c>
      <c r="Q775" s="3">
        <v>1169200</v>
      </c>
      <c r="R775" s="3">
        <v>-55200</v>
      </c>
      <c r="S775" s="3">
        <v>0</v>
      </c>
      <c r="T775" s="3">
        <v>0</v>
      </c>
      <c r="U775" s="3">
        <v>0</v>
      </c>
      <c r="V775" s="3">
        <v>2012</v>
      </c>
      <c r="W775" s="3">
        <v>48457100</v>
      </c>
      <c r="X775" s="3">
        <v>60655200</v>
      </c>
      <c r="Y775" s="3">
        <v>12198100</v>
      </c>
      <c r="Z775" s="3">
        <v>57710600</v>
      </c>
      <c r="AA775" s="3">
        <v>2944600</v>
      </c>
      <c r="AB775" s="3">
        <v>5</v>
      </c>
    </row>
    <row r="776" spans="1:28" x14ac:dyDescent="0.35">
      <c r="A776">
        <v>2022</v>
      </c>
      <c r="B776" t="str">
        <f t="shared" si="98"/>
        <v>40</v>
      </c>
      <c r="C776" t="s">
        <v>272</v>
      </c>
      <c r="D776" t="s">
        <v>35</v>
      </c>
      <c r="E776" t="str">
        <f>"281"</f>
        <v>281</v>
      </c>
      <c r="F776" t="s">
        <v>285</v>
      </c>
      <c r="G776" t="str">
        <f>"005"</f>
        <v>005</v>
      </c>
      <c r="H776" t="str">
        <f>"5026"</f>
        <v>5026</v>
      </c>
      <c r="I776" s="3">
        <v>183544900</v>
      </c>
      <c r="J776" s="3">
        <v>89.04</v>
      </c>
      <c r="K776" s="3">
        <v>206137600</v>
      </c>
      <c r="L776" s="3">
        <v>0</v>
      </c>
      <c r="M776" s="3">
        <v>206137600</v>
      </c>
      <c r="N776" s="3">
        <v>1724700</v>
      </c>
      <c r="O776" s="3">
        <v>1724700</v>
      </c>
      <c r="P776" s="3">
        <v>864400</v>
      </c>
      <c r="Q776" s="3">
        <v>864400</v>
      </c>
      <c r="R776" s="3">
        <v>-199900</v>
      </c>
      <c r="S776" s="3">
        <v>0</v>
      </c>
      <c r="T776" s="3">
        <v>0</v>
      </c>
      <c r="U776" s="3">
        <v>0</v>
      </c>
      <c r="V776" s="3">
        <v>2015</v>
      </c>
      <c r="W776" s="3">
        <v>81643300</v>
      </c>
      <c r="X776" s="3">
        <v>208526800</v>
      </c>
      <c r="Y776" s="3">
        <v>126883500</v>
      </c>
      <c r="Z776" s="3">
        <v>171576000</v>
      </c>
      <c r="AA776" s="3">
        <v>36950800</v>
      </c>
      <c r="AB776" s="3">
        <v>22</v>
      </c>
    </row>
    <row r="777" spans="1:28" x14ac:dyDescent="0.35">
      <c r="A777">
        <v>2022</v>
      </c>
      <c r="B777" t="str">
        <f t="shared" si="98"/>
        <v>40</v>
      </c>
      <c r="C777" t="s">
        <v>272</v>
      </c>
      <c r="D777" t="s">
        <v>35</v>
      </c>
      <c r="E777" t="str">
        <f>"282"</f>
        <v>282</v>
      </c>
      <c r="F777" t="s">
        <v>286</v>
      </c>
      <c r="G777" t="str">
        <f>"001"</f>
        <v>001</v>
      </c>
      <c r="H777" t="str">
        <f>"5439"</f>
        <v>5439</v>
      </c>
      <c r="I777" s="3">
        <v>25753400</v>
      </c>
      <c r="J777" s="3">
        <v>100</v>
      </c>
      <c r="K777" s="3">
        <v>25753400</v>
      </c>
      <c r="L777" s="3">
        <v>0</v>
      </c>
      <c r="M777" s="3">
        <v>25753400</v>
      </c>
      <c r="N777" s="3">
        <v>1869300</v>
      </c>
      <c r="O777" s="3">
        <v>1869300</v>
      </c>
      <c r="P777" s="3">
        <v>10700</v>
      </c>
      <c r="Q777" s="3">
        <v>10700</v>
      </c>
      <c r="R777" s="3">
        <v>690900</v>
      </c>
      <c r="S777" s="3">
        <v>0</v>
      </c>
      <c r="T777" s="3">
        <v>0</v>
      </c>
      <c r="U777" s="3">
        <v>240500</v>
      </c>
      <c r="V777" s="3">
        <v>2000</v>
      </c>
      <c r="W777" s="3">
        <v>8397700</v>
      </c>
      <c r="X777" s="3">
        <v>28564800</v>
      </c>
      <c r="Y777" s="3">
        <v>20167100</v>
      </c>
      <c r="Z777" s="3">
        <v>24337000</v>
      </c>
      <c r="AA777" s="3">
        <v>4227800</v>
      </c>
      <c r="AB777" s="3">
        <v>17</v>
      </c>
    </row>
    <row r="778" spans="1:28" x14ac:dyDescent="0.35">
      <c r="A778">
        <v>2022</v>
      </c>
      <c r="B778" t="str">
        <f t="shared" si="98"/>
        <v>40</v>
      </c>
      <c r="C778" t="s">
        <v>272</v>
      </c>
      <c r="D778" t="s">
        <v>35</v>
      </c>
      <c r="E778" t="str">
        <f>"282"</f>
        <v>282</v>
      </c>
      <c r="F778" t="s">
        <v>286</v>
      </c>
      <c r="G778" t="str">
        <f>"002"</f>
        <v>002</v>
      </c>
      <c r="H778" t="str">
        <f>"5439"</f>
        <v>5439</v>
      </c>
      <c r="I778" s="3">
        <v>38173700</v>
      </c>
      <c r="J778" s="3">
        <v>100</v>
      </c>
      <c r="K778" s="3">
        <v>38173700</v>
      </c>
      <c r="L778" s="3">
        <v>0</v>
      </c>
      <c r="M778" s="3">
        <v>38173700</v>
      </c>
      <c r="N778" s="3">
        <v>1249300</v>
      </c>
      <c r="O778" s="3">
        <v>1249300</v>
      </c>
      <c r="P778" s="3">
        <v>30600</v>
      </c>
      <c r="Q778" s="3">
        <v>30600</v>
      </c>
      <c r="R778" s="3">
        <v>67700</v>
      </c>
      <c r="S778" s="3">
        <v>0</v>
      </c>
      <c r="T778" s="3">
        <v>0</v>
      </c>
      <c r="U778" s="3">
        <v>0</v>
      </c>
      <c r="V778" s="3">
        <v>2000</v>
      </c>
      <c r="W778" s="3">
        <v>6394400</v>
      </c>
      <c r="X778" s="3">
        <v>39521300</v>
      </c>
      <c r="Y778" s="3">
        <v>33126900</v>
      </c>
      <c r="Z778" s="3">
        <v>32908700</v>
      </c>
      <c r="AA778" s="3">
        <v>6612600</v>
      </c>
      <c r="AB778" s="3">
        <v>20</v>
      </c>
    </row>
    <row r="779" spans="1:28" x14ac:dyDescent="0.35">
      <c r="A779">
        <v>2022</v>
      </c>
      <c r="B779" t="str">
        <f t="shared" si="98"/>
        <v>40</v>
      </c>
      <c r="C779" t="s">
        <v>272</v>
      </c>
      <c r="D779" t="s">
        <v>35</v>
      </c>
      <c r="E779" t="str">
        <f>"282"</f>
        <v>282</v>
      </c>
      <c r="F779" t="s">
        <v>286</v>
      </c>
      <c r="G779" t="str">
        <f>"003"</f>
        <v>003</v>
      </c>
      <c r="H779" t="str">
        <f>"5439"</f>
        <v>5439</v>
      </c>
      <c r="I779" s="3">
        <v>45897800</v>
      </c>
      <c r="J779" s="3">
        <v>100</v>
      </c>
      <c r="K779" s="3">
        <v>45897800</v>
      </c>
      <c r="L779" s="3">
        <v>0</v>
      </c>
      <c r="M779" s="3">
        <v>45897800</v>
      </c>
      <c r="N779" s="3">
        <v>0</v>
      </c>
      <c r="O779" s="3">
        <v>0</v>
      </c>
      <c r="P779" s="3">
        <v>0</v>
      </c>
      <c r="Q779" s="3">
        <v>0</v>
      </c>
      <c r="R779" s="3">
        <v>175100</v>
      </c>
      <c r="S779" s="3">
        <v>0</v>
      </c>
      <c r="T779" s="3">
        <v>0</v>
      </c>
      <c r="U779" s="3">
        <v>0</v>
      </c>
      <c r="V779" s="3">
        <v>2005</v>
      </c>
      <c r="W779" s="3">
        <v>16460500</v>
      </c>
      <c r="X779" s="3">
        <v>46072900</v>
      </c>
      <c r="Y779" s="3">
        <v>29612400</v>
      </c>
      <c r="Z779" s="3">
        <v>41052300</v>
      </c>
      <c r="AA779" s="3">
        <v>5020600</v>
      </c>
      <c r="AB779" s="3">
        <v>12</v>
      </c>
    </row>
    <row r="780" spans="1:28" x14ac:dyDescent="0.35">
      <c r="A780">
        <v>2022</v>
      </c>
      <c r="B780" t="str">
        <f t="shared" si="98"/>
        <v>40</v>
      </c>
      <c r="C780" t="s">
        <v>272</v>
      </c>
      <c r="D780" t="s">
        <v>35</v>
      </c>
      <c r="E780" t="str">
        <f>"282"</f>
        <v>282</v>
      </c>
      <c r="F780" t="s">
        <v>286</v>
      </c>
      <c r="G780" t="str">
        <f>"005"</f>
        <v>005</v>
      </c>
      <c r="H780" t="str">
        <f>"5439"</f>
        <v>5439</v>
      </c>
      <c r="I780" s="3">
        <v>7405800</v>
      </c>
      <c r="J780" s="3">
        <v>100</v>
      </c>
      <c r="K780" s="3">
        <v>7405800</v>
      </c>
      <c r="L780" s="3">
        <v>0</v>
      </c>
      <c r="M780" s="3">
        <v>7405800</v>
      </c>
      <c r="N780" s="3">
        <v>14620500</v>
      </c>
      <c r="O780" s="3">
        <v>14620500</v>
      </c>
      <c r="P780" s="3">
        <v>157800</v>
      </c>
      <c r="Q780" s="3">
        <v>157800</v>
      </c>
      <c r="R780" s="3">
        <v>-386000</v>
      </c>
      <c r="S780" s="3">
        <v>0</v>
      </c>
      <c r="T780" s="3">
        <v>0</v>
      </c>
      <c r="U780" s="3">
        <v>0</v>
      </c>
      <c r="V780" s="3">
        <v>2018</v>
      </c>
      <c r="W780" s="3">
        <v>23398800</v>
      </c>
      <c r="X780" s="3">
        <v>21798100</v>
      </c>
      <c r="Y780" s="3">
        <v>-1600700</v>
      </c>
      <c r="Z780" s="3">
        <v>21108200</v>
      </c>
      <c r="AA780" s="3">
        <v>689900</v>
      </c>
      <c r="AB780" s="3">
        <v>3</v>
      </c>
    </row>
    <row r="781" spans="1:28" x14ac:dyDescent="0.35">
      <c r="A781">
        <v>2022</v>
      </c>
      <c r="B781" t="str">
        <f t="shared" si="98"/>
        <v>40</v>
      </c>
      <c r="C781" t="s">
        <v>272</v>
      </c>
      <c r="D781" t="s">
        <v>35</v>
      </c>
      <c r="E781" t="str">
        <f t="shared" ref="E781:E788" si="99">"291"</f>
        <v>291</v>
      </c>
      <c r="F781" t="s">
        <v>287</v>
      </c>
      <c r="G781" t="str">
        <f>"006"</f>
        <v>006</v>
      </c>
      <c r="H781" t="str">
        <f t="shared" ref="H781:H788" si="100">"6244"</f>
        <v>6244</v>
      </c>
      <c r="I781" s="3">
        <v>135107900</v>
      </c>
      <c r="J781" s="3">
        <v>84.89</v>
      </c>
      <c r="K781" s="3">
        <v>159156400</v>
      </c>
      <c r="L781" s="3">
        <v>0</v>
      </c>
      <c r="M781" s="3">
        <v>159156400</v>
      </c>
      <c r="N781" s="3">
        <v>0</v>
      </c>
      <c r="O781" s="3">
        <v>0</v>
      </c>
      <c r="P781" s="3">
        <v>0</v>
      </c>
      <c r="Q781" s="3">
        <v>0</v>
      </c>
      <c r="R781" s="3">
        <v>-168000</v>
      </c>
      <c r="S781" s="3">
        <v>0</v>
      </c>
      <c r="T781" s="3">
        <v>0</v>
      </c>
      <c r="U781" s="3">
        <v>0</v>
      </c>
      <c r="V781" s="3">
        <v>2010</v>
      </c>
      <c r="W781" s="3">
        <v>26768400</v>
      </c>
      <c r="X781" s="3">
        <v>158988400</v>
      </c>
      <c r="Y781" s="3">
        <v>132220000</v>
      </c>
      <c r="Z781" s="3">
        <v>144763400</v>
      </c>
      <c r="AA781" s="3">
        <v>14225000</v>
      </c>
      <c r="AB781" s="3">
        <v>10</v>
      </c>
    </row>
    <row r="782" spans="1:28" x14ac:dyDescent="0.35">
      <c r="A782">
        <v>2022</v>
      </c>
      <c r="B782" t="str">
        <f t="shared" si="98"/>
        <v>40</v>
      </c>
      <c r="C782" t="s">
        <v>272</v>
      </c>
      <c r="D782" t="s">
        <v>35</v>
      </c>
      <c r="E782" t="str">
        <f t="shared" si="99"/>
        <v>291</v>
      </c>
      <c r="F782" t="s">
        <v>287</v>
      </c>
      <c r="G782" t="str">
        <f>"007"</f>
        <v>007</v>
      </c>
      <c r="H782" t="str">
        <f t="shared" si="100"/>
        <v>6244</v>
      </c>
      <c r="I782" s="3">
        <v>170482600</v>
      </c>
      <c r="J782" s="3">
        <v>84.89</v>
      </c>
      <c r="K782" s="3">
        <v>200827700</v>
      </c>
      <c r="L782" s="3">
        <v>0</v>
      </c>
      <c r="M782" s="3">
        <v>200827700</v>
      </c>
      <c r="N782" s="3">
        <v>0</v>
      </c>
      <c r="O782" s="3">
        <v>0</v>
      </c>
      <c r="P782" s="3">
        <v>0</v>
      </c>
      <c r="Q782" s="3">
        <v>0</v>
      </c>
      <c r="R782" s="3">
        <v>2706100</v>
      </c>
      <c r="S782" s="3">
        <v>0</v>
      </c>
      <c r="T782" s="3">
        <v>0</v>
      </c>
      <c r="U782" s="3">
        <v>0</v>
      </c>
      <c r="V782" s="3">
        <v>2013</v>
      </c>
      <c r="W782" s="3">
        <v>20815000</v>
      </c>
      <c r="X782" s="3">
        <v>203533800</v>
      </c>
      <c r="Y782" s="3">
        <v>182718800</v>
      </c>
      <c r="Z782" s="3">
        <v>167278500</v>
      </c>
      <c r="AA782" s="3">
        <v>36255300</v>
      </c>
      <c r="AB782" s="3">
        <v>22</v>
      </c>
    </row>
    <row r="783" spans="1:28" x14ac:dyDescent="0.35">
      <c r="A783">
        <v>2022</v>
      </c>
      <c r="B783" t="str">
        <f t="shared" si="98"/>
        <v>40</v>
      </c>
      <c r="C783" t="s">
        <v>272</v>
      </c>
      <c r="D783" t="s">
        <v>35</v>
      </c>
      <c r="E783" t="str">
        <f t="shared" si="99"/>
        <v>291</v>
      </c>
      <c r="F783" t="s">
        <v>287</v>
      </c>
      <c r="G783" t="str">
        <f>"008"</f>
        <v>008</v>
      </c>
      <c r="H783" t="str">
        <f t="shared" si="100"/>
        <v>6244</v>
      </c>
      <c r="I783" s="3">
        <v>53838200</v>
      </c>
      <c r="J783" s="3">
        <v>84.89</v>
      </c>
      <c r="K783" s="3">
        <v>63421100</v>
      </c>
      <c r="L783" s="3">
        <v>0</v>
      </c>
      <c r="M783" s="3">
        <v>63421100</v>
      </c>
      <c r="N783" s="3">
        <v>1275000</v>
      </c>
      <c r="O783" s="3">
        <v>1275000</v>
      </c>
      <c r="P783" s="3">
        <v>91700</v>
      </c>
      <c r="Q783" s="3">
        <v>91700</v>
      </c>
      <c r="R783" s="3">
        <v>-55700</v>
      </c>
      <c r="S783" s="3">
        <v>0</v>
      </c>
      <c r="T783" s="3">
        <v>0</v>
      </c>
      <c r="U783" s="3">
        <v>0</v>
      </c>
      <c r="V783" s="3">
        <v>2014</v>
      </c>
      <c r="W783" s="3">
        <v>21723600</v>
      </c>
      <c r="X783" s="3">
        <v>64732100</v>
      </c>
      <c r="Y783" s="3">
        <v>43008500</v>
      </c>
      <c r="Z783" s="3">
        <v>57315500</v>
      </c>
      <c r="AA783" s="3">
        <v>7416600</v>
      </c>
      <c r="AB783" s="3">
        <v>13</v>
      </c>
    </row>
    <row r="784" spans="1:28" x14ac:dyDescent="0.35">
      <c r="A784">
        <v>2022</v>
      </c>
      <c r="B784" t="str">
        <f t="shared" si="98"/>
        <v>40</v>
      </c>
      <c r="C784" t="s">
        <v>272</v>
      </c>
      <c r="D784" t="s">
        <v>35</v>
      </c>
      <c r="E784" t="str">
        <f t="shared" si="99"/>
        <v>291</v>
      </c>
      <c r="F784" t="s">
        <v>287</v>
      </c>
      <c r="G784" t="str">
        <f>"009"</f>
        <v>009</v>
      </c>
      <c r="H784" t="str">
        <f t="shared" si="100"/>
        <v>6244</v>
      </c>
      <c r="I784" s="3">
        <v>16388200</v>
      </c>
      <c r="J784" s="3">
        <v>84.89</v>
      </c>
      <c r="K784" s="3">
        <v>19305200</v>
      </c>
      <c r="L784" s="3">
        <v>0</v>
      </c>
      <c r="M784" s="3">
        <v>19305200</v>
      </c>
      <c r="N784" s="3">
        <v>0</v>
      </c>
      <c r="O784" s="3">
        <v>0</v>
      </c>
      <c r="P784" s="3">
        <v>0</v>
      </c>
      <c r="Q784" s="3">
        <v>0</v>
      </c>
      <c r="R784" s="3">
        <v>-20600</v>
      </c>
      <c r="S784" s="3">
        <v>0</v>
      </c>
      <c r="T784" s="3">
        <v>0</v>
      </c>
      <c r="U784" s="3">
        <v>0</v>
      </c>
      <c r="V784" s="3">
        <v>2015</v>
      </c>
      <c r="W784" s="3">
        <v>5128200</v>
      </c>
      <c r="X784" s="3">
        <v>19284600</v>
      </c>
      <c r="Y784" s="3">
        <v>14156400</v>
      </c>
      <c r="Z784" s="3">
        <v>17528100</v>
      </c>
      <c r="AA784" s="3">
        <v>1756500</v>
      </c>
      <c r="AB784" s="3">
        <v>10</v>
      </c>
    </row>
    <row r="785" spans="1:28" x14ac:dyDescent="0.35">
      <c r="A785">
        <v>2022</v>
      </c>
      <c r="B785" t="str">
        <f t="shared" si="98"/>
        <v>40</v>
      </c>
      <c r="C785" t="s">
        <v>272</v>
      </c>
      <c r="D785" t="s">
        <v>35</v>
      </c>
      <c r="E785" t="str">
        <f t="shared" si="99"/>
        <v>291</v>
      </c>
      <c r="F785" t="s">
        <v>287</v>
      </c>
      <c r="G785" t="str">
        <f>"010"</f>
        <v>010</v>
      </c>
      <c r="H785" t="str">
        <f t="shared" si="100"/>
        <v>6244</v>
      </c>
      <c r="I785" s="3">
        <v>36500000</v>
      </c>
      <c r="J785" s="3">
        <v>84.89</v>
      </c>
      <c r="K785" s="3">
        <v>42996800</v>
      </c>
      <c r="L785" s="3">
        <v>0</v>
      </c>
      <c r="M785" s="3">
        <v>42996800</v>
      </c>
      <c r="N785" s="3">
        <v>0</v>
      </c>
      <c r="O785" s="3">
        <v>0</v>
      </c>
      <c r="P785" s="3">
        <v>0</v>
      </c>
      <c r="Q785" s="3">
        <v>0</v>
      </c>
      <c r="R785" s="3">
        <v>-45900</v>
      </c>
      <c r="S785" s="3">
        <v>0</v>
      </c>
      <c r="T785" s="3">
        <v>0</v>
      </c>
      <c r="U785" s="3">
        <v>0</v>
      </c>
      <c r="V785" s="3">
        <v>2015</v>
      </c>
      <c r="W785" s="3">
        <v>3970400</v>
      </c>
      <c r="X785" s="3">
        <v>42950900</v>
      </c>
      <c r="Y785" s="3">
        <v>38980500</v>
      </c>
      <c r="Z785" s="3">
        <v>39071500</v>
      </c>
      <c r="AA785" s="3">
        <v>3879400</v>
      </c>
      <c r="AB785" s="3">
        <v>10</v>
      </c>
    </row>
    <row r="786" spans="1:28" x14ac:dyDescent="0.35">
      <c r="A786">
        <v>2022</v>
      </c>
      <c r="B786" t="str">
        <f t="shared" si="98"/>
        <v>40</v>
      </c>
      <c r="C786" t="s">
        <v>272</v>
      </c>
      <c r="D786" t="s">
        <v>35</v>
      </c>
      <c r="E786" t="str">
        <f t="shared" si="99"/>
        <v>291</v>
      </c>
      <c r="F786" t="s">
        <v>287</v>
      </c>
      <c r="G786" t="str">
        <f>"011"</f>
        <v>011</v>
      </c>
      <c r="H786" t="str">
        <f t="shared" si="100"/>
        <v>6244</v>
      </c>
      <c r="I786" s="3">
        <v>43425200</v>
      </c>
      <c r="J786" s="3">
        <v>84.89</v>
      </c>
      <c r="K786" s="3">
        <v>51154700</v>
      </c>
      <c r="L786" s="3">
        <v>0</v>
      </c>
      <c r="M786" s="3">
        <v>51154700</v>
      </c>
      <c r="N786" s="3">
        <v>0</v>
      </c>
      <c r="O786" s="3">
        <v>0</v>
      </c>
      <c r="P786" s="3">
        <v>0</v>
      </c>
      <c r="Q786" s="3">
        <v>0</v>
      </c>
      <c r="R786" s="3">
        <v>714000</v>
      </c>
      <c r="S786" s="3">
        <v>0</v>
      </c>
      <c r="T786" s="3">
        <v>0</v>
      </c>
      <c r="U786" s="3">
        <v>0</v>
      </c>
      <c r="V786" s="3">
        <v>2015</v>
      </c>
      <c r="W786" s="3">
        <v>11163400</v>
      </c>
      <c r="X786" s="3">
        <v>51868700</v>
      </c>
      <c r="Y786" s="3">
        <v>40705300</v>
      </c>
      <c r="Z786" s="3">
        <v>45997800</v>
      </c>
      <c r="AA786" s="3">
        <v>5870900</v>
      </c>
      <c r="AB786" s="3">
        <v>13</v>
      </c>
    </row>
    <row r="787" spans="1:28" x14ac:dyDescent="0.35">
      <c r="A787">
        <v>2022</v>
      </c>
      <c r="B787" t="str">
        <f t="shared" si="98"/>
        <v>40</v>
      </c>
      <c r="C787" t="s">
        <v>272</v>
      </c>
      <c r="D787" t="s">
        <v>35</v>
      </c>
      <c r="E787" t="str">
        <f t="shared" si="99"/>
        <v>291</v>
      </c>
      <c r="F787" t="s">
        <v>287</v>
      </c>
      <c r="G787" t="str">
        <f>"012"</f>
        <v>012</v>
      </c>
      <c r="H787" t="str">
        <f t="shared" si="100"/>
        <v>6244</v>
      </c>
      <c r="I787" s="3">
        <v>52142400</v>
      </c>
      <c r="J787" s="3">
        <v>84.89</v>
      </c>
      <c r="K787" s="3">
        <v>61423500</v>
      </c>
      <c r="L787" s="3">
        <v>0</v>
      </c>
      <c r="M787" s="3">
        <v>61423500</v>
      </c>
      <c r="N787" s="3">
        <v>0</v>
      </c>
      <c r="O787" s="3">
        <v>0</v>
      </c>
      <c r="P787" s="3">
        <v>0</v>
      </c>
      <c r="Q787" s="3">
        <v>0</v>
      </c>
      <c r="R787" s="3">
        <v>-1343000</v>
      </c>
      <c r="S787" s="3">
        <v>0</v>
      </c>
      <c r="T787" s="3">
        <v>0</v>
      </c>
      <c r="U787" s="3">
        <v>0</v>
      </c>
      <c r="V787" s="3">
        <v>2018</v>
      </c>
      <c r="W787" s="3">
        <v>35541200</v>
      </c>
      <c r="X787" s="3">
        <v>60080500</v>
      </c>
      <c r="Y787" s="3">
        <v>24539300</v>
      </c>
      <c r="Z787" s="3">
        <v>59382600</v>
      </c>
      <c r="AA787" s="3">
        <v>697900</v>
      </c>
      <c r="AB787" s="3">
        <v>1</v>
      </c>
    </row>
    <row r="788" spans="1:28" x14ac:dyDescent="0.35">
      <c r="A788">
        <v>2022</v>
      </c>
      <c r="B788" t="str">
        <f t="shared" si="98"/>
        <v>40</v>
      </c>
      <c r="C788" t="s">
        <v>272</v>
      </c>
      <c r="D788" t="s">
        <v>35</v>
      </c>
      <c r="E788" t="str">
        <f t="shared" si="99"/>
        <v>291</v>
      </c>
      <c r="F788" t="s">
        <v>287</v>
      </c>
      <c r="G788" t="str">
        <f>"013"</f>
        <v>013</v>
      </c>
      <c r="H788" t="str">
        <f t="shared" si="100"/>
        <v>6244</v>
      </c>
      <c r="I788" s="3">
        <v>12117700</v>
      </c>
      <c r="J788" s="3">
        <v>84.89</v>
      </c>
      <c r="K788" s="3">
        <v>14274600</v>
      </c>
      <c r="L788" s="3">
        <v>0</v>
      </c>
      <c r="M788" s="3">
        <v>14274600</v>
      </c>
      <c r="N788" s="3">
        <v>0</v>
      </c>
      <c r="O788" s="3">
        <v>0</v>
      </c>
      <c r="P788" s="3">
        <v>0</v>
      </c>
      <c r="Q788" s="3">
        <v>0</v>
      </c>
      <c r="R788" s="3">
        <v>-3800</v>
      </c>
      <c r="S788" s="3">
        <v>0</v>
      </c>
      <c r="T788" s="3">
        <v>0</v>
      </c>
      <c r="U788" s="3">
        <v>0</v>
      </c>
      <c r="V788" s="3">
        <v>2020</v>
      </c>
      <c r="W788" s="3">
        <v>3129400</v>
      </c>
      <c r="X788" s="3">
        <v>14270800</v>
      </c>
      <c r="Y788" s="3">
        <v>11141400</v>
      </c>
      <c r="Z788" s="3">
        <v>3297500</v>
      </c>
      <c r="AA788" s="3">
        <v>10973300</v>
      </c>
      <c r="AB788" s="3">
        <v>333</v>
      </c>
    </row>
    <row r="789" spans="1:28" x14ac:dyDescent="0.35">
      <c r="A789">
        <v>2022</v>
      </c>
      <c r="B789" t="str">
        <f t="shared" si="98"/>
        <v>40</v>
      </c>
      <c r="C789" t="s">
        <v>272</v>
      </c>
      <c r="D789" t="s">
        <v>35</v>
      </c>
      <c r="E789" t="str">
        <f t="shared" ref="E789:E800" si="101">"292"</f>
        <v>292</v>
      </c>
      <c r="F789" t="s">
        <v>288</v>
      </c>
      <c r="G789" t="str">
        <f>"005"</f>
        <v>005</v>
      </c>
      <c r="H789" t="str">
        <f t="shared" ref="H789:H800" si="102">"6300"</f>
        <v>6300</v>
      </c>
      <c r="I789" s="3">
        <v>46212400</v>
      </c>
      <c r="J789" s="3">
        <v>71.91</v>
      </c>
      <c r="K789" s="3">
        <v>64264200</v>
      </c>
      <c r="L789" s="3">
        <v>0</v>
      </c>
      <c r="M789" s="3">
        <v>64264200</v>
      </c>
      <c r="N789" s="3">
        <v>0</v>
      </c>
      <c r="O789" s="3">
        <v>0</v>
      </c>
      <c r="P789" s="3">
        <v>0</v>
      </c>
      <c r="Q789" s="3">
        <v>0</v>
      </c>
      <c r="R789" s="3">
        <v>129700</v>
      </c>
      <c r="S789" s="3">
        <v>0</v>
      </c>
      <c r="T789" s="3">
        <v>0</v>
      </c>
      <c r="U789" s="3">
        <v>0</v>
      </c>
      <c r="V789" s="3">
        <v>2001</v>
      </c>
      <c r="W789" s="3">
        <v>18524000</v>
      </c>
      <c r="X789" s="3">
        <v>64393900</v>
      </c>
      <c r="Y789" s="3">
        <v>45869900</v>
      </c>
      <c r="Z789" s="3">
        <v>56513800</v>
      </c>
      <c r="AA789" s="3">
        <v>7880100</v>
      </c>
      <c r="AB789" s="3">
        <v>14</v>
      </c>
    </row>
    <row r="790" spans="1:28" x14ac:dyDescent="0.35">
      <c r="A790">
        <v>2022</v>
      </c>
      <c r="B790" t="str">
        <f t="shared" si="98"/>
        <v>40</v>
      </c>
      <c r="C790" t="s">
        <v>272</v>
      </c>
      <c r="D790" t="s">
        <v>35</v>
      </c>
      <c r="E790" t="str">
        <f t="shared" si="101"/>
        <v>292</v>
      </c>
      <c r="F790" t="s">
        <v>288</v>
      </c>
      <c r="G790" t="str">
        <f>"006"</f>
        <v>006</v>
      </c>
      <c r="H790" t="str">
        <f t="shared" si="102"/>
        <v>6300</v>
      </c>
      <c r="I790" s="3">
        <v>674700</v>
      </c>
      <c r="J790" s="3">
        <v>71.91</v>
      </c>
      <c r="K790" s="3">
        <v>938300</v>
      </c>
      <c r="L790" s="3">
        <v>0</v>
      </c>
      <c r="M790" s="3">
        <v>938300</v>
      </c>
      <c r="N790" s="3">
        <v>9178400</v>
      </c>
      <c r="O790" s="3">
        <v>9178400</v>
      </c>
      <c r="P790" s="3">
        <v>389200</v>
      </c>
      <c r="Q790" s="3">
        <v>389200</v>
      </c>
      <c r="R790" s="3">
        <v>1800</v>
      </c>
      <c r="S790" s="3">
        <v>0</v>
      </c>
      <c r="T790" s="3">
        <v>0</v>
      </c>
      <c r="U790" s="3">
        <v>0</v>
      </c>
      <c r="V790" s="3">
        <v>2004</v>
      </c>
      <c r="W790" s="3">
        <v>1330600</v>
      </c>
      <c r="X790" s="3">
        <v>10507700</v>
      </c>
      <c r="Y790" s="3">
        <v>9177100</v>
      </c>
      <c r="Z790" s="3">
        <v>6258400</v>
      </c>
      <c r="AA790" s="3">
        <v>4249300</v>
      </c>
      <c r="AB790" s="3">
        <v>68</v>
      </c>
    </row>
    <row r="791" spans="1:28" x14ac:dyDescent="0.35">
      <c r="A791">
        <v>2022</v>
      </c>
      <c r="B791" t="str">
        <f t="shared" si="98"/>
        <v>40</v>
      </c>
      <c r="C791" t="s">
        <v>272</v>
      </c>
      <c r="D791" t="s">
        <v>35</v>
      </c>
      <c r="E791" t="str">
        <f t="shared" si="101"/>
        <v>292</v>
      </c>
      <c r="F791" t="s">
        <v>288</v>
      </c>
      <c r="G791" t="str">
        <f>"007"</f>
        <v>007</v>
      </c>
      <c r="H791" t="str">
        <f t="shared" si="102"/>
        <v>6300</v>
      </c>
      <c r="I791" s="3">
        <v>73322300</v>
      </c>
      <c r="J791" s="3">
        <v>71.91</v>
      </c>
      <c r="K791" s="3">
        <v>101964000</v>
      </c>
      <c r="L791" s="3">
        <v>0</v>
      </c>
      <c r="M791" s="3">
        <v>101964000</v>
      </c>
      <c r="N791" s="3">
        <v>1684000</v>
      </c>
      <c r="O791" s="3">
        <v>1684000</v>
      </c>
      <c r="P791" s="3">
        <v>3946900</v>
      </c>
      <c r="Q791" s="3">
        <v>3946900</v>
      </c>
      <c r="R791" s="3">
        <v>212700</v>
      </c>
      <c r="S791" s="3">
        <v>0</v>
      </c>
      <c r="T791" s="3">
        <v>0</v>
      </c>
      <c r="U791" s="3">
        <v>0</v>
      </c>
      <c r="V791" s="3">
        <v>2004</v>
      </c>
      <c r="W791" s="3">
        <v>15914400</v>
      </c>
      <c r="X791" s="3">
        <v>107807600</v>
      </c>
      <c r="Y791" s="3">
        <v>91893200</v>
      </c>
      <c r="Z791" s="3">
        <v>98442100</v>
      </c>
      <c r="AA791" s="3">
        <v>9365500</v>
      </c>
      <c r="AB791" s="3">
        <v>10</v>
      </c>
    </row>
    <row r="792" spans="1:28" x14ac:dyDescent="0.35">
      <c r="A792">
        <v>2022</v>
      </c>
      <c r="B792" t="str">
        <f t="shared" si="98"/>
        <v>40</v>
      </c>
      <c r="C792" t="s">
        <v>272</v>
      </c>
      <c r="D792" t="s">
        <v>35</v>
      </c>
      <c r="E792" t="str">
        <f t="shared" si="101"/>
        <v>292</v>
      </c>
      <c r="F792" t="s">
        <v>288</v>
      </c>
      <c r="G792" t="str">
        <f>"010"</f>
        <v>010</v>
      </c>
      <c r="H792" t="str">
        <f t="shared" si="102"/>
        <v>6300</v>
      </c>
      <c r="I792" s="3">
        <v>13150300</v>
      </c>
      <c r="J792" s="3">
        <v>71.91</v>
      </c>
      <c r="K792" s="3">
        <v>18287200</v>
      </c>
      <c r="L792" s="3">
        <v>0</v>
      </c>
      <c r="M792" s="3">
        <v>18287200</v>
      </c>
      <c r="N792" s="3">
        <v>0</v>
      </c>
      <c r="O792" s="3">
        <v>0</v>
      </c>
      <c r="P792" s="3">
        <v>0</v>
      </c>
      <c r="Q792" s="3">
        <v>0</v>
      </c>
      <c r="R792" s="3">
        <v>36200</v>
      </c>
      <c r="S792" s="3">
        <v>0</v>
      </c>
      <c r="T792" s="3">
        <v>0</v>
      </c>
      <c r="U792" s="3">
        <v>0</v>
      </c>
      <c r="V792" s="3">
        <v>2008</v>
      </c>
      <c r="W792" s="3">
        <v>3463600</v>
      </c>
      <c r="X792" s="3">
        <v>18323400</v>
      </c>
      <c r="Y792" s="3">
        <v>14859800</v>
      </c>
      <c r="Z792" s="3">
        <v>15742800</v>
      </c>
      <c r="AA792" s="3">
        <v>2580600</v>
      </c>
      <c r="AB792" s="3">
        <v>16</v>
      </c>
    </row>
    <row r="793" spans="1:28" x14ac:dyDescent="0.35">
      <c r="A793">
        <v>2022</v>
      </c>
      <c r="B793" t="str">
        <f t="shared" si="98"/>
        <v>40</v>
      </c>
      <c r="C793" t="s">
        <v>272</v>
      </c>
      <c r="D793" t="s">
        <v>35</v>
      </c>
      <c r="E793" t="str">
        <f t="shared" si="101"/>
        <v>292</v>
      </c>
      <c r="F793" t="s">
        <v>288</v>
      </c>
      <c r="G793" t="str">
        <f>"011"</f>
        <v>011</v>
      </c>
      <c r="H793" t="str">
        <f t="shared" si="102"/>
        <v>6300</v>
      </c>
      <c r="I793" s="3">
        <v>39687400</v>
      </c>
      <c r="J793" s="3">
        <v>71.91</v>
      </c>
      <c r="K793" s="3">
        <v>55190400</v>
      </c>
      <c r="L793" s="3">
        <v>0</v>
      </c>
      <c r="M793" s="3">
        <v>55190400</v>
      </c>
      <c r="N793" s="3">
        <v>0</v>
      </c>
      <c r="O793" s="3">
        <v>0</v>
      </c>
      <c r="P793" s="3">
        <v>0</v>
      </c>
      <c r="Q793" s="3">
        <v>0</v>
      </c>
      <c r="R793" s="3">
        <v>110300</v>
      </c>
      <c r="S793" s="3">
        <v>0</v>
      </c>
      <c r="T793" s="3">
        <v>0</v>
      </c>
      <c r="U793" s="3">
        <v>0</v>
      </c>
      <c r="V793" s="3">
        <v>2010</v>
      </c>
      <c r="W793" s="3">
        <v>4678000</v>
      </c>
      <c r="X793" s="3">
        <v>55300700</v>
      </c>
      <c r="Y793" s="3">
        <v>50622700</v>
      </c>
      <c r="Z793" s="3">
        <v>43675900</v>
      </c>
      <c r="AA793" s="3">
        <v>11624800</v>
      </c>
      <c r="AB793" s="3">
        <v>27</v>
      </c>
    </row>
    <row r="794" spans="1:28" x14ac:dyDescent="0.35">
      <c r="A794">
        <v>2022</v>
      </c>
      <c r="B794" t="str">
        <f t="shared" si="98"/>
        <v>40</v>
      </c>
      <c r="C794" t="s">
        <v>272</v>
      </c>
      <c r="D794" t="s">
        <v>35</v>
      </c>
      <c r="E794" t="str">
        <f t="shared" si="101"/>
        <v>292</v>
      </c>
      <c r="F794" t="s">
        <v>288</v>
      </c>
      <c r="G794" t="str">
        <f>"012"</f>
        <v>012</v>
      </c>
      <c r="H794" t="str">
        <f t="shared" si="102"/>
        <v>6300</v>
      </c>
      <c r="I794" s="3">
        <v>0</v>
      </c>
      <c r="J794" s="3">
        <v>71.91</v>
      </c>
      <c r="K794" s="3">
        <v>0</v>
      </c>
      <c r="L794" s="3">
        <v>0</v>
      </c>
      <c r="M794" s="3">
        <v>0</v>
      </c>
      <c r="N794" s="3">
        <v>0</v>
      </c>
      <c r="O794" s="3">
        <v>0</v>
      </c>
      <c r="P794" s="3">
        <v>0</v>
      </c>
      <c r="Q794" s="3">
        <v>0</v>
      </c>
      <c r="R794" s="3">
        <v>0</v>
      </c>
      <c r="S794" s="3">
        <v>0</v>
      </c>
      <c r="T794" s="3">
        <v>0</v>
      </c>
      <c r="U794" s="3">
        <v>0</v>
      </c>
      <c r="V794" s="3">
        <v>2011</v>
      </c>
      <c r="W794" s="3">
        <v>232900</v>
      </c>
      <c r="X794" s="3">
        <v>0</v>
      </c>
      <c r="Y794" s="3">
        <v>-232900</v>
      </c>
      <c r="Z794" s="3">
        <v>0</v>
      </c>
      <c r="AA794" s="3">
        <v>0</v>
      </c>
      <c r="AB794" s="3">
        <v>0</v>
      </c>
    </row>
    <row r="795" spans="1:28" x14ac:dyDescent="0.35">
      <c r="A795">
        <v>2022</v>
      </c>
      <c r="B795" t="str">
        <f t="shared" si="98"/>
        <v>40</v>
      </c>
      <c r="C795" t="s">
        <v>272</v>
      </c>
      <c r="D795" t="s">
        <v>35</v>
      </c>
      <c r="E795" t="str">
        <f t="shared" si="101"/>
        <v>292</v>
      </c>
      <c r="F795" t="s">
        <v>288</v>
      </c>
      <c r="G795" t="str">
        <f>"013"</f>
        <v>013</v>
      </c>
      <c r="H795" t="str">
        <f t="shared" si="102"/>
        <v>6300</v>
      </c>
      <c r="I795" s="3">
        <v>810500</v>
      </c>
      <c r="J795" s="3">
        <v>71.91</v>
      </c>
      <c r="K795" s="3">
        <v>1127100</v>
      </c>
      <c r="L795" s="3">
        <v>0</v>
      </c>
      <c r="M795" s="3">
        <v>1127100</v>
      </c>
      <c r="N795" s="3">
        <v>0</v>
      </c>
      <c r="O795" s="3">
        <v>0</v>
      </c>
      <c r="P795" s="3">
        <v>0</v>
      </c>
      <c r="Q795" s="3">
        <v>0</v>
      </c>
      <c r="R795" s="3">
        <v>2200</v>
      </c>
      <c r="S795" s="3">
        <v>0</v>
      </c>
      <c r="T795" s="3">
        <v>0</v>
      </c>
      <c r="U795" s="3">
        <v>0</v>
      </c>
      <c r="V795" s="3">
        <v>2011</v>
      </c>
      <c r="W795" s="3">
        <v>537400</v>
      </c>
      <c r="X795" s="3">
        <v>1129300</v>
      </c>
      <c r="Y795" s="3">
        <v>591900</v>
      </c>
      <c r="Z795" s="3">
        <v>979300</v>
      </c>
      <c r="AA795" s="3">
        <v>150000</v>
      </c>
      <c r="AB795" s="3">
        <v>15</v>
      </c>
    </row>
    <row r="796" spans="1:28" x14ac:dyDescent="0.35">
      <c r="A796">
        <v>2022</v>
      </c>
      <c r="B796" t="str">
        <f t="shared" si="98"/>
        <v>40</v>
      </c>
      <c r="C796" t="s">
        <v>272</v>
      </c>
      <c r="D796" t="s">
        <v>35</v>
      </c>
      <c r="E796" t="str">
        <f t="shared" si="101"/>
        <v>292</v>
      </c>
      <c r="F796" t="s">
        <v>288</v>
      </c>
      <c r="G796" t="str">
        <f>"014"</f>
        <v>014</v>
      </c>
      <c r="H796" t="str">
        <f t="shared" si="102"/>
        <v>6300</v>
      </c>
      <c r="I796" s="3">
        <v>20854100</v>
      </c>
      <c r="J796" s="3">
        <v>71.91</v>
      </c>
      <c r="K796" s="3">
        <v>29000300</v>
      </c>
      <c r="L796" s="3">
        <v>0</v>
      </c>
      <c r="M796" s="3">
        <v>29000300</v>
      </c>
      <c r="N796" s="3">
        <v>0</v>
      </c>
      <c r="O796" s="3">
        <v>0</v>
      </c>
      <c r="P796" s="3">
        <v>0</v>
      </c>
      <c r="Q796" s="3">
        <v>0</v>
      </c>
      <c r="R796" s="3">
        <v>41100</v>
      </c>
      <c r="S796" s="3">
        <v>0</v>
      </c>
      <c r="T796" s="3">
        <v>0</v>
      </c>
      <c r="U796" s="3">
        <v>0</v>
      </c>
      <c r="V796" s="3">
        <v>2015</v>
      </c>
      <c r="W796" s="3">
        <v>1354300</v>
      </c>
      <c r="X796" s="3">
        <v>29041400</v>
      </c>
      <c r="Y796" s="3">
        <v>27687100</v>
      </c>
      <c r="Z796" s="3">
        <v>17901700</v>
      </c>
      <c r="AA796" s="3">
        <v>11139700</v>
      </c>
      <c r="AB796" s="3">
        <v>62</v>
      </c>
    </row>
    <row r="797" spans="1:28" x14ac:dyDescent="0.35">
      <c r="A797">
        <v>2022</v>
      </c>
      <c r="B797" t="str">
        <f t="shared" si="98"/>
        <v>40</v>
      </c>
      <c r="C797" t="s">
        <v>272</v>
      </c>
      <c r="D797" t="s">
        <v>35</v>
      </c>
      <c r="E797" t="str">
        <f t="shared" si="101"/>
        <v>292</v>
      </c>
      <c r="F797" t="s">
        <v>288</v>
      </c>
      <c r="G797" t="str">
        <f>"015"</f>
        <v>015</v>
      </c>
      <c r="H797" t="str">
        <f t="shared" si="102"/>
        <v>6300</v>
      </c>
      <c r="I797" s="3">
        <v>34494400</v>
      </c>
      <c r="J797" s="3">
        <v>71.91</v>
      </c>
      <c r="K797" s="3">
        <v>47968800</v>
      </c>
      <c r="L797" s="3">
        <v>0</v>
      </c>
      <c r="M797" s="3">
        <v>47968800</v>
      </c>
      <c r="N797" s="3">
        <v>0</v>
      </c>
      <c r="O797" s="3">
        <v>0</v>
      </c>
      <c r="P797" s="3">
        <v>0</v>
      </c>
      <c r="Q797" s="3">
        <v>0</v>
      </c>
      <c r="R797" s="3">
        <v>93200</v>
      </c>
      <c r="S797" s="3">
        <v>0</v>
      </c>
      <c r="T797" s="3">
        <v>0</v>
      </c>
      <c r="U797" s="3">
        <v>0</v>
      </c>
      <c r="V797" s="3">
        <v>2016</v>
      </c>
      <c r="W797" s="3">
        <v>0</v>
      </c>
      <c r="X797" s="3">
        <v>48062000</v>
      </c>
      <c r="Y797" s="3">
        <v>48062000</v>
      </c>
      <c r="Z797" s="3">
        <v>40584200</v>
      </c>
      <c r="AA797" s="3">
        <v>7477800</v>
      </c>
      <c r="AB797" s="3">
        <v>18</v>
      </c>
    </row>
    <row r="798" spans="1:28" x14ac:dyDescent="0.35">
      <c r="A798">
        <v>2022</v>
      </c>
      <c r="B798" t="str">
        <f t="shared" si="98"/>
        <v>40</v>
      </c>
      <c r="C798" t="s">
        <v>272</v>
      </c>
      <c r="D798" t="s">
        <v>35</v>
      </c>
      <c r="E798" t="str">
        <f t="shared" si="101"/>
        <v>292</v>
      </c>
      <c r="F798" t="s">
        <v>288</v>
      </c>
      <c r="G798" t="str">
        <f>"016"</f>
        <v>016</v>
      </c>
      <c r="H798" t="str">
        <f t="shared" si="102"/>
        <v>6300</v>
      </c>
      <c r="I798" s="3">
        <v>13037800</v>
      </c>
      <c r="J798" s="3">
        <v>71.91</v>
      </c>
      <c r="K798" s="3">
        <v>18130700</v>
      </c>
      <c r="L798" s="3">
        <v>0</v>
      </c>
      <c r="M798" s="3">
        <v>18130700</v>
      </c>
      <c r="N798" s="3">
        <v>0</v>
      </c>
      <c r="O798" s="3">
        <v>0</v>
      </c>
      <c r="P798" s="3">
        <v>0</v>
      </c>
      <c r="Q798" s="3">
        <v>0</v>
      </c>
      <c r="R798" s="3">
        <v>39500</v>
      </c>
      <c r="S798" s="3">
        <v>0</v>
      </c>
      <c r="T798" s="3">
        <v>0</v>
      </c>
      <c r="U798" s="3">
        <v>0</v>
      </c>
      <c r="V798" s="3">
        <v>2018</v>
      </c>
      <c r="W798" s="3">
        <v>3283200</v>
      </c>
      <c r="X798" s="3">
        <v>18170200</v>
      </c>
      <c r="Y798" s="3">
        <v>14887000</v>
      </c>
      <c r="Z798" s="3">
        <v>17219200</v>
      </c>
      <c r="AA798" s="3">
        <v>951000</v>
      </c>
      <c r="AB798" s="3">
        <v>6</v>
      </c>
    </row>
    <row r="799" spans="1:28" x14ac:dyDescent="0.35">
      <c r="A799">
        <v>2022</v>
      </c>
      <c r="B799" t="str">
        <f t="shared" si="98"/>
        <v>40</v>
      </c>
      <c r="C799" t="s">
        <v>272</v>
      </c>
      <c r="D799" t="s">
        <v>35</v>
      </c>
      <c r="E799" t="str">
        <f t="shared" si="101"/>
        <v>292</v>
      </c>
      <c r="F799" t="s">
        <v>288</v>
      </c>
      <c r="G799" t="str">
        <f>"017"</f>
        <v>017</v>
      </c>
      <c r="H799" t="str">
        <f t="shared" si="102"/>
        <v>6300</v>
      </c>
      <c r="I799" s="3">
        <v>26048000</v>
      </c>
      <c r="J799" s="3">
        <v>71.91</v>
      </c>
      <c r="K799" s="3">
        <v>36223100</v>
      </c>
      <c r="L799" s="3">
        <v>0</v>
      </c>
      <c r="M799" s="3">
        <v>36223100</v>
      </c>
      <c r="N799" s="3">
        <v>0</v>
      </c>
      <c r="O799" s="3">
        <v>0</v>
      </c>
      <c r="P799" s="3">
        <v>0</v>
      </c>
      <c r="Q799" s="3">
        <v>0</v>
      </c>
      <c r="R799" s="3">
        <v>69900</v>
      </c>
      <c r="S799" s="3">
        <v>0</v>
      </c>
      <c r="T799" s="3">
        <v>0</v>
      </c>
      <c r="U799" s="3">
        <v>0</v>
      </c>
      <c r="V799" s="3">
        <v>2019</v>
      </c>
      <c r="W799" s="3">
        <v>15514500</v>
      </c>
      <c r="X799" s="3">
        <v>36293000</v>
      </c>
      <c r="Y799" s="3">
        <v>20778500</v>
      </c>
      <c r="Z799" s="3">
        <v>35650200</v>
      </c>
      <c r="AA799" s="3">
        <v>642800</v>
      </c>
      <c r="AB799" s="3">
        <v>2</v>
      </c>
    </row>
    <row r="800" spans="1:28" x14ac:dyDescent="0.35">
      <c r="A800">
        <v>2022</v>
      </c>
      <c r="B800" t="str">
        <f t="shared" si="98"/>
        <v>40</v>
      </c>
      <c r="C800" t="s">
        <v>272</v>
      </c>
      <c r="D800" t="s">
        <v>35</v>
      </c>
      <c r="E800" t="str">
        <f t="shared" si="101"/>
        <v>292</v>
      </c>
      <c r="F800" t="s">
        <v>288</v>
      </c>
      <c r="G800" t="str">
        <f>"018"</f>
        <v>018</v>
      </c>
      <c r="H800" t="str">
        <f t="shared" si="102"/>
        <v>6300</v>
      </c>
      <c r="I800" s="3">
        <v>61300</v>
      </c>
      <c r="J800" s="3">
        <v>71.91</v>
      </c>
      <c r="K800" s="3">
        <v>85200</v>
      </c>
      <c r="L800" s="3">
        <v>0</v>
      </c>
      <c r="M800" s="3">
        <v>85200</v>
      </c>
      <c r="N800" s="3">
        <v>5811400</v>
      </c>
      <c r="O800" s="3">
        <v>5811400</v>
      </c>
      <c r="P800" s="3">
        <v>3779600</v>
      </c>
      <c r="Q800" s="3">
        <v>3779600</v>
      </c>
      <c r="R800" s="3">
        <v>100</v>
      </c>
      <c r="S800" s="3">
        <v>0</v>
      </c>
      <c r="T800" s="3">
        <v>0</v>
      </c>
      <c r="U800" s="3">
        <v>0</v>
      </c>
      <c r="V800" s="3">
        <v>2020</v>
      </c>
      <c r="W800" s="3">
        <v>7112100</v>
      </c>
      <c r="X800" s="3">
        <v>9676300</v>
      </c>
      <c r="Y800" s="3">
        <v>2564200</v>
      </c>
      <c r="Z800" s="3">
        <v>8379600</v>
      </c>
      <c r="AA800" s="3">
        <v>1296700</v>
      </c>
      <c r="AB800" s="3">
        <v>15</v>
      </c>
    </row>
    <row r="801" spans="1:28" x14ac:dyDescent="0.35">
      <c r="A801">
        <v>2022</v>
      </c>
      <c r="B801" t="str">
        <f t="shared" ref="B801:B812" si="103">"41"</f>
        <v>41</v>
      </c>
      <c r="C801" t="s">
        <v>187</v>
      </c>
      <c r="D801" t="s">
        <v>33</v>
      </c>
      <c r="E801" t="str">
        <f>"111"</f>
        <v>111</v>
      </c>
      <c r="F801" t="s">
        <v>289</v>
      </c>
      <c r="G801" t="str">
        <f>"002"</f>
        <v>002</v>
      </c>
      <c r="H801" t="str">
        <f>"0980"</f>
        <v>0980</v>
      </c>
      <c r="I801" s="3">
        <v>6312900</v>
      </c>
      <c r="J801" s="3">
        <v>69.58</v>
      </c>
      <c r="K801" s="3">
        <v>9072900</v>
      </c>
      <c r="L801" s="3">
        <v>0</v>
      </c>
      <c r="M801" s="3">
        <v>9072900</v>
      </c>
      <c r="N801" s="3">
        <v>0</v>
      </c>
      <c r="O801" s="3">
        <v>0</v>
      </c>
      <c r="P801" s="3">
        <v>0</v>
      </c>
      <c r="Q801" s="3">
        <v>0</v>
      </c>
      <c r="R801" s="3">
        <v>2293900</v>
      </c>
      <c r="S801" s="3">
        <v>0</v>
      </c>
      <c r="T801" s="3">
        <v>0</v>
      </c>
      <c r="U801" s="3">
        <v>0</v>
      </c>
      <c r="V801" s="3">
        <v>1998</v>
      </c>
      <c r="W801" s="3">
        <v>836000</v>
      </c>
      <c r="X801" s="3">
        <v>11366800</v>
      </c>
      <c r="Y801" s="3">
        <v>10530800</v>
      </c>
      <c r="Z801" s="3">
        <v>2258300</v>
      </c>
      <c r="AA801" s="3">
        <v>9108500</v>
      </c>
      <c r="AB801" s="3">
        <v>403</v>
      </c>
    </row>
    <row r="802" spans="1:28" x14ac:dyDescent="0.35">
      <c r="A802">
        <v>2022</v>
      </c>
      <c r="B802" t="str">
        <f t="shared" si="103"/>
        <v>41</v>
      </c>
      <c r="C802" t="s">
        <v>187</v>
      </c>
      <c r="D802" t="s">
        <v>33</v>
      </c>
      <c r="E802" t="str">
        <f>"111"</f>
        <v>111</v>
      </c>
      <c r="F802" t="s">
        <v>289</v>
      </c>
      <c r="G802" t="str">
        <f>"003"</f>
        <v>003</v>
      </c>
      <c r="H802" t="str">
        <f>"0980"</f>
        <v>0980</v>
      </c>
      <c r="I802" s="3">
        <v>33918400</v>
      </c>
      <c r="J802" s="3">
        <v>69.58</v>
      </c>
      <c r="K802" s="3">
        <v>48747300</v>
      </c>
      <c r="L802" s="3">
        <v>0</v>
      </c>
      <c r="M802" s="3">
        <v>48747300</v>
      </c>
      <c r="N802" s="3">
        <v>0</v>
      </c>
      <c r="O802" s="3">
        <v>0</v>
      </c>
      <c r="P802" s="3">
        <v>0</v>
      </c>
      <c r="Q802" s="3">
        <v>0</v>
      </c>
      <c r="R802" s="3">
        <v>-1493900</v>
      </c>
      <c r="S802" s="3">
        <v>0</v>
      </c>
      <c r="T802" s="3">
        <v>0</v>
      </c>
      <c r="U802" s="3">
        <v>0</v>
      </c>
      <c r="V802" s="3">
        <v>2005</v>
      </c>
      <c r="W802" s="3">
        <v>332300</v>
      </c>
      <c r="X802" s="3">
        <v>47253400</v>
      </c>
      <c r="Y802" s="3">
        <v>46921100</v>
      </c>
      <c r="Z802" s="3">
        <v>48684800</v>
      </c>
      <c r="AA802" s="3">
        <v>-1431400</v>
      </c>
      <c r="AB802" s="3">
        <v>-3</v>
      </c>
    </row>
    <row r="803" spans="1:28" x14ac:dyDescent="0.35">
      <c r="A803">
        <v>2022</v>
      </c>
      <c r="B803" t="str">
        <f t="shared" si="103"/>
        <v>41</v>
      </c>
      <c r="C803" t="s">
        <v>187</v>
      </c>
      <c r="D803" t="s">
        <v>33</v>
      </c>
      <c r="E803" t="str">
        <f>"176"</f>
        <v>176</v>
      </c>
      <c r="F803" t="s">
        <v>227</v>
      </c>
      <c r="G803" t="str">
        <f>"001"</f>
        <v>001</v>
      </c>
      <c r="H803" t="str">
        <f>"0245"</f>
        <v>0245</v>
      </c>
      <c r="I803" s="3">
        <v>0</v>
      </c>
      <c r="J803" s="3">
        <v>82.15</v>
      </c>
      <c r="K803" s="3">
        <v>0</v>
      </c>
      <c r="L803" s="3">
        <v>0</v>
      </c>
      <c r="M803" s="3">
        <v>0</v>
      </c>
      <c r="N803" s="3">
        <v>3629300</v>
      </c>
      <c r="O803" s="3">
        <v>3629300</v>
      </c>
      <c r="P803" s="3">
        <v>352000</v>
      </c>
      <c r="Q803" s="3">
        <v>352000</v>
      </c>
      <c r="R803" s="3">
        <v>100</v>
      </c>
      <c r="S803" s="3">
        <v>0</v>
      </c>
      <c r="T803" s="3">
        <v>0</v>
      </c>
      <c r="U803" s="3">
        <v>0</v>
      </c>
      <c r="V803" s="3">
        <v>2010</v>
      </c>
      <c r="W803" s="3">
        <v>1837400</v>
      </c>
      <c r="X803" s="3">
        <v>3981400</v>
      </c>
      <c r="Y803" s="3">
        <v>2144000</v>
      </c>
      <c r="Z803" s="3">
        <v>3939400</v>
      </c>
      <c r="AA803" s="3">
        <v>42000</v>
      </c>
      <c r="AB803" s="3">
        <v>1</v>
      </c>
    </row>
    <row r="804" spans="1:28" x14ac:dyDescent="0.35">
      <c r="A804">
        <v>2022</v>
      </c>
      <c r="B804" t="str">
        <f t="shared" si="103"/>
        <v>41</v>
      </c>
      <c r="C804" t="s">
        <v>187</v>
      </c>
      <c r="D804" t="s">
        <v>33</v>
      </c>
      <c r="E804" t="str">
        <f>"185"</f>
        <v>185</v>
      </c>
      <c r="F804" t="s">
        <v>290</v>
      </c>
      <c r="G804" t="str">
        <f>"001"</f>
        <v>001</v>
      </c>
      <c r="H804" t="str">
        <f>"5747"</f>
        <v>5747</v>
      </c>
      <c r="I804" s="3">
        <v>48485500</v>
      </c>
      <c r="J804" s="3">
        <v>77.11</v>
      </c>
      <c r="K804" s="3">
        <v>62878400</v>
      </c>
      <c r="L804" s="3">
        <v>0</v>
      </c>
      <c r="M804" s="3">
        <v>62878400</v>
      </c>
      <c r="N804" s="3">
        <v>0</v>
      </c>
      <c r="O804" s="3">
        <v>0</v>
      </c>
      <c r="P804" s="3">
        <v>0</v>
      </c>
      <c r="Q804" s="3">
        <v>0</v>
      </c>
      <c r="R804" s="3">
        <v>1483000</v>
      </c>
      <c r="S804" s="3">
        <v>0</v>
      </c>
      <c r="T804" s="3">
        <v>0</v>
      </c>
      <c r="U804" s="3">
        <v>0</v>
      </c>
      <c r="V804" s="3">
        <v>1998</v>
      </c>
      <c r="W804" s="3">
        <v>8113400</v>
      </c>
      <c r="X804" s="3">
        <v>64361400</v>
      </c>
      <c r="Y804" s="3">
        <v>56248000</v>
      </c>
      <c r="Z804" s="3">
        <v>52545600</v>
      </c>
      <c r="AA804" s="3">
        <v>11815800</v>
      </c>
      <c r="AB804" s="3">
        <v>22</v>
      </c>
    </row>
    <row r="805" spans="1:28" x14ac:dyDescent="0.35">
      <c r="A805">
        <v>2022</v>
      </c>
      <c r="B805" t="str">
        <f t="shared" si="103"/>
        <v>41</v>
      </c>
      <c r="C805" t="s">
        <v>187</v>
      </c>
      <c r="D805" t="s">
        <v>33</v>
      </c>
      <c r="E805" t="str">
        <f>"191"</f>
        <v>191</v>
      </c>
      <c r="F805" t="s">
        <v>291</v>
      </c>
      <c r="G805" t="str">
        <f>"002"</f>
        <v>002</v>
      </c>
      <c r="H805" t="str">
        <f>"3990"</f>
        <v>3990</v>
      </c>
      <c r="I805" s="3">
        <v>17453200</v>
      </c>
      <c r="J805" s="3">
        <v>86.29</v>
      </c>
      <c r="K805" s="3">
        <v>20226200</v>
      </c>
      <c r="L805" s="3">
        <v>0</v>
      </c>
      <c r="M805" s="3">
        <v>20226200</v>
      </c>
      <c r="N805" s="3">
        <v>0</v>
      </c>
      <c r="O805" s="3">
        <v>0</v>
      </c>
      <c r="P805" s="3">
        <v>0</v>
      </c>
      <c r="Q805" s="3">
        <v>0</v>
      </c>
      <c r="R805" s="3">
        <v>3200</v>
      </c>
      <c r="S805" s="3">
        <v>0</v>
      </c>
      <c r="T805" s="3">
        <v>0</v>
      </c>
      <c r="U805" s="3">
        <v>0</v>
      </c>
      <c r="V805" s="3">
        <v>1998</v>
      </c>
      <c r="W805" s="3">
        <v>2261500</v>
      </c>
      <c r="X805" s="3">
        <v>20229400</v>
      </c>
      <c r="Y805" s="3">
        <v>17967900</v>
      </c>
      <c r="Z805" s="3">
        <v>20333700</v>
      </c>
      <c r="AA805" s="3">
        <v>-104300</v>
      </c>
      <c r="AB805" s="3">
        <v>-1</v>
      </c>
    </row>
    <row r="806" spans="1:28" x14ac:dyDescent="0.35">
      <c r="A806">
        <v>2022</v>
      </c>
      <c r="B806" t="str">
        <f t="shared" si="103"/>
        <v>41</v>
      </c>
      <c r="C806" t="s">
        <v>187</v>
      </c>
      <c r="D806" t="s">
        <v>35</v>
      </c>
      <c r="E806" t="str">
        <f>"281"</f>
        <v>281</v>
      </c>
      <c r="F806" t="s">
        <v>292</v>
      </c>
      <c r="G806" t="str">
        <f>"006"</f>
        <v>006</v>
      </c>
      <c r="H806" t="str">
        <f>"5460"</f>
        <v>5460</v>
      </c>
      <c r="I806" s="3">
        <v>12503900</v>
      </c>
      <c r="J806" s="3">
        <v>100</v>
      </c>
      <c r="K806" s="3">
        <v>12503900</v>
      </c>
      <c r="L806" s="3">
        <v>0</v>
      </c>
      <c r="M806" s="3">
        <v>12503900</v>
      </c>
      <c r="N806" s="3">
        <v>2323000</v>
      </c>
      <c r="O806" s="3">
        <v>2323000</v>
      </c>
      <c r="P806" s="3">
        <v>61600</v>
      </c>
      <c r="Q806" s="3">
        <v>61600</v>
      </c>
      <c r="R806" s="3">
        <v>-3050200</v>
      </c>
      <c r="S806" s="3">
        <v>0</v>
      </c>
      <c r="T806" s="3">
        <v>0</v>
      </c>
      <c r="U806" s="3">
        <v>0</v>
      </c>
      <c r="V806" s="3">
        <v>2005</v>
      </c>
      <c r="W806" s="3">
        <v>245500</v>
      </c>
      <c r="X806" s="3">
        <v>11838300</v>
      </c>
      <c r="Y806" s="3">
        <v>11592800</v>
      </c>
      <c r="Z806" s="3">
        <v>18452000</v>
      </c>
      <c r="AA806" s="3">
        <v>-6613700</v>
      </c>
      <c r="AB806" s="3">
        <v>-36</v>
      </c>
    </row>
    <row r="807" spans="1:28" x14ac:dyDescent="0.35">
      <c r="A807">
        <v>2022</v>
      </c>
      <c r="B807" t="str">
        <f t="shared" si="103"/>
        <v>41</v>
      </c>
      <c r="C807" t="s">
        <v>187</v>
      </c>
      <c r="D807" t="s">
        <v>35</v>
      </c>
      <c r="E807" t="str">
        <f>"281"</f>
        <v>281</v>
      </c>
      <c r="F807" t="s">
        <v>292</v>
      </c>
      <c r="G807" t="str">
        <f>"008"</f>
        <v>008</v>
      </c>
      <c r="H807" t="str">
        <f>"5460"</f>
        <v>5460</v>
      </c>
      <c r="I807" s="3">
        <v>1230900</v>
      </c>
      <c r="J807" s="3">
        <v>100</v>
      </c>
      <c r="K807" s="3">
        <v>1230900</v>
      </c>
      <c r="L807" s="3">
        <v>0</v>
      </c>
      <c r="M807" s="3">
        <v>1230900</v>
      </c>
      <c r="N807" s="3">
        <v>631500</v>
      </c>
      <c r="O807" s="3">
        <v>631500</v>
      </c>
      <c r="P807" s="3">
        <v>101100</v>
      </c>
      <c r="Q807" s="3">
        <v>101100</v>
      </c>
      <c r="R807" s="3">
        <v>-36100</v>
      </c>
      <c r="S807" s="3">
        <v>0</v>
      </c>
      <c r="T807" s="3">
        <v>0</v>
      </c>
      <c r="U807" s="3">
        <v>0</v>
      </c>
      <c r="V807" s="3">
        <v>2010</v>
      </c>
      <c r="W807" s="3">
        <v>1031700</v>
      </c>
      <c r="X807" s="3">
        <v>1927400</v>
      </c>
      <c r="Y807" s="3">
        <v>895700</v>
      </c>
      <c r="Z807" s="3">
        <v>1031700</v>
      </c>
      <c r="AA807" s="3">
        <v>895700</v>
      </c>
      <c r="AB807" s="3">
        <v>87</v>
      </c>
    </row>
    <row r="808" spans="1:28" x14ac:dyDescent="0.35">
      <c r="A808">
        <v>2022</v>
      </c>
      <c r="B808" t="str">
        <f t="shared" si="103"/>
        <v>41</v>
      </c>
      <c r="C808" t="s">
        <v>187</v>
      </c>
      <c r="D808" t="s">
        <v>35</v>
      </c>
      <c r="E808" t="str">
        <f>"281"</f>
        <v>281</v>
      </c>
      <c r="F808" t="s">
        <v>292</v>
      </c>
      <c r="G808" t="str">
        <f>"009"</f>
        <v>009</v>
      </c>
      <c r="H808" t="str">
        <f>"5460"</f>
        <v>5460</v>
      </c>
      <c r="I808" s="3">
        <v>10550400</v>
      </c>
      <c r="J808" s="3">
        <v>100</v>
      </c>
      <c r="K808" s="3">
        <v>10550400</v>
      </c>
      <c r="L808" s="3">
        <v>0</v>
      </c>
      <c r="M808" s="3">
        <v>10550400</v>
      </c>
      <c r="N808" s="3">
        <v>0</v>
      </c>
      <c r="O808" s="3">
        <v>0</v>
      </c>
      <c r="P808" s="3">
        <v>0</v>
      </c>
      <c r="Q808" s="3">
        <v>0</v>
      </c>
      <c r="R808" s="3">
        <v>1360500</v>
      </c>
      <c r="S808" s="3">
        <v>0</v>
      </c>
      <c r="T808" s="3">
        <v>0</v>
      </c>
      <c r="U808" s="3">
        <v>0</v>
      </c>
      <c r="V808" s="3">
        <v>2018</v>
      </c>
      <c r="W808" s="3">
        <v>196300</v>
      </c>
      <c r="X808" s="3">
        <v>11910900</v>
      </c>
      <c r="Y808" s="3">
        <v>11714600</v>
      </c>
      <c r="Z808" s="3">
        <v>9980100</v>
      </c>
      <c r="AA808" s="3">
        <v>1930800</v>
      </c>
      <c r="AB808" s="3">
        <v>19</v>
      </c>
    </row>
    <row r="809" spans="1:28" x14ac:dyDescent="0.35">
      <c r="A809">
        <v>2022</v>
      </c>
      <c r="B809" t="str">
        <f t="shared" si="103"/>
        <v>41</v>
      </c>
      <c r="C809" t="s">
        <v>187</v>
      </c>
      <c r="D809" t="s">
        <v>35</v>
      </c>
      <c r="E809" t="str">
        <f>"286"</f>
        <v>286</v>
      </c>
      <c r="F809" t="s">
        <v>293</v>
      </c>
      <c r="G809" t="str">
        <f>"008"</f>
        <v>008</v>
      </c>
      <c r="H809" t="str">
        <f>"5747"</f>
        <v>5747</v>
      </c>
      <c r="I809" s="3">
        <v>62400600</v>
      </c>
      <c r="J809" s="3">
        <v>91.26</v>
      </c>
      <c r="K809" s="3">
        <v>68376700</v>
      </c>
      <c r="L809" s="3">
        <v>0</v>
      </c>
      <c r="M809" s="3">
        <v>68376700</v>
      </c>
      <c r="N809" s="3">
        <v>4333300</v>
      </c>
      <c r="O809" s="3">
        <v>4333300</v>
      </c>
      <c r="P809" s="3">
        <v>102700</v>
      </c>
      <c r="Q809" s="3">
        <v>102700</v>
      </c>
      <c r="R809" s="3">
        <v>1106600</v>
      </c>
      <c r="S809" s="3">
        <v>0</v>
      </c>
      <c r="T809" s="3">
        <v>0</v>
      </c>
      <c r="U809" s="3">
        <v>0</v>
      </c>
      <c r="V809" s="3">
        <v>2015</v>
      </c>
      <c r="W809" s="3">
        <v>46010600</v>
      </c>
      <c r="X809" s="3">
        <v>73919300</v>
      </c>
      <c r="Y809" s="3">
        <v>27908700</v>
      </c>
      <c r="Z809" s="3">
        <v>57454300</v>
      </c>
      <c r="AA809" s="3">
        <v>16465000</v>
      </c>
      <c r="AB809" s="3">
        <v>29</v>
      </c>
    </row>
    <row r="810" spans="1:28" x14ac:dyDescent="0.35">
      <c r="A810">
        <v>2022</v>
      </c>
      <c r="B810" t="str">
        <f t="shared" si="103"/>
        <v>41</v>
      </c>
      <c r="C810" t="s">
        <v>187</v>
      </c>
      <c r="D810" t="s">
        <v>35</v>
      </c>
      <c r="E810" t="str">
        <f>"286"</f>
        <v>286</v>
      </c>
      <c r="F810" t="s">
        <v>293</v>
      </c>
      <c r="G810" t="str">
        <f>"009"</f>
        <v>009</v>
      </c>
      <c r="H810" t="str">
        <f>"5747"</f>
        <v>5747</v>
      </c>
      <c r="I810" s="3">
        <v>13906100</v>
      </c>
      <c r="J810" s="3">
        <v>91.26</v>
      </c>
      <c r="K810" s="3">
        <v>15237900</v>
      </c>
      <c r="L810" s="3">
        <v>0</v>
      </c>
      <c r="M810" s="3">
        <v>15237900</v>
      </c>
      <c r="N810" s="3">
        <v>36266300</v>
      </c>
      <c r="O810" s="3">
        <v>36266300</v>
      </c>
      <c r="P810" s="3">
        <v>6819600</v>
      </c>
      <c r="Q810" s="3">
        <v>6819600</v>
      </c>
      <c r="R810" s="3">
        <v>343400</v>
      </c>
      <c r="S810" s="3">
        <v>0</v>
      </c>
      <c r="T810" s="3">
        <v>0</v>
      </c>
      <c r="U810" s="3">
        <v>0</v>
      </c>
      <c r="V810" s="3">
        <v>2018</v>
      </c>
      <c r="W810" s="3">
        <v>45249100</v>
      </c>
      <c r="X810" s="3">
        <v>58667200</v>
      </c>
      <c r="Y810" s="3">
        <v>13418100</v>
      </c>
      <c r="Z810" s="3">
        <v>53866300</v>
      </c>
      <c r="AA810" s="3">
        <v>4800900</v>
      </c>
      <c r="AB810" s="3">
        <v>9</v>
      </c>
    </row>
    <row r="811" spans="1:28" x14ac:dyDescent="0.35">
      <c r="A811">
        <v>2022</v>
      </c>
      <c r="B811" t="str">
        <f t="shared" si="103"/>
        <v>41</v>
      </c>
      <c r="C811" t="s">
        <v>187</v>
      </c>
      <c r="D811" t="s">
        <v>35</v>
      </c>
      <c r="E811" t="str">
        <f>"286"</f>
        <v>286</v>
      </c>
      <c r="F811" t="s">
        <v>293</v>
      </c>
      <c r="G811" t="str">
        <f>"010"</f>
        <v>010</v>
      </c>
      <c r="H811" t="str">
        <f>"5747"</f>
        <v>5747</v>
      </c>
      <c r="I811" s="3">
        <v>19503700</v>
      </c>
      <c r="J811" s="3">
        <v>91.26</v>
      </c>
      <c r="K811" s="3">
        <v>21371600</v>
      </c>
      <c r="L811" s="3">
        <v>0</v>
      </c>
      <c r="M811" s="3">
        <v>21371600</v>
      </c>
      <c r="N811" s="3">
        <v>0</v>
      </c>
      <c r="O811" s="3">
        <v>0</v>
      </c>
      <c r="P811" s="3">
        <v>0</v>
      </c>
      <c r="Q811" s="3">
        <v>0</v>
      </c>
      <c r="R811" s="3">
        <v>494200</v>
      </c>
      <c r="S811" s="3">
        <v>0</v>
      </c>
      <c r="T811" s="3">
        <v>0</v>
      </c>
      <c r="U811" s="3">
        <v>0</v>
      </c>
      <c r="V811" s="3">
        <v>2018</v>
      </c>
      <c r="W811" s="3">
        <v>1657500</v>
      </c>
      <c r="X811" s="3">
        <v>21865800</v>
      </c>
      <c r="Y811" s="3">
        <v>20208300</v>
      </c>
      <c r="Z811" s="3">
        <v>19901600</v>
      </c>
      <c r="AA811" s="3">
        <v>1964200</v>
      </c>
      <c r="AB811" s="3">
        <v>10</v>
      </c>
    </row>
    <row r="812" spans="1:28" x14ac:dyDescent="0.35">
      <c r="A812">
        <v>2022</v>
      </c>
      <c r="B812" t="str">
        <f t="shared" si="103"/>
        <v>41</v>
      </c>
      <c r="C812" t="s">
        <v>187</v>
      </c>
      <c r="D812" t="s">
        <v>35</v>
      </c>
      <c r="E812" t="str">
        <f>"286"</f>
        <v>286</v>
      </c>
      <c r="F812" t="s">
        <v>293</v>
      </c>
      <c r="G812" t="str">
        <f>"011"</f>
        <v>011</v>
      </c>
      <c r="H812" t="str">
        <f>"5747"</f>
        <v>5747</v>
      </c>
      <c r="I812" s="3">
        <v>3236600</v>
      </c>
      <c r="J812" s="3">
        <v>91.26</v>
      </c>
      <c r="K812" s="3">
        <v>3546600</v>
      </c>
      <c r="L812" s="3">
        <v>0</v>
      </c>
      <c r="M812" s="3">
        <v>3546600</v>
      </c>
      <c r="N812" s="3">
        <v>0</v>
      </c>
      <c r="O812" s="3">
        <v>0</v>
      </c>
      <c r="P812" s="3">
        <v>0</v>
      </c>
      <c r="Q812" s="3">
        <v>0</v>
      </c>
      <c r="R812" s="3">
        <v>0</v>
      </c>
      <c r="S812" s="3">
        <v>0</v>
      </c>
      <c r="T812" s="3">
        <v>0</v>
      </c>
      <c r="U812" s="3">
        <v>0</v>
      </c>
      <c r="V812" s="3">
        <v>2021</v>
      </c>
      <c r="W812" s="3">
        <v>3045300</v>
      </c>
      <c r="X812" s="3">
        <v>3546600</v>
      </c>
      <c r="Y812" s="3">
        <v>501300</v>
      </c>
      <c r="Z812" s="3">
        <v>3045300</v>
      </c>
      <c r="AA812" s="3">
        <v>501300</v>
      </c>
      <c r="AB812" s="3">
        <v>16</v>
      </c>
    </row>
    <row r="813" spans="1:28" x14ac:dyDescent="0.35">
      <c r="A813">
        <v>2022</v>
      </c>
      <c r="B813" t="str">
        <f>"42"</f>
        <v>42</v>
      </c>
      <c r="C813" t="s">
        <v>294</v>
      </c>
      <c r="D813" t="s">
        <v>33</v>
      </c>
      <c r="E813" t="str">
        <f>"146"</f>
        <v>146</v>
      </c>
      <c r="F813" t="s">
        <v>295</v>
      </c>
      <c r="G813" t="str">
        <f>"001"</f>
        <v>001</v>
      </c>
      <c r="H813" t="str">
        <f>"2961"</f>
        <v>2961</v>
      </c>
      <c r="I813" s="3">
        <v>769300</v>
      </c>
      <c r="J813" s="3">
        <v>84.1</v>
      </c>
      <c r="K813" s="3">
        <v>914700</v>
      </c>
      <c r="L813" s="3">
        <v>0</v>
      </c>
      <c r="M813" s="3">
        <v>914700</v>
      </c>
      <c r="N813" s="3">
        <v>0</v>
      </c>
      <c r="O813" s="3">
        <v>0</v>
      </c>
      <c r="P813" s="3">
        <v>0</v>
      </c>
      <c r="Q813" s="3">
        <v>0</v>
      </c>
      <c r="R813" s="3">
        <v>-1000</v>
      </c>
      <c r="S813" s="3">
        <v>0</v>
      </c>
      <c r="T813" s="3">
        <v>0</v>
      </c>
      <c r="U813" s="3">
        <v>0</v>
      </c>
      <c r="V813" s="3">
        <v>2020</v>
      </c>
      <c r="W813" s="3">
        <v>184700</v>
      </c>
      <c r="X813" s="3">
        <v>913700</v>
      </c>
      <c r="Y813" s="3">
        <v>729000</v>
      </c>
      <c r="Z813" s="3">
        <v>780100</v>
      </c>
      <c r="AA813" s="3">
        <v>133600</v>
      </c>
      <c r="AB813" s="3">
        <v>17</v>
      </c>
    </row>
    <row r="814" spans="1:28" x14ac:dyDescent="0.35">
      <c r="A814">
        <v>2022</v>
      </c>
      <c r="B814" t="str">
        <f>"42"</f>
        <v>42</v>
      </c>
      <c r="C814" t="s">
        <v>294</v>
      </c>
      <c r="D814" t="s">
        <v>33</v>
      </c>
      <c r="E814" t="str">
        <f>"181"</f>
        <v>181</v>
      </c>
      <c r="F814" t="s">
        <v>296</v>
      </c>
      <c r="G814" t="str">
        <f>"001"</f>
        <v>001</v>
      </c>
      <c r="H814" t="str">
        <f>"5670"</f>
        <v>5670</v>
      </c>
      <c r="I814" s="3">
        <v>2873900</v>
      </c>
      <c r="J814" s="3">
        <v>80.55</v>
      </c>
      <c r="K814" s="3">
        <v>3567800</v>
      </c>
      <c r="L814" s="3">
        <v>0</v>
      </c>
      <c r="M814" s="3">
        <v>3567800</v>
      </c>
      <c r="N814" s="3">
        <v>0</v>
      </c>
      <c r="O814" s="3">
        <v>0</v>
      </c>
      <c r="P814" s="3">
        <v>0</v>
      </c>
      <c r="Q814" s="3">
        <v>0</v>
      </c>
      <c r="R814" s="3">
        <v>8900</v>
      </c>
      <c r="S814" s="3">
        <v>0</v>
      </c>
      <c r="T814" s="3">
        <v>0</v>
      </c>
      <c r="U814" s="3">
        <v>0</v>
      </c>
      <c r="V814" s="3">
        <v>2000</v>
      </c>
      <c r="W814" s="3">
        <v>1449235</v>
      </c>
      <c r="X814" s="3">
        <v>3576700</v>
      </c>
      <c r="Y814" s="3">
        <v>2127465</v>
      </c>
      <c r="Z814" s="3">
        <v>2970500</v>
      </c>
      <c r="AA814" s="3">
        <v>606200</v>
      </c>
      <c r="AB814" s="3">
        <v>20</v>
      </c>
    </row>
    <row r="815" spans="1:28" x14ac:dyDescent="0.35">
      <c r="A815">
        <v>2022</v>
      </c>
      <c r="B815" t="str">
        <f>"42"</f>
        <v>42</v>
      </c>
      <c r="C815" t="s">
        <v>294</v>
      </c>
      <c r="D815" t="s">
        <v>35</v>
      </c>
      <c r="E815" t="str">
        <f>"231"</f>
        <v>231</v>
      </c>
      <c r="F815" t="s">
        <v>297</v>
      </c>
      <c r="G815" t="str">
        <f>"002"</f>
        <v>002</v>
      </c>
      <c r="H815" t="str">
        <f>"2128"</f>
        <v>2128</v>
      </c>
      <c r="I815" s="3">
        <v>1170500</v>
      </c>
      <c r="J815" s="3">
        <v>88.27</v>
      </c>
      <c r="K815" s="3">
        <v>1326000</v>
      </c>
      <c r="L815" s="3">
        <v>0</v>
      </c>
      <c r="M815" s="3">
        <v>1326000</v>
      </c>
      <c r="N815" s="3">
        <v>0</v>
      </c>
      <c r="O815" s="3">
        <v>0</v>
      </c>
      <c r="P815" s="3">
        <v>0</v>
      </c>
      <c r="Q815" s="3">
        <v>0</v>
      </c>
      <c r="R815" s="3">
        <v>-259000</v>
      </c>
      <c r="S815" s="3">
        <v>0</v>
      </c>
      <c r="T815" s="3">
        <v>0</v>
      </c>
      <c r="U815" s="3">
        <v>0</v>
      </c>
      <c r="V815" s="3">
        <v>1993</v>
      </c>
      <c r="W815" s="3">
        <v>47700</v>
      </c>
      <c r="X815" s="3">
        <v>1067000</v>
      </c>
      <c r="Y815" s="3">
        <v>1019300</v>
      </c>
      <c r="Z815" s="3">
        <v>1427200</v>
      </c>
      <c r="AA815" s="3">
        <v>-360200</v>
      </c>
      <c r="AB815" s="3">
        <v>-25</v>
      </c>
    </row>
    <row r="816" spans="1:28" x14ac:dyDescent="0.35">
      <c r="A816">
        <v>2022</v>
      </c>
      <c r="B816" t="str">
        <f>"42"</f>
        <v>42</v>
      </c>
      <c r="C816" t="s">
        <v>294</v>
      </c>
      <c r="D816" t="s">
        <v>35</v>
      </c>
      <c r="E816" t="str">
        <f>"231"</f>
        <v>231</v>
      </c>
      <c r="F816" t="s">
        <v>297</v>
      </c>
      <c r="G816" t="str">
        <f>"003"</f>
        <v>003</v>
      </c>
      <c r="H816" t="str">
        <f>"2128"</f>
        <v>2128</v>
      </c>
      <c r="I816" s="3">
        <v>5126500</v>
      </c>
      <c r="J816" s="3">
        <v>88.27</v>
      </c>
      <c r="K816" s="3">
        <v>5807700</v>
      </c>
      <c r="L816" s="3">
        <v>0</v>
      </c>
      <c r="M816" s="3">
        <v>5807700</v>
      </c>
      <c r="N816" s="3">
        <v>4960200</v>
      </c>
      <c r="O816" s="3">
        <v>4960200</v>
      </c>
      <c r="P816" s="3">
        <v>689200</v>
      </c>
      <c r="Q816" s="3">
        <v>689200</v>
      </c>
      <c r="R816" s="3">
        <v>-804900</v>
      </c>
      <c r="S816" s="3">
        <v>0</v>
      </c>
      <c r="T816" s="3">
        <v>0</v>
      </c>
      <c r="U816" s="3">
        <v>0</v>
      </c>
      <c r="V816" s="3">
        <v>2000</v>
      </c>
      <c r="W816" s="3">
        <v>7370500</v>
      </c>
      <c r="X816" s="3">
        <v>10652200</v>
      </c>
      <c r="Y816" s="3">
        <v>3281700</v>
      </c>
      <c r="Z816" s="3">
        <v>11179200</v>
      </c>
      <c r="AA816" s="3">
        <v>-527000</v>
      </c>
      <c r="AB816" s="3">
        <v>-5</v>
      </c>
    </row>
    <row r="817" spans="1:28" x14ac:dyDescent="0.35">
      <c r="A817">
        <v>2022</v>
      </c>
      <c r="B817" t="str">
        <f>"42"</f>
        <v>42</v>
      </c>
      <c r="C817" t="s">
        <v>294</v>
      </c>
      <c r="D817" t="s">
        <v>35</v>
      </c>
      <c r="E817" t="str">
        <f>"265"</f>
        <v>265</v>
      </c>
      <c r="F817" t="s">
        <v>294</v>
      </c>
      <c r="G817" t="str">
        <f>"004"</f>
        <v>004</v>
      </c>
      <c r="H817" t="str">
        <f>"4067"</f>
        <v>4067</v>
      </c>
      <c r="I817" s="3">
        <v>5558300</v>
      </c>
      <c r="J817" s="3">
        <v>70.92</v>
      </c>
      <c r="K817" s="3">
        <v>7837400</v>
      </c>
      <c r="L817" s="3">
        <v>0</v>
      </c>
      <c r="M817" s="3">
        <v>7837400</v>
      </c>
      <c r="N817" s="3">
        <v>1675500</v>
      </c>
      <c r="O817" s="3">
        <v>1675500</v>
      </c>
      <c r="P817" s="3">
        <v>37900</v>
      </c>
      <c r="Q817" s="3">
        <v>37900</v>
      </c>
      <c r="R817" s="3">
        <v>7800</v>
      </c>
      <c r="S817" s="3">
        <v>0</v>
      </c>
      <c r="T817" s="3">
        <v>0</v>
      </c>
      <c r="U817" s="3">
        <v>0</v>
      </c>
      <c r="V817" s="3">
        <v>2010</v>
      </c>
      <c r="W817" s="3">
        <v>1428600</v>
      </c>
      <c r="X817" s="3">
        <v>9558600</v>
      </c>
      <c r="Y817" s="3">
        <v>8130000</v>
      </c>
      <c r="Z817" s="3">
        <v>8656300</v>
      </c>
      <c r="AA817" s="3">
        <v>902300</v>
      </c>
      <c r="AB817" s="3">
        <v>10</v>
      </c>
    </row>
    <row r="818" spans="1:28" x14ac:dyDescent="0.35">
      <c r="A818">
        <v>2022</v>
      </c>
      <c r="B818" t="str">
        <f t="shared" ref="B818:B823" si="104">"43"</f>
        <v>43</v>
      </c>
      <c r="C818" t="s">
        <v>298</v>
      </c>
      <c r="D818" t="s">
        <v>35</v>
      </c>
      <c r="E818" t="str">
        <f t="shared" ref="E818:E823" si="105">"276"</f>
        <v>276</v>
      </c>
      <c r="F818" t="s">
        <v>299</v>
      </c>
      <c r="G818" t="str">
        <f>"001E"</f>
        <v>001E</v>
      </c>
      <c r="H818" t="str">
        <f t="shared" ref="H818:H823" si="106">"4781"</f>
        <v>4781</v>
      </c>
      <c r="I818" s="3">
        <v>5628300</v>
      </c>
      <c r="J818" s="3">
        <v>89.31</v>
      </c>
      <c r="K818" s="3">
        <v>6302000</v>
      </c>
      <c r="L818" s="3">
        <v>0</v>
      </c>
      <c r="M818" s="3">
        <v>6302000</v>
      </c>
      <c r="N818" s="3">
        <v>0</v>
      </c>
      <c r="O818" s="3">
        <v>0</v>
      </c>
      <c r="P818" s="3">
        <v>0</v>
      </c>
      <c r="Q818" s="3">
        <v>0</v>
      </c>
      <c r="R818" s="3">
        <v>44500</v>
      </c>
      <c r="S818" s="3">
        <v>0</v>
      </c>
      <c r="T818" s="3">
        <v>0</v>
      </c>
      <c r="U818" s="3">
        <v>0</v>
      </c>
      <c r="V818" s="3">
        <v>2005</v>
      </c>
      <c r="W818" s="3">
        <v>1147700</v>
      </c>
      <c r="X818" s="3">
        <v>6346500</v>
      </c>
      <c r="Y818" s="3">
        <v>5198800</v>
      </c>
      <c r="Z818" s="3">
        <v>5634400</v>
      </c>
      <c r="AA818" s="3">
        <v>712100</v>
      </c>
      <c r="AB818" s="3">
        <v>13</v>
      </c>
    </row>
    <row r="819" spans="1:28" x14ac:dyDescent="0.35">
      <c r="A819">
        <v>2022</v>
      </c>
      <c r="B819" t="str">
        <f t="shared" si="104"/>
        <v>43</v>
      </c>
      <c r="C819" t="s">
        <v>298</v>
      </c>
      <c r="D819" t="s">
        <v>35</v>
      </c>
      <c r="E819" t="str">
        <f t="shared" si="105"/>
        <v>276</v>
      </c>
      <c r="F819" t="s">
        <v>299</v>
      </c>
      <c r="G819" t="str">
        <f>"005"</f>
        <v>005</v>
      </c>
      <c r="H819" t="str">
        <f t="shared" si="106"/>
        <v>4781</v>
      </c>
      <c r="I819" s="3">
        <v>0</v>
      </c>
      <c r="J819" s="3">
        <v>89.31</v>
      </c>
      <c r="K819" s="3">
        <v>0</v>
      </c>
      <c r="L819" s="3">
        <v>0</v>
      </c>
      <c r="M819" s="3">
        <v>0</v>
      </c>
      <c r="N819" s="3">
        <v>0</v>
      </c>
      <c r="O819" s="3">
        <v>0</v>
      </c>
      <c r="P819" s="3">
        <v>0</v>
      </c>
      <c r="Q819" s="3">
        <v>0</v>
      </c>
      <c r="R819" s="3">
        <v>0</v>
      </c>
      <c r="S819" s="3">
        <v>0</v>
      </c>
      <c r="T819" s="3">
        <v>0</v>
      </c>
      <c r="U819" s="3">
        <v>1583900</v>
      </c>
      <c r="V819" s="3">
        <v>2000</v>
      </c>
      <c r="W819" s="3">
        <v>966800</v>
      </c>
      <c r="X819" s="3">
        <v>1583900</v>
      </c>
      <c r="Y819" s="3">
        <v>617100</v>
      </c>
      <c r="Z819" s="3">
        <v>1583900</v>
      </c>
      <c r="AA819" s="3">
        <v>0</v>
      </c>
      <c r="AB819" s="3">
        <v>0</v>
      </c>
    </row>
    <row r="820" spans="1:28" x14ac:dyDescent="0.35">
      <c r="A820">
        <v>2022</v>
      </c>
      <c r="B820" t="str">
        <f t="shared" si="104"/>
        <v>43</v>
      </c>
      <c r="C820" t="s">
        <v>298</v>
      </c>
      <c r="D820" t="s">
        <v>35</v>
      </c>
      <c r="E820" t="str">
        <f t="shared" si="105"/>
        <v>276</v>
      </c>
      <c r="F820" t="s">
        <v>299</v>
      </c>
      <c r="G820" t="str">
        <f>"006"</f>
        <v>006</v>
      </c>
      <c r="H820" t="str">
        <f t="shared" si="106"/>
        <v>4781</v>
      </c>
      <c r="I820" s="3">
        <v>2335900</v>
      </c>
      <c r="J820" s="3">
        <v>89.31</v>
      </c>
      <c r="K820" s="3">
        <v>2615500</v>
      </c>
      <c r="L820" s="3">
        <v>0</v>
      </c>
      <c r="M820" s="3">
        <v>2615500</v>
      </c>
      <c r="N820" s="3">
        <v>13348500</v>
      </c>
      <c r="O820" s="3">
        <v>13348500</v>
      </c>
      <c r="P820" s="3">
        <v>1921100</v>
      </c>
      <c r="Q820" s="3">
        <v>1921100</v>
      </c>
      <c r="R820" s="3">
        <v>18500</v>
      </c>
      <c r="S820" s="3">
        <v>0</v>
      </c>
      <c r="T820" s="3">
        <v>0</v>
      </c>
      <c r="U820" s="3">
        <v>0</v>
      </c>
      <c r="V820" s="3">
        <v>2002</v>
      </c>
      <c r="W820" s="3">
        <v>10983800</v>
      </c>
      <c r="X820" s="3">
        <v>17903600</v>
      </c>
      <c r="Y820" s="3">
        <v>6919800</v>
      </c>
      <c r="Z820" s="3">
        <v>11472700</v>
      </c>
      <c r="AA820" s="3">
        <v>6430900</v>
      </c>
      <c r="AB820" s="3">
        <v>56</v>
      </c>
    </row>
    <row r="821" spans="1:28" x14ac:dyDescent="0.35">
      <c r="A821">
        <v>2022</v>
      </c>
      <c r="B821" t="str">
        <f t="shared" si="104"/>
        <v>43</v>
      </c>
      <c r="C821" t="s">
        <v>298</v>
      </c>
      <c r="D821" t="s">
        <v>35</v>
      </c>
      <c r="E821" t="str">
        <f t="shared" si="105"/>
        <v>276</v>
      </c>
      <c r="F821" t="s">
        <v>299</v>
      </c>
      <c r="G821" t="str">
        <f>"008"</f>
        <v>008</v>
      </c>
      <c r="H821" t="str">
        <f t="shared" si="106"/>
        <v>4781</v>
      </c>
      <c r="I821" s="3">
        <v>45442500</v>
      </c>
      <c r="J821" s="3">
        <v>89.31</v>
      </c>
      <c r="K821" s="3">
        <v>50881800</v>
      </c>
      <c r="L821" s="3">
        <v>0</v>
      </c>
      <c r="M821" s="3">
        <v>50881800</v>
      </c>
      <c r="N821" s="3">
        <v>936900</v>
      </c>
      <c r="O821" s="3">
        <v>936900</v>
      </c>
      <c r="P821" s="3">
        <v>223500</v>
      </c>
      <c r="Q821" s="3">
        <v>223500</v>
      </c>
      <c r="R821" s="3">
        <v>356400</v>
      </c>
      <c r="S821" s="3">
        <v>0</v>
      </c>
      <c r="T821" s="3">
        <v>0</v>
      </c>
      <c r="U821" s="3">
        <v>0</v>
      </c>
      <c r="V821" s="3">
        <v>2010</v>
      </c>
      <c r="W821" s="3">
        <v>49192200</v>
      </c>
      <c r="X821" s="3">
        <v>52398600</v>
      </c>
      <c r="Y821" s="3">
        <v>3206400</v>
      </c>
      <c r="Z821" s="3">
        <v>46072900</v>
      </c>
      <c r="AA821" s="3">
        <v>6325700</v>
      </c>
      <c r="AB821" s="3">
        <v>14</v>
      </c>
    </row>
    <row r="822" spans="1:28" x14ac:dyDescent="0.35">
      <c r="A822">
        <v>2022</v>
      </c>
      <c r="B822" t="str">
        <f t="shared" si="104"/>
        <v>43</v>
      </c>
      <c r="C822" t="s">
        <v>298</v>
      </c>
      <c r="D822" t="s">
        <v>35</v>
      </c>
      <c r="E822" t="str">
        <f t="shared" si="105"/>
        <v>276</v>
      </c>
      <c r="F822" t="s">
        <v>299</v>
      </c>
      <c r="G822" t="str">
        <f>"009"</f>
        <v>009</v>
      </c>
      <c r="H822" t="str">
        <f t="shared" si="106"/>
        <v>4781</v>
      </c>
      <c r="I822" s="3">
        <v>0</v>
      </c>
      <c r="J822" s="3">
        <v>89.31</v>
      </c>
      <c r="K822" s="3">
        <v>0</v>
      </c>
      <c r="L822" s="3">
        <v>0</v>
      </c>
      <c r="M822" s="3">
        <v>0</v>
      </c>
      <c r="N822" s="3">
        <v>22031400</v>
      </c>
      <c r="O822" s="3">
        <v>22031400</v>
      </c>
      <c r="P822" s="3">
        <v>2917700</v>
      </c>
      <c r="Q822" s="3">
        <v>2917700</v>
      </c>
      <c r="R822" s="3">
        <v>0</v>
      </c>
      <c r="S822" s="3">
        <v>0</v>
      </c>
      <c r="T822" s="3">
        <v>0</v>
      </c>
      <c r="U822" s="3">
        <v>0</v>
      </c>
      <c r="V822" s="3">
        <v>2012</v>
      </c>
      <c r="W822" s="3">
        <v>4900</v>
      </c>
      <c r="X822" s="3">
        <v>24949100</v>
      </c>
      <c r="Y822" s="3">
        <v>24944200</v>
      </c>
      <c r="Z822" s="3">
        <v>25600400</v>
      </c>
      <c r="AA822" s="3">
        <v>-651300</v>
      </c>
      <c r="AB822" s="3">
        <v>-3</v>
      </c>
    </row>
    <row r="823" spans="1:28" x14ac:dyDescent="0.35">
      <c r="A823">
        <v>2022</v>
      </c>
      <c r="B823" t="str">
        <f t="shared" si="104"/>
        <v>43</v>
      </c>
      <c r="C823" t="s">
        <v>298</v>
      </c>
      <c r="D823" t="s">
        <v>35</v>
      </c>
      <c r="E823" t="str">
        <f t="shared" si="105"/>
        <v>276</v>
      </c>
      <c r="F823" t="s">
        <v>299</v>
      </c>
      <c r="G823" t="str">
        <f>"010"</f>
        <v>010</v>
      </c>
      <c r="H823" t="str">
        <f t="shared" si="106"/>
        <v>4781</v>
      </c>
      <c r="I823" s="3">
        <v>9717000</v>
      </c>
      <c r="J823" s="3">
        <v>89.31</v>
      </c>
      <c r="K823" s="3">
        <v>10880100</v>
      </c>
      <c r="L823" s="3">
        <v>0</v>
      </c>
      <c r="M823" s="3">
        <v>10880100</v>
      </c>
      <c r="N823" s="3">
        <v>0</v>
      </c>
      <c r="O823" s="3">
        <v>0</v>
      </c>
      <c r="P823" s="3">
        <v>0</v>
      </c>
      <c r="Q823" s="3">
        <v>0</v>
      </c>
      <c r="R823" s="3">
        <v>76900</v>
      </c>
      <c r="S823" s="3">
        <v>0</v>
      </c>
      <c r="T823" s="3">
        <v>0</v>
      </c>
      <c r="U823" s="3">
        <v>0</v>
      </c>
      <c r="V823" s="3">
        <v>2013</v>
      </c>
      <c r="W823" s="3">
        <v>5791100</v>
      </c>
      <c r="X823" s="3">
        <v>10957000</v>
      </c>
      <c r="Y823" s="3">
        <v>5165900</v>
      </c>
      <c r="Z823" s="3">
        <v>9736600</v>
      </c>
      <c r="AA823" s="3">
        <v>1220400</v>
      </c>
      <c r="AB823" s="3">
        <v>13</v>
      </c>
    </row>
    <row r="824" spans="1:28" x14ac:dyDescent="0.35">
      <c r="A824">
        <v>2022</v>
      </c>
      <c r="B824" t="str">
        <f t="shared" ref="B824:B863" si="107">"44"</f>
        <v>44</v>
      </c>
      <c r="C824" t="s">
        <v>300</v>
      </c>
      <c r="D824" t="s">
        <v>31</v>
      </c>
      <c r="E824" t="str">
        <f>"018"</f>
        <v>018</v>
      </c>
      <c r="F824" t="s">
        <v>301</v>
      </c>
      <c r="G824" t="str">
        <f>"001A"</f>
        <v>001A</v>
      </c>
      <c r="H824" t="str">
        <f>"1953"</f>
        <v>1953</v>
      </c>
      <c r="I824" s="3">
        <v>7333800</v>
      </c>
      <c r="J824" s="3">
        <v>78.819999999999993</v>
      </c>
      <c r="K824" s="3">
        <v>9304500</v>
      </c>
      <c r="L824" s="3">
        <v>0</v>
      </c>
      <c r="M824" s="3">
        <v>9304500</v>
      </c>
      <c r="N824" s="3">
        <v>0</v>
      </c>
      <c r="O824" s="3">
        <v>0</v>
      </c>
      <c r="P824" s="3">
        <v>0</v>
      </c>
      <c r="Q824" s="3">
        <v>0</v>
      </c>
      <c r="R824" s="3">
        <v>-9300</v>
      </c>
      <c r="S824" s="3">
        <v>0</v>
      </c>
      <c r="T824" s="3">
        <v>0</v>
      </c>
      <c r="U824" s="3">
        <v>0</v>
      </c>
      <c r="V824" s="3">
        <v>2016</v>
      </c>
      <c r="W824" s="3">
        <v>1993600</v>
      </c>
      <c r="X824" s="3">
        <v>9295200</v>
      </c>
      <c r="Y824" s="3">
        <v>7301600</v>
      </c>
      <c r="Z824" s="3">
        <v>8053300</v>
      </c>
      <c r="AA824" s="3">
        <v>1241900</v>
      </c>
      <c r="AB824" s="3">
        <v>15</v>
      </c>
    </row>
    <row r="825" spans="1:28" x14ac:dyDescent="0.35">
      <c r="A825">
        <v>2022</v>
      </c>
      <c r="B825" t="str">
        <f t="shared" si="107"/>
        <v>44</v>
      </c>
      <c r="C825" t="s">
        <v>300</v>
      </c>
      <c r="D825" t="s">
        <v>31</v>
      </c>
      <c r="E825" t="str">
        <f>"018"</f>
        <v>018</v>
      </c>
      <c r="F825" t="s">
        <v>301</v>
      </c>
      <c r="G825" t="str">
        <f>"002A"</f>
        <v>002A</v>
      </c>
      <c r="H825" t="str">
        <f>"1953"</f>
        <v>1953</v>
      </c>
      <c r="I825" s="3">
        <v>38200</v>
      </c>
      <c r="J825" s="3">
        <v>78.819999999999993</v>
      </c>
      <c r="K825" s="3">
        <v>48500</v>
      </c>
      <c r="L825" s="3">
        <v>0</v>
      </c>
      <c r="M825" s="3">
        <v>48500</v>
      </c>
      <c r="N825" s="3">
        <v>31248300</v>
      </c>
      <c r="O825" s="3">
        <v>31248300</v>
      </c>
      <c r="P825" s="3">
        <v>3583800</v>
      </c>
      <c r="Q825" s="3">
        <v>3583800</v>
      </c>
      <c r="R825" s="3">
        <v>0</v>
      </c>
      <c r="S825" s="3">
        <v>0</v>
      </c>
      <c r="T825" s="3">
        <v>0</v>
      </c>
      <c r="U825" s="3">
        <v>0</v>
      </c>
      <c r="V825" s="3">
        <v>2017</v>
      </c>
      <c r="W825" s="3">
        <v>11728400</v>
      </c>
      <c r="X825" s="3">
        <v>34880600</v>
      </c>
      <c r="Y825" s="3">
        <v>23152200</v>
      </c>
      <c r="Z825" s="3">
        <v>27968200</v>
      </c>
      <c r="AA825" s="3">
        <v>6912400</v>
      </c>
      <c r="AB825" s="3">
        <v>25</v>
      </c>
    </row>
    <row r="826" spans="1:28" x14ac:dyDescent="0.35">
      <c r="A826">
        <v>2022</v>
      </c>
      <c r="B826" t="str">
        <f t="shared" si="107"/>
        <v>44</v>
      </c>
      <c r="C826" t="s">
        <v>300</v>
      </c>
      <c r="D826" t="s">
        <v>31</v>
      </c>
      <c r="E826" t="str">
        <f>"020"</f>
        <v>020</v>
      </c>
      <c r="F826" t="s">
        <v>302</v>
      </c>
      <c r="G826" t="str">
        <f>"001A"</f>
        <v>001A</v>
      </c>
      <c r="H826" t="str">
        <f>"0147"</f>
        <v>0147</v>
      </c>
      <c r="I826" s="3">
        <v>16067100</v>
      </c>
      <c r="J826" s="3">
        <v>89.26</v>
      </c>
      <c r="K826" s="3">
        <v>18000300</v>
      </c>
      <c r="L826" s="3">
        <v>0</v>
      </c>
      <c r="M826" s="3">
        <v>18000300</v>
      </c>
      <c r="N826" s="3">
        <v>0</v>
      </c>
      <c r="O826" s="3">
        <v>0</v>
      </c>
      <c r="P826" s="3">
        <v>0</v>
      </c>
      <c r="Q826" s="3">
        <v>0</v>
      </c>
      <c r="R826" s="3">
        <v>37100</v>
      </c>
      <c r="S826" s="3">
        <v>0</v>
      </c>
      <c r="T826" s="3">
        <v>0</v>
      </c>
      <c r="U826" s="3">
        <v>0</v>
      </c>
      <c r="V826" s="3">
        <v>2015</v>
      </c>
      <c r="W826" s="3">
        <v>7700</v>
      </c>
      <c r="X826" s="3">
        <v>18037400</v>
      </c>
      <c r="Y826" s="3">
        <v>18029700</v>
      </c>
      <c r="Z826" s="3">
        <v>18010900</v>
      </c>
      <c r="AA826" s="3">
        <v>26500</v>
      </c>
      <c r="AB826" s="3">
        <v>0</v>
      </c>
    </row>
    <row r="827" spans="1:28" x14ac:dyDescent="0.35">
      <c r="A827">
        <v>2022</v>
      </c>
      <c r="B827" t="str">
        <f t="shared" si="107"/>
        <v>44</v>
      </c>
      <c r="C827" t="s">
        <v>300</v>
      </c>
      <c r="D827" t="s">
        <v>31</v>
      </c>
      <c r="E827" t="str">
        <f>"020"</f>
        <v>020</v>
      </c>
      <c r="F827" t="s">
        <v>302</v>
      </c>
      <c r="G827" t="str">
        <f>"002A"</f>
        <v>002A</v>
      </c>
      <c r="H827" t="str">
        <f>"0147"</f>
        <v>0147</v>
      </c>
      <c r="I827" s="3">
        <v>61356000</v>
      </c>
      <c r="J827" s="3">
        <v>89.26</v>
      </c>
      <c r="K827" s="3">
        <v>68738500</v>
      </c>
      <c r="L827" s="3">
        <v>0</v>
      </c>
      <c r="M827" s="3">
        <v>68738500</v>
      </c>
      <c r="N827" s="3">
        <v>0</v>
      </c>
      <c r="O827" s="3">
        <v>0</v>
      </c>
      <c r="P827" s="3">
        <v>0</v>
      </c>
      <c r="Q827" s="3">
        <v>0</v>
      </c>
      <c r="R827" s="3">
        <v>3025600</v>
      </c>
      <c r="S827" s="3">
        <v>0</v>
      </c>
      <c r="T827" s="3">
        <v>0</v>
      </c>
      <c r="U827" s="3">
        <v>0</v>
      </c>
      <c r="V827" s="3">
        <v>2016</v>
      </c>
      <c r="W827" s="3">
        <v>17214400</v>
      </c>
      <c r="X827" s="3">
        <v>71764100</v>
      </c>
      <c r="Y827" s="3">
        <v>54549700</v>
      </c>
      <c r="Z827" s="3">
        <v>61838600</v>
      </c>
      <c r="AA827" s="3">
        <v>9925500</v>
      </c>
      <c r="AB827" s="3">
        <v>16</v>
      </c>
    </row>
    <row r="828" spans="1:28" x14ac:dyDescent="0.35">
      <c r="A828">
        <v>2022</v>
      </c>
      <c r="B828" t="str">
        <f t="shared" si="107"/>
        <v>44</v>
      </c>
      <c r="C828" t="s">
        <v>300</v>
      </c>
      <c r="D828" t="s">
        <v>31</v>
      </c>
      <c r="E828" t="str">
        <f>"020"</f>
        <v>020</v>
      </c>
      <c r="F828" t="s">
        <v>302</v>
      </c>
      <c r="G828" t="str">
        <f>"003A"</f>
        <v>003A</v>
      </c>
      <c r="H828" t="str">
        <f>"0147"</f>
        <v>0147</v>
      </c>
      <c r="I828" s="3">
        <v>31074900</v>
      </c>
      <c r="J828" s="3">
        <v>89.26</v>
      </c>
      <c r="K828" s="3">
        <v>34813900</v>
      </c>
      <c r="L828" s="3">
        <v>0</v>
      </c>
      <c r="M828" s="3">
        <v>34813900</v>
      </c>
      <c r="N828" s="3">
        <v>0</v>
      </c>
      <c r="O828" s="3">
        <v>0</v>
      </c>
      <c r="P828" s="3">
        <v>0</v>
      </c>
      <c r="Q828" s="3">
        <v>0</v>
      </c>
      <c r="R828" s="3">
        <v>919800</v>
      </c>
      <c r="S828" s="3">
        <v>0</v>
      </c>
      <c r="T828" s="3">
        <v>0</v>
      </c>
      <c r="U828" s="3">
        <v>0</v>
      </c>
      <c r="V828" s="3">
        <v>2017</v>
      </c>
      <c r="W828" s="3">
        <v>14733400</v>
      </c>
      <c r="X828" s="3">
        <v>35733700</v>
      </c>
      <c r="Y828" s="3">
        <v>21000300</v>
      </c>
      <c r="Z828" s="3">
        <v>39648000</v>
      </c>
      <c r="AA828" s="3">
        <v>-3914300</v>
      </c>
      <c r="AB828" s="3">
        <v>-10</v>
      </c>
    </row>
    <row r="829" spans="1:28" x14ac:dyDescent="0.35">
      <c r="A829">
        <v>2022</v>
      </c>
      <c r="B829" t="str">
        <f t="shared" si="107"/>
        <v>44</v>
      </c>
      <c r="C829" t="s">
        <v>300</v>
      </c>
      <c r="D829" t="s">
        <v>31</v>
      </c>
      <c r="E829" t="str">
        <f>"020"</f>
        <v>020</v>
      </c>
      <c r="F829" t="s">
        <v>302</v>
      </c>
      <c r="G829" t="str">
        <f>"004A"</f>
        <v>004A</v>
      </c>
      <c r="H829" t="str">
        <f>"0147"</f>
        <v>0147</v>
      </c>
      <c r="I829" s="3">
        <v>13933700</v>
      </c>
      <c r="J829" s="3">
        <v>89.26</v>
      </c>
      <c r="K829" s="3">
        <v>15610200</v>
      </c>
      <c r="L829" s="3">
        <v>15617100</v>
      </c>
      <c r="M829" s="3">
        <v>15617100</v>
      </c>
      <c r="N829" s="3">
        <v>0</v>
      </c>
      <c r="O829" s="3">
        <v>0</v>
      </c>
      <c r="P829" s="3">
        <v>0</v>
      </c>
      <c r="Q829" s="3">
        <v>0</v>
      </c>
      <c r="R829" s="3">
        <v>-397600</v>
      </c>
      <c r="S829" s="3">
        <v>0</v>
      </c>
      <c r="T829" s="3">
        <v>0</v>
      </c>
      <c r="U829" s="3">
        <v>0</v>
      </c>
      <c r="V829" s="3">
        <v>2018</v>
      </c>
      <c r="W829" s="3">
        <v>3667200</v>
      </c>
      <c r="X829" s="3">
        <v>15219500</v>
      </c>
      <c r="Y829" s="3">
        <v>11552300</v>
      </c>
      <c r="Z829" s="3">
        <v>16031700</v>
      </c>
      <c r="AA829" s="3">
        <v>-812200</v>
      </c>
      <c r="AB829" s="3">
        <v>-5</v>
      </c>
    </row>
    <row r="830" spans="1:28" x14ac:dyDescent="0.35">
      <c r="A830">
        <v>2022</v>
      </c>
      <c r="B830" t="str">
        <f t="shared" si="107"/>
        <v>44</v>
      </c>
      <c r="C830" t="s">
        <v>300</v>
      </c>
      <c r="D830" t="s">
        <v>33</v>
      </c>
      <c r="E830" t="str">
        <f>"111"</f>
        <v>111</v>
      </c>
      <c r="F830" t="s">
        <v>303</v>
      </c>
      <c r="G830" t="str">
        <f>"002"</f>
        <v>002</v>
      </c>
      <c r="H830" t="str">
        <f>"2835"</f>
        <v>2835</v>
      </c>
      <c r="I830" s="3">
        <v>0</v>
      </c>
      <c r="J830" s="3">
        <v>87.8</v>
      </c>
      <c r="K830" s="3">
        <v>0</v>
      </c>
      <c r="L830" s="3">
        <v>0</v>
      </c>
      <c r="M830" s="3">
        <v>0</v>
      </c>
      <c r="N830" s="3">
        <v>13841600</v>
      </c>
      <c r="O830" s="3">
        <v>13841600</v>
      </c>
      <c r="P830" s="3">
        <v>4507400</v>
      </c>
      <c r="Q830" s="3">
        <v>4507400</v>
      </c>
      <c r="R830" s="3">
        <v>0</v>
      </c>
      <c r="S830" s="3">
        <v>0</v>
      </c>
      <c r="T830" s="3">
        <v>0</v>
      </c>
      <c r="U830" s="3">
        <v>0</v>
      </c>
      <c r="V830" s="3">
        <v>2015</v>
      </c>
      <c r="W830" s="3">
        <v>15736800</v>
      </c>
      <c r="X830" s="3">
        <v>18349000</v>
      </c>
      <c r="Y830" s="3">
        <v>2612200</v>
      </c>
      <c r="Z830" s="3">
        <v>14131200</v>
      </c>
      <c r="AA830" s="3">
        <v>4217800</v>
      </c>
      <c r="AB830" s="3">
        <v>30</v>
      </c>
    </row>
    <row r="831" spans="1:28" x14ac:dyDescent="0.35">
      <c r="A831">
        <v>2022</v>
      </c>
      <c r="B831" t="str">
        <f t="shared" si="107"/>
        <v>44</v>
      </c>
      <c r="C831" t="s">
        <v>300</v>
      </c>
      <c r="D831" t="s">
        <v>33</v>
      </c>
      <c r="E831" t="str">
        <f>"111"</f>
        <v>111</v>
      </c>
      <c r="F831" t="s">
        <v>303</v>
      </c>
      <c r="G831" t="str">
        <f>"003"</f>
        <v>003</v>
      </c>
      <c r="H831" t="str">
        <f>"2758"</f>
        <v>2758</v>
      </c>
      <c r="I831" s="3">
        <v>4814900</v>
      </c>
      <c r="J831" s="3">
        <v>87.8</v>
      </c>
      <c r="K831" s="3">
        <v>5483900</v>
      </c>
      <c r="L831" s="3">
        <v>0</v>
      </c>
      <c r="M831" s="3">
        <v>5483900</v>
      </c>
      <c r="N831" s="3">
        <v>0</v>
      </c>
      <c r="O831" s="3">
        <v>0</v>
      </c>
      <c r="P831" s="3">
        <v>0</v>
      </c>
      <c r="Q831" s="3">
        <v>0</v>
      </c>
      <c r="R831" s="3">
        <v>46800</v>
      </c>
      <c r="S831" s="3">
        <v>0</v>
      </c>
      <c r="T831" s="3">
        <v>0</v>
      </c>
      <c r="U831" s="3">
        <v>0</v>
      </c>
      <c r="V831" s="3">
        <v>2019</v>
      </c>
      <c r="W831" s="3">
        <v>76000</v>
      </c>
      <c r="X831" s="3">
        <v>5530700</v>
      </c>
      <c r="Y831" s="3">
        <v>5454700</v>
      </c>
      <c r="Z831" s="3">
        <v>4879000</v>
      </c>
      <c r="AA831" s="3">
        <v>651700</v>
      </c>
      <c r="AB831" s="3">
        <v>13</v>
      </c>
    </row>
    <row r="832" spans="1:28" x14ac:dyDescent="0.35">
      <c r="A832">
        <v>2022</v>
      </c>
      <c r="B832" t="str">
        <f t="shared" si="107"/>
        <v>44</v>
      </c>
      <c r="C832" t="s">
        <v>300</v>
      </c>
      <c r="D832" t="s">
        <v>33</v>
      </c>
      <c r="E832" t="str">
        <f>"122"</f>
        <v>122</v>
      </c>
      <c r="F832" t="s">
        <v>304</v>
      </c>
      <c r="G832" t="str">
        <f>"001"</f>
        <v>001</v>
      </c>
      <c r="H832" t="str">
        <f>"2583"</f>
        <v>2583</v>
      </c>
      <c r="I832" s="3">
        <v>29709300</v>
      </c>
      <c r="J832" s="3">
        <v>100</v>
      </c>
      <c r="K832" s="3">
        <v>29709300</v>
      </c>
      <c r="L832" s="3">
        <v>0</v>
      </c>
      <c r="M832" s="3">
        <v>29709300</v>
      </c>
      <c r="N832" s="3">
        <v>857400</v>
      </c>
      <c r="O832" s="3">
        <v>857400</v>
      </c>
      <c r="P832" s="3">
        <v>61300</v>
      </c>
      <c r="Q832" s="3">
        <v>61300</v>
      </c>
      <c r="R832" s="3">
        <v>2964900</v>
      </c>
      <c r="S832" s="3">
        <v>0</v>
      </c>
      <c r="T832" s="3">
        <v>0</v>
      </c>
      <c r="U832" s="3">
        <v>0</v>
      </c>
      <c r="V832" s="3">
        <v>2017</v>
      </c>
      <c r="W832" s="3">
        <v>11510500</v>
      </c>
      <c r="X832" s="3">
        <v>33592900</v>
      </c>
      <c r="Y832" s="3">
        <v>22082400</v>
      </c>
      <c r="Z832" s="3">
        <v>27585700</v>
      </c>
      <c r="AA832" s="3">
        <v>6007200</v>
      </c>
      <c r="AB832" s="3">
        <v>22</v>
      </c>
    </row>
    <row r="833" spans="1:28" x14ac:dyDescent="0.35">
      <c r="A833">
        <v>2022</v>
      </c>
      <c r="B833" t="str">
        <f t="shared" si="107"/>
        <v>44</v>
      </c>
      <c r="C833" t="s">
        <v>300</v>
      </c>
      <c r="D833" t="s">
        <v>33</v>
      </c>
      <c r="E833" t="str">
        <f>"136"</f>
        <v>136</v>
      </c>
      <c r="F833" t="s">
        <v>305</v>
      </c>
      <c r="G833" t="str">
        <f>"003"</f>
        <v>003</v>
      </c>
      <c r="H833" t="str">
        <f>"2583"</f>
        <v>2583</v>
      </c>
      <c r="I833" s="3">
        <v>6993000</v>
      </c>
      <c r="J833" s="3">
        <v>87.65</v>
      </c>
      <c r="K833" s="3">
        <v>7978300</v>
      </c>
      <c r="L833" s="3">
        <v>0</v>
      </c>
      <c r="M833" s="3">
        <v>7978300</v>
      </c>
      <c r="N833" s="3">
        <v>0</v>
      </c>
      <c r="O833" s="3">
        <v>0</v>
      </c>
      <c r="P833" s="3">
        <v>0</v>
      </c>
      <c r="Q833" s="3">
        <v>0</v>
      </c>
      <c r="R833" s="3">
        <v>-85100</v>
      </c>
      <c r="S833" s="3">
        <v>0</v>
      </c>
      <c r="T833" s="3">
        <v>0</v>
      </c>
      <c r="U833" s="3">
        <v>0</v>
      </c>
      <c r="V833" s="3">
        <v>2013</v>
      </c>
      <c r="W833" s="3">
        <v>487700</v>
      </c>
      <c r="X833" s="3">
        <v>7893200</v>
      </c>
      <c r="Y833" s="3">
        <v>7405500</v>
      </c>
      <c r="Z833" s="3">
        <v>6996300</v>
      </c>
      <c r="AA833" s="3">
        <v>896900</v>
      </c>
      <c r="AB833" s="3">
        <v>13</v>
      </c>
    </row>
    <row r="834" spans="1:28" x14ac:dyDescent="0.35">
      <c r="A834">
        <v>2022</v>
      </c>
      <c r="B834" t="str">
        <f t="shared" si="107"/>
        <v>44</v>
      </c>
      <c r="C834" t="s">
        <v>300</v>
      </c>
      <c r="D834" t="s">
        <v>33</v>
      </c>
      <c r="E834" t="str">
        <f>"136"</f>
        <v>136</v>
      </c>
      <c r="F834" t="s">
        <v>305</v>
      </c>
      <c r="G834" t="str">
        <f>"004"</f>
        <v>004</v>
      </c>
      <c r="H834" t="str">
        <f>"2583"</f>
        <v>2583</v>
      </c>
      <c r="I834" s="3">
        <v>7539500</v>
      </c>
      <c r="J834" s="3">
        <v>87.65</v>
      </c>
      <c r="K834" s="3">
        <v>8601800</v>
      </c>
      <c r="L834" s="3">
        <v>0</v>
      </c>
      <c r="M834" s="3">
        <v>8601800</v>
      </c>
      <c r="N834" s="3">
        <v>1385900</v>
      </c>
      <c r="O834" s="3">
        <v>1385900</v>
      </c>
      <c r="P834" s="3">
        <v>87100</v>
      </c>
      <c r="Q834" s="3">
        <v>87100</v>
      </c>
      <c r="R834" s="3">
        <v>-49800</v>
      </c>
      <c r="S834" s="3">
        <v>0</v>
      </c>
      <c r="T834" s="3">
        <v>0</v>
      </c>
      <c r="U834" s="3">
        <v>0</v>
      </c>
      <c r="V834" s="3">
        <v>2017</v>
      </c>
      <c r="W834" s="3">
        <v>4434000</v>
      </c>
      <c r="X834" s="3">
        <v>10025000</v>
      </c>
      <c r="Y834" s="3">
        <v>5591000</v>
      </c>
      <c r="Z834" s="3">
        <v>4118100</v>
      </c>
      <c r="AA834" s="3">
        <v>5906900</v>
      </c>
      <c r="AB834" s="3">
        <v>143</v>
      </c>
    </row>
    <row r="835" spans="1:28" x14ac:dyDescent="0.35">
      <c r="A835">
        <v>2022</v>
      </c>
      <c r="B835" t="str">
        <f t="shared" si="107"/>
        <v>44</v>
      </c>
      <c r="C835" t="s">
        <v>300</v>
      </c>
      <c r="D835" t="s">
        <v>33</v>
      </c>
      <c r="E835" t="str">
        <f>"136"</f>
        <v>136</v>
      </c>
      <c r="F835" t="s">
        <v>305</v>
      </c>
      <c r="G835" t="str">
        <f>"005"</f>
        <v>005</v>
      </c>
      <c r="H835" t="str">
        <f>"2583"</f>
        <v>2583</v>
      </c>
      <c r="I835" s="3">
        <v>544400</v>
      </c>
      <c r="J835" s="3">
        <v>87.65</v>
      </c>
      <c r="K835" s="3">
        <v>621100</v>
      </c>
      <c r="L835" s="3">
        <v>0</v>
      </c>
      <c r="M835" s="3">
        <v>621100</v>
      </c>
      <c r="N835" s="3">
        <v>0</v>
      </c>
      <c r="O835" s="3">
        <v>0</v>
      </c>
      <c r="P835" s="3">
        <v>0</v>
      </c>
      <c r="Q835" s="3">
        <v>0</v>
      </c>
      <c r="R835" s="3">
        <v>-6700</v>
      </c>
      <c r="S835" s="3">
        <v>0</v>
      </c>
      <c r="T835" s="3">
        <v>0</v>
      </c>
      <c r="U835" s="3">
        <v>0</v>
      </c>
      <c r="V835" s="3">
        <v>2017</v>
      </c>
      <c r="W835" s="3">
        <v>522700</v>
      </c>
      <c r="X835" s="3">
        <v>614400</v>
      </c>
      <c r="Y835" s="3">
        <v>91700</v>
      </c>
      <c r="Z835" s="3">
        <v>550000</v>
      </c>
      <c r="AA835" s="3">
        <v>64400</v>
      </c>
      <c r="AB835" s="3">
        <v>12</v>
      </c>
    </row>
    <row r="836" spans="1:28" x14ac:dyDescent="0.35">
      <c r="A836">
        <v>2022</v>
      </c>
      <c r="B836" t="str">
        <f t="shared" si="107"/>
        <v>44</v>
      </c>
      <c r="C836" t="s">
        <v>300</v>
      </c>
      <c r="D836" t="s">
        <v>33</v>
      </c>
      <c r="E836" t="str">
        <f>"141"</f>
        <v>141</v>
      </c>
      <c r="F836" t="s">
        <v>306</v>
      </c>
      <c r="G836" t="str">
        <f>"004"</f>
        <v>004</v>
      </c>
      <c r="H836" t="str">
        <f>"2835"</f>
        <v>2835</v>
      </c>
      <c r="I836" s="3">
        <v>12215700</v>
      </c>
      <c r="J836" s="3">
        <v>91.19</v>
      </c>
      <c r="K836" s="3">
        <v>13395900</v>
      </c>
      <c r="L836" s="3">
        <v>0</v>
      </c>
      <c r="M836" s="3">
        <v>13395900</v>
      </c>
      <c r="N836" s="3">
        <v>0</v>
      </c>
      <c r="O836" s="3">
        <v>0</v>
      </c>
      <c r="P836" s="3">
        <v>0</v>
      </c>
      <c r="Q836" s="3">
        <v>0</v>
      </c>
      <c r="R836" s="3">
        <v>548400</v>
      </c>
      <c r="S836" s="3">
        <v>0</v>
      </c>
      <c r="T836" s="3">
        <v>0</v>
      </c>
      <c r="U836" s="3">
        <v>0</v>
      </c>
      <c r="V836" s="3">
        <v>2005</v>
      </c>
      <c r="W836" s="3">
        <v>778200</v>
      </c>
      <c r="X836" s="3">
        <v>13944300</v>
      </c>
      <c r="Y836" s="3">
        <v>13166100</v>
      </c>
      <c r="Z836" s="3">
        <v>11709700</v>
      </c>
      <c r="AA836" s="3">
        <v>2234600</v>
      </c>
      <c r="AB836" s="3">
        <v>19</v>
      </c>
    </row>
    <row r="837" spans="1:28" x14ac:dyDescent="0.35">
      <c r="A837">
        <v>2022</v>
      </c>
      <c r="B837" t="str">
        <f t="shared" si="107"/>
        <v>44</v>
      </c>
      <c r="C837" t="s">
        <v>300</v>
      </c>
      <c r="D837" t="s">
        <v>33</v>
      </c>
      <c r="E837" t="str">
        <f>"141"</f>
        <v>141</v>
      </c>
      <c r="F837" t="s">
        <v>306</v>
      </c>
      <c r="G837" t="str">
        <f>"005"</f>
        <v>005</v>
      </c>
      <c r="H837" t="str">
        <f>"2835"</f>
        <v>2835</v>
      </c>
      <c r="I837" s="3">
        <v>47608800</v>
      </c>
      <c r="J837" s="3">
        <v>91.19</v>
      </c>
      <c r="K837" s="3">
        <v>52208400</v>
      </c>
      <c r="L837" s="3">
        <v>0</v>
      </c>
      <c r="M837" s="3">
        <v>52208400</v>
      </c>
      <c r="N837" s="3">
        <v>0</v>
      </c>
      <c r="O837" s="3">
        <v>0</v>
      </c>
      <c r="P837" s="3">
        <v>0</v>
      </c>
      <c r="Q837" s="3">
        <v>0</v>
      </c>
      <c r="R837" s="3">
        <v>-6145000</v>
      </c>
      <c r="S837" s="3">
        <v>0</v>
      </c>
      <c r="T837" s="3">
        <v>0</v>
      </c>
      <c r="U837" s="3">
        <v>0</v>
      </c>
      <c r="V837" s="3">
        <v>2008</v>
      </c>
      <c r="W837" s="3">
        <v>11345100</v>
      </c>
      <c r="X837" s="3">
        <v>46063400</v>
      </c>
      <c r="Y837" s="3">
        <v>34718300</v>
      </c>
      <c r="Z837" s="3">
        <v>50486400</v>
      </c>
      <c r="AA837" s="3">
        <v>-4423000</v>
      </c>
      <c r="AB837" s="3">
        <v>-9</v>
      </c>
    </row>
    <row r="838" spans="1:28" x14ac:dyDescent="0.35">
      <c r="A838">
        <v>2022</v>
      </c>
      <c r="B838" t="str">
        <f t="shared" si="107"/>
        <v>44</v>
      </c>
      <c r="C838" t="s">
        <v>300</v>
      </c>
      <c r="D838" t="s">
        <v>33</v>
      </c>
      <c r="E838" t="str">
        <f>"141"</f>
        <v>141</v>
      </c>
      <c r="F838" t="s">
        <v>306</v>
      </c>
      <c r="G838" t="str">
        <f>"006"</f>
        <v>006</v>
      </c>
      <c r="H838" t="str">
        <f>"2835"</f>
        <v>2835</v>
      </c>
      <c r="I838" s="3">
        <v>105189400</v>
      </c>
      <c r="J838" s="3">
        <v>91.19</v>
      </c>
      <c r="K838" s="3">
        <v>115351900</v>
      </c>
      <c r="L838" s="3">
        <v>0</v>
      </c>
      <c r="M838" s="3">
        <v>115351900</v>
      </c>
      <c r="N838" s="3">
        <v>0</v>
      </c>
      <c r="O838" s="3">
        <v>0</v>
      </c>
      <c r="P838" s="3">
        <v>0</v>
      </c>
      <c r="Q838" s="3">
        <v>0</v>
      </c>
      <c r="R838" s="3">
        <v>-1638700</v>
      </c>
      <c r="S838" s="3">
        <v>0</v>
      </c>
      <c r="T838" s="3">
        <v>0</v>
      </c>
      <c r="U838" s="3">
        <v>0</v>
      </c>
      <c r="V838" s="3">
        <v>2016</v>
      </c>
      <c r="W838" s="3">
        <v>18519100</v>
      </c>
      <c r="X838" s="3">
        <v>113713200</v>
      </c>
      <c r="Y838" s="3">
        <v>95194100</v>
      </c>
      <c r="Z838" s="3">
        <v>90411200</v>
      </c>
      <c r="AA838" s="3">
        <v>23302000</v>
      </c>
      <c r="AB838" s="3">
        <v>26</v>
      </c>
    </row>
    <row r="839" spans="1:28" x14ac:dyDescent="0.35">
      <c r="A839">
        <v>2022</v>
      </c>
      <c r="B839" t="str">
        <f t="shared" si="107"/>
        <v>44</v>
      </c>
      <c r="C839" t="s">
        <v>300</v>
      </c>
      <c r="D839" t="s">
        <v>33</v>
      </c>
      <c r="E839" t="str">
        <f t="shared" ref="E839:E845" si="108">"146"</f>
        <v>146</v>
      </c>
      <c r="F839" t="s">
        <v>307</v>
      </c>
      <c r="G839" t="str">
        <f>"004"</f>
        <v>004</v>
      </c>
      <c r="H839" t="str">
        <f>"0147"</f>
        <v>0147</v>
      </c>
      <c r="I839" s="3">
        <v>74386600</v>
      </c>
      <c r="J839" s="3">
        <v>89.92</v>
      </c>
      <c r="K839" s="3">
        <v>82725300</v>
      </c>
      <c r="L839" s="3">
        <v>0</v>
      </c>
      <c r="M839" s="3">
        <v>82725300</v>
      </c>
      <c r="N839" s="3">
        <v>7737900</v>
      </c>
      <c r="O839" s="3">
        <v>7737900</v>
      </c>
      <c r="P839" s="3">
        <v>201300</v>
      </c>
      <c r="Q839" s="3">
        <v>201300</v>
      </c>
      <c r="R839" s="3">
        <v>741500</v>
      </c>
      <c r="S839" s="3">
        <v>0</v>
      </c>
      <c r="T839" s="3">
        <v>0</v>
      </c>
      <c r="U839" s="3">
        <v>0</v>
      </c>
      <c r="V839" s="3">
        <v>2007</v>
      </c>
      <c r="W839" s="3">
        <v>3229800</v>
      </c>
      <c r="X839" s="3">
        <v>91406000</v>
      </c>
      <c r="Y839" s="3">
        <v>88176200</v>
      </c>
      <c r="Z839" s="3">
        <v>75841800</v>
      </c>
      <c r="AA839" s="3">
        <v>15564200</v>
      </c>
      <c r="AB839" s="3">
        <v>21</v>
      </c>
    </row>
    <row r="840" spans="1:28" x14ac:dyDescent="0.35">
      <c r="A840">
        <v>2022</v>
      </c>
      <c r="B840" t="str">
        <f t="shared" si="107"/>
        <v>44</v>
      </c>
      <c r="C840" t="s">
        <v>300</v>
      </c>
      <c r="D840" t="s">
        <v>33</v>
      </c>
      <c r="E840" t="str">
        <f t="shared" si="108"/>
        <v>146</v>
      </c>
      <c r="F840" t="s">
        <v>307</v>
      </c>
      <c r="G840" t="str">
        <f>"004"</f>
        <v>004</v>
      </c>
      <c r="H840" t="str">
        <f>"2758"</f>
        <v>2758</v>
      </c>
      <c r="I840" s="3">
        <v>0</v>
      </c>
      <c r="J840" s="3">
        <v>89.92</v>
      </c>
      <c r="K840" s="3">
        <v>0</v>
      </c>
      <c r="L840" s="3">
        <v>0</v>
      </c>
      <c r="M840" s="3">
        <v>0</v>
      </c>
      <c r="N840" s="3">
        <v>0</v>
      </c>
      <c r="O840" s="3">
        <v>0</v>
      </c>
      <c r="P840" s="3">
        <v>0</v>
      </c>
      <c r="Q840" s="3">
        <v>0</v>
      </c>
      <c r="R840" s="3">
        <v>0</v>
      </c>
      <c r="S840" s="3">
        <v>0</v>
      </c>
      <c r="T840" s="3">
        <v>0</v>
      </c>
      <c r="U840" s="3">
        <v>81700</v>
      </c>
      <c r="V840" s="3">
        <v>2007</v>
      </c>
      <c r="W840" s="3">
        <v>183600</v>
      </c>
      <c r="X840" s="3">
        <v>81700</v>
      </c>
      <c r="Y840" s="3">
        <v>-101900</v>
      </c>
      <c r="Z840" s="3">
        <v>75100</v>
      </c>
      <c r="AA840" s="3">
        <v>6600</v>
      </c>
      <c r="AB840" s="3">
        <v>9</v>
      </c>
    </row>
    <row r="841" spans="1:28" x14ac:dyDescent="0.35">
      <c r="A841">
        <v>2022</v>
      </c>
      <c r="B841" t="str">
        <f t="shared" si="107"/>
        <v>44</v>
      </c>
      <c r="C841" t="s">
        <v>300</v>
      </c>
      <c r="D841" t="s">
        <v>33</v>
      </c>
      <c r="E841" t="str">
        <f t="shared" si="108"/>
        <v>146</v>
      </c>
      <c r="F841" t="s">
        <v>307</v>
      </c>
      <c r="G841" t="str">
        <f>"005"</f>
        <v>005</v>
      </c>
      <c r="H841" t="str">
        <f>"2758"</f>
        <v>2758</v>
      </c>
      <c r="I841" s="3">
        <v>943000</v>
      </c>
      <c r="J841" s="3">
        <v>89.92</v>
      </c>
      <c r="K841" s="3">
        <v>1048700</v>
      </c>
      <c r="L841" s="3">
        <v>0</v>
      </c>
      <c r="M841" s="3">
        <v>1048700</v>
      </c>
      <c r="N841" s="3">
        <v>8726500</v>
      </c>
      <c r="O841" s="3">
        <v>8726500</v>
      </c>
      <c r="P841" s="3">
        <v>258900</v>
      </c>
      <c r="Q841" s="3">
        <v>258900</v>
      </c>
      <c r="R841" s="3">
        <v>74300</v>
      </c>
      <c r="S841" s="3">
        <v>0</v>
      </c>
      <c r="T841" s="3">
        <v>0</v>
      </c>
      <c r="U841" s="3">
        <v>0</v>
      </c>
      <c r="V841" s="3">
        <v>2013</v>
      </c>
      <c r="W841" s="3">
        <v>5504700</v>
      </c>
      <c r="X841" s="3">
        <v>10108400</v>
      </c>
      <c r="Y841" s="3">
        <v>4603700</v>
      </c>
      <c r="Z841" s="3">
        <v>9836100</v>
      </c>
      <c r="AA841" s="3">
        <v>272300</v>
      </c>
      <c r="AB841" s="3">
        <v>3</v>
      </c>
    </row>
    <row r="842" spans="1:28" x14ac:dyDescent="0.35">
      <c r="A842">
        <v>2022</v>
      </c>
      <c r="B842" t="str">
        <f t="shared" si="107"/>
        <v>44</v>
      </c>
      <c r="C842" t="s">
        <v>300</v>
      </c>
      <c r="D842" t="s">
        <v>33</v>
      </c>
      <c r="E842" t="str">
        <f t="shared" si="108"/>
        <v>146</v>
      </c>
      <c r="F842" t="s">
        <v>307</v>
      </c>
      <c r="G842" t="str">
        <f>"005"</f>
        <v>005</v>
      </c>
      <c r="H842" t="str">
        <f>"3129"</f>
        <v>3129</v>
      </c>
      <c r="I842" s="3">
        <v>5950500</v>
      </c>
      <c r="J842" s="3">
        <v>89.92</v>
      </c>
      <c r="K842" s="3">
        <v>6617500</v>
      </c>
      <c r="L842" s="3">
        <v>0</v>
      </c>
      <c r="M842" s="3">
        <v>6617500</v>
      </c>
      <c r="N842" s="3">
        <v>15350700</v>
      </c>
      <c r="O842" s="3">
        <v>15350700</v>
      </c>
      <c r="P842" s="3">
        <v>2144600</v>
      </c>
      <c r="Q842" s="3">
        <v>2144600</v>
      </c>
      <c r="R842" s="3">
        <v>290800</v>
      </c>
      <c r="S842" s="3">
        <v>0</v>
      </c>
      <c r="T842" s="3">
        <v>0</v>
      </c>
      <c r="U842" s="3">
        <v>0</v>
      </c>
      <c r="V842" s="3">
        <v>2013</v>
      </c>
      <c r="W842" s="3">
        <v>6231000</v>
      </c>
      <c r="X842" s="3">
        <v>24403600</v>
      </c>
      <c r="Y842" s="3">
        <v>18172600</v>
      </c>
      <c r="Z842" s="3">
        <v>23371300</v>
      </c>
      <c r="AA842" s="3">
        <v>1032300</v>
      </c>
      <c r="AB842" s="3">
        <v>4</v>
      </c>
    </row>
    <row r="843" spans="1:28" x14ac:dyDescent="0.35">
      <c r="A843">
        <v>2022</v>
      </c>
      <c r="B843" t="str">
        <f t="shared" si="107"/>
        <v>44</v>
      </c>
      <c r="C843" t="s">
        <v>300</v>
      </c>
      <c r="D843" t="s">
        <v>33</v>
      </c>
      <c r="E843" t="str">
        <f t="shared" si="108"/>
        <v>146</v>
      </c>
      <c r="F843" t="s">
        <v>307</v>
      </c>
      <c r="G843" t="str">
        <f>"006"</f>
        <v>006</v>
      </c>
      <c r="H843" t="str">
        <f>"2758"</f>
        <v>2758</v>
      </c>
      <c r="I843" s="3">
        <v>72540500</v>
      </c>
      <c r="J843" s="3">
        <v>89.92</v>
      </c>
      <c r="K843" s="3">
        <v>80672300</v>
      </c>
      <c r="L843" s="3">
        <v>0</v>
      </c>
      <c r="M843" s="3">
        <v>80672300</v>
      </c>
      <c r="N843" s="3">
        <v>0</v>
      </c>
      <c r="O843" s="3">
        <v>0</v>
      </c>
      <c r="P843" s="3">
        <v>0</v>
      </c>
      <c r="Q843" s="3">
        <v>0</v>
      </c>
      <c r="R843" s="3">
        <v>2909100</v>
      </c>
      <c r="S843" s="3">
        <v>0</v>
      </c>
      <c r="T843" s="3">
        <v>0</v>
      </c>
      <c r="U843" s="3">
        <v>0</v>
      </c>
      <c r="V843" s="3">
        <v>2016</v>
      </c>
      <c r="W843" s="3">
        <v>2075700</v>
      </c>
      <c r="X843" s="3">
        <v>83581400</v>
      </c>
      <c r="Y843" s="3">
        <v>81505700</v>
      </c>
      <c r="Z843" s="3">
        <v>59838100</v>
      </c>
      <c r="AA843" s="3">
        <v>23743300</v>
      </c>
      <c r="AB843" s="3">
        <v>40</v>
      </c>
    </row>
    <row r="844" spans="1:28" x14ac:dyDescent="0.35">
      <c r="A844">
        <v>2022</v>
      </c>
      <c r="B844" t="str">
        <f t="shared" si="107"/>
        <v>44</v>
      </c>
      <c r="C844" t="s">
        <v>300</v>
      </c>
      <c r="D844" t="s">
        <v>33</v>
      </c>
      <c r="E844" t="str">
        <f t="shared" si="108"/>
        <v>146</v>
      </c>
      <c r="F844" t="s">
        <v>307</v>
      </c>
      <c r="G844" t="str">
        <f>"007"</f>
        <v>007</v>
      </c>
      <c r="H844" t="str">
        <f>"2758"</f>
        <v>2758</v>
      </c>
      <c r="I844" s="3">
        <v>33781400</v>
      </c>
      <c r="J844" s="3">
        <v>89.92</v>
      </c>
      <c r="K844" s="3">
        <v>37568300</v>
      </c>
      <c r="L844" s="3">
        <v>0</v>
      </c>
      <c r="M844" s="3">
        <v>37568300</v>
      </c>
      <c r="N844" s="3">
        <v>10784800</v>
      </c>
      <c r="O844" s="3">
        <v>10784800</v>
      </c>
      <c r="P844" s="3">
        <v>261000</v>
      </c>
      <c r="Q844" s="3">
        <v>261000</v>
      </c>
      <c r="R844" s="3">
        <v>755600</v>
      </c>
      <c r="S844" s="3">
        <v>0</v>
      </c>
      <c r="T844" s="3">
        <v>0</v>
      </c>
      <c r="U844" s="3">
        <v>0</v>
      </c>
      <c r="V844" s="3">
        <v>2018</v>
      </c>
      <c r="W844" s="3">
        <v>3436200</v>
      </c>
      <c r="X844" s="3">
        <v>49369700</v>
      </c>
      <c r="Y844" s="3">
        <v>45933500</v>
      </c>
      <c r="Z844" s="3">
        <v>41340600</v>
      </c>
      <c r="AA844" s="3">
        <v>8029100</v>
      </c>
      <c r="AB844" s="3">
        <v>19</v>
      </c>
    </row>
    <row r="845" spans="1:28" x14ac:dyDescent="0.35">
      <c r="A845">
        <v>2022</v>
      </c>
      <c r="B845" t="str">
        <f t="shared" si="107"/>
        <v>44</v>
      </c>
      <c r="C845" t="s">
        <v>300</v>
      </c>
      <c r="D845" t="s">
        <v>33</v>
      </c>
      <c r="E845" t="str">
        <f t="shared" si="108"/>
        <v>146</v>
      </c>
      <c r="F845" t="s">
        <v>307</v>
      </c>
      <c r="G845" t="str">
        <f>"008"</f>
        <v>008</v>
      </c>
      <c r="H845" t="str">
        <f>"3129"</f>
        <v>3129</v>
      </c>
      <c r="I845" s="3">
        <v>8001400</v>
      </c>
      <c r="J845" s="3">
        <v>89.92</v>
      </c>
      <c r="K845" s="3">
        <v>8898400</v>
      </c>
      <c r="L845" s="3">
        <v>0</v>
      </c>
      <c r="M845" s="3">
        <v>8898400</v>
      </c>
      <c r="N845" s="3">
        <v>0</v>
      </c>
      <c r="O845" s="3">
        <v>0</v>
      </c>
      <c r="P845" s="3">
        <v>0</v>
      </c>
      <c r="Q845" s="3">
        <v>0</v>
      </c>
      <c r="R845" s="3">
        <v>-801300</v>
      </c>
      <c r="S845" s="3">
        <v>0</v>
      </c>
      <c r="T845" s="3">
        <v>0</v>
      </c>
      <c r="U845" s="3">
        <v>0</v>
      </c>
      <c r="V845" s="3">
        <v>2018</v>
      </c>
      <c r="W845" s="3">
        <v>2624500</v>
      </c>
      <c r="X845" s="3">
        <v>8097100</v>
      </c>
      <c r="Y845" s="3">
        <v>5472600</v>
      </c>
      <c r="Z845" s="3">
        <v>2278600</v>
      </c>
      <c r="AA845" s="3">
        <v>5818500</v>
      </c>
      <c r="AB845" s="3">
        <v>255</v>
      </c>
    </row>
    <row r="846" spans="1:28" x14ac:dyDescent="0.35">
      <c r="A846">
        <v>2022</v>
      </c>
      <c r="B846" t="str">
        <f t="shared" si="107"/>
        <v>44</v>
      </c>
      <c r="C846" t="s">
        <v>300</v>
      </c>
      <c r="D846" t="s">
        <v>33</v>
      </c>
      <c r="E846" t="str">
        <f>"191"</f>
        <v>191</v>
      </c>
      <c r="F846" t="s">
        <v>60</v>
      </c>
      <c r="G846" t="str">
        <f>"003"</f>
        <v>003</v>
      </c>
      <c r="H846" t="str">
        <f>"6734"</f>
        <v>6734</v>
      </c>
      <c r="I846" s="3">
        <v>33542800</v>
      </c>
      <c r="J846" s="3">
        <v>75.25</v>
      </c>
      <c r="K846" s="3">
        <v>44575100</v>
      </c>
      <c r="L846" s="3">
        <v>0</v>
      </c>
      <c r="M846" s="3">
        <v>44575100</v>
      </c>
      <c r="N846" s="3">
        <v>3656300</v>
      </c>
      <c r="O846" s="3">
        <v>3656300</v>
      </c>
      <c r="P846" s="3">
        <v>227600</v>
      </c>
      <c r="Q846" s="3">
        <v>227600</v>
      </c>
      <c r="R846" s="3">
        <v>-333900</v>
      </c>
      <c r="S846" s="3">
        <v>0</v>
      </c>
      <c r="T846" s="3">
        <v>0</v>
      </c>
      <c r="U846" s="3">
        <v>0</v>
      </c>
      <c r="V846" s="3">
        <v>2015</v>
      </c>
      <c r="W846" s="3">
        <v>1942900</v>
      </c>
      <c r="X846" s="3">
        <v>48125100</v>
      </c>
      <c r="Y846" s="3">
        <v>46182200</v>
      </c>
      <c r="Z846" s="3">
        <v>42902800</v>
      </c>
      <c r="AA846" s="3">
        <v>5222300</v>
      </c>
      <c r="AB846" s="3">
        <v>12</v>
      </c>
    </row>
    <row r="847" spans="1:28" x14ac:dyDescent="0.35">
      <c r="A847">
        <v>2022</v>
      </c>
      <c r="B847" t="str">
        <f t="shared" si="107"/>
        <v>44</v>
      </c>
      <c r="C847" t="s">
        <v>300</v>
      </c>
      <c r="D847" t="s">
        <v>33</v>
      </c>
      <c r="E847" t="str">
        <f>"191"</f>
        <v>191</v>
      </c>
      <c r="F847" t="s">
        <v>60</v>
      </c>
      <c r="G847" t="str">
        <f>"004"</f>
        <v>004</v>
      </c>
      <c r="H847" t="str">
        <f>"6734"</f>
        <v>6734</v>
      </c>
      <c r="I847" s="3">
        <v>3313000</v>
      </c>
      <c r="J847" s="3">
        <v>75.25</v>
      </c>
      <c r="K847" s="3">
        <v>4402700</v>
      </c>
      <c r="L847" s="3">
        <v>0</v>
      </c>
      <c r="M847" s="3">
        <v>4402700</v>
      </c>
      <c r="N847" s="3">
        <v>0</v>
      </c>
      <c r="O847" s="3">
        <v>0</v>
      </c>
      <c r="P847" s="3">
        <v>0</v>
      </c>
      <c r="Q847" s="3">
        <v>0</v>
      </c>
      <c r="R847" s="3">
        <v>1500</v>
      </c>
      <c r="S847" s="3">
        <v>0</v>
      </c>
      <c r="T847" s="3">
        <v>0</v>
      </c>
      <c r="U847" s="3">
        <v>0</v>
      </c>
      <c r="V847" s="3">
        <v>2016</v>
      </c>
      <c r="W847" s="3">
        <v>1087500</v>
      </c>
      <c r="X847" s="3">
        <v>4404200</v>
      </c>
      <c r="Y847" s="3">
        <v>3316700</v>
      </c>
      <c r="Z847" s="3">
        <v>1262900</v>
      </c>
      <c r="AA847" s="3">
        <v>3141300</v>
      </c>
      <c r="AB847" s="3">
        <v>249</v>
      </c>
    </row>
    <row r="848" spans="1:28" x14ac:dyDescent="0.35">
      <c r="A848">
        <v>2022</v>
      </c>
      <c r="B848" t="str">
        <f t="shared" si="107"/>
        <v>44</v>
      </c>
      <c r="C848" t="s">
        <v>300</v>
      </c>
      <c r="D848" t="s">
        <v>35</v>
      </c>
      <c r="E848" t="str">
        <f t="shared" ref="E848:E853" si="109">"201"</f>
        <v>201</v>
      </c>
      <c r="F848" t="s">
        <v>75</v>
      </c>
      <c r="G848" t="str">
        <f>"003"</f>
        <v>003</v>
      </c>
      <c r="H848" t="str">
        <f t="shared" ref="H848:H853" si="110">"0147"</f>
        <v>0147</v>
      </c>
      <c r="I848" s="3">
        <v>60473600</v>
      </c>
      <c r="J848" s="3">
        <v>79.41</v>
      </c>
      <c r="K848" s="3">
        <v>76153600</v>
      </c>
      <c r="L848" s="3">
        <v>0</v>
      </c>
      <c r="M848" s="3">
        <v>76153600</v>
      </c>
      <c r="N848" s="3">
        <v>0</v>
      </c>
      <c r="O848" s="3">
        <v>0</v>
      </c>
      <c r="P848" s="3">
        <v>0</v>
      </c>
      <c r="Q848" s="3">
        <v>0</v>
      </c>
      <c r="R848" s="3">
        <v>72600</v>
      </c>
      <c r="S848" s="3">
        <v>0</v>
      </c>
      <c r="T848" s="3">
        <v>0</v>
      </c>
      <c r="U848" s="3">
        <v>0</v>
      </c>
      <c r="V848" s="3">
        <v>1993</v>
      </c>
      <c r="W848" s="3">
        <v>11004400</v>
      </c>
      <c r="X848" s="3">
        <v>76226200</v>
      </c>
      <c r="Y848" s="3">
        <v>65221800</v>
      </c>
      <c r="Z848" s="3">
        <v>68263300</v>
      </c>
      <c r="AA848" s="3">
        <v>7962900</v>
      </c>
      <c r="AB848" s="3">
        <v>12</v>
      </c>
    </row>
    <row r="849" spans="1:28" x14ac:dyDescent="0.35">
      <c r="A849">
        <v>2022</v>
      </c>
      <c r="B849" t="str">
        <f t="shared" si="107"/>
        <v>44</v>
      </c>
      <c r="C849" t="s">
        <v>300</v>
      </c>
      <c r="D849" t="s">
        <v>35</v>
      </c>
      <c r="E849" t="str">
        <f t="shared" si="109"/>
        <v>201</v>
      </c>
      <c r="F849" t="s">
        <v>75</v>
      </c>
      <c r="G849" t="str">
        <f>"008"</f>
        <v>008</v>
      </c>
      <c r="H849" t="str">
        <f t="shared" si="110"/>
        <v>0147</v>
      </c>
      <c r="I849" s="3">
        <v>81698500</v>
      </c>
      <c r="J849" s="3">
        <v>79.41</v>
      </c>
      <c r="K849" s="3">
        <v>102881900</v>
      </c>
      <c r="L849" s="3">
        <v>0</v>
      </c>
      <c r="M849" s="3">
        <v>102881900</v>
      </c>
      <c r="N849" s="3">
        <v>1684900</v>
      </c>
      <c r="O849" s="3">
        <v>1684900</v>
      </c>
      <c r="P849" s="3">
        <v>465100</v>
      </c>
      <c r="Q849" s="3">
        <v>465100</v>
      </c>
      <c r="R849" s="3">
        <v>93600</v>
      </c>
      <c r="S849" s="3">
        <v>0</v>
      </c>
      <c r="T849" s="3">
        <v>0</v>
      </c>
      <c r="U849" s="3">
        <v>0</v>
      </c>
      <c r="V849" s="3">
        <v>2009</v>
      </c>
      <c r="W849" s="3">
        <v>6135100</v>
      </c>
      <c r="X849" s="3">
        <v>105125500</v>
      </c>
      <c r="Y849" s="3">
        <v>98990400</v>
      </c>
      <c r="Z849" s="3">
        <v>91737600</v>
      </c>
      <c r="AA849" s="3">
        <v>13387900</v>
      </c>
      <c r="AB849" s="3">
        <v>15</v>
      </c>
    </row>
    <row r="850" spans="1:28" x14ac:dyDescent="0.35">
      <c r="A850">
        <v>2022</v>
      </c>
      <c r="B850" t="str">
        <f t="shared" si="107"/>
        <v>44</v>
      </c>
      <c r="C850" t="s">
        <v>300</v>
      </c>
      <c r="D850" t="s">
        <v>35</v>
      </c>
      <c r="E850" t="str">
        <f t="shared" si="109"/>
        <v>201</v>
      </c>
      <c r="F850" t="s">
        <v>75</v>
      </c>
      <c r="G850" t="str">
        <f>"009"</f>
        <v>009</v>
      </c>
      <c r="H850" t="str">
        <f t="shared" si="110"/>
        <v>0147</v>
      </c>
      <c r="I850" s="3">
        <v>4820600</v>
      </c>
      <c r="J850" s="3">
        <v>79.41</v>
      </c>
      <c r="K850" s="3">
        <v>6070500</v>
      </c>
      <c r="L850" s="3">
        <v>0</v>
      </c>
      <c r="M850" s="3">
        <v>6070500</v>
      </c>
      <c r="N850" s="3">
        <v>12980300</v>
      </c>
      <c r="O850" s="3">
        <v>12980300</v>
      </c>
      <c r="P850" s="3">
        <v>4925700</v>
      </c>
      <c r="Q850" s="3">
        <v>4925700</v>
      </c>
      <c r="R850" s="3">
        <v>4500</v>
      </c>
      <c r="S850" s="3">
        <v>0</v>
      </c>
      <c r="T850" s="3">
        <v>0</v>
      </c>
      <c r="U850" s="3">
        <v>0</v>
      </c>
      <c r="V850" s="3">
        <v>2013</v>
      </c>
      <c r="W850" s="3">
        <v>21512900</v>
      </c>
      <c r="X850" s="3">
        <v>23981000</v>
      </c>
      <c r="Y850" s="3">
        <v>2468100</v>
      </c>
      <c r="Z850" s="3">
        <v>22202700</v>
      </c>
      <c r="AA850" s="3">
        <v>1778300</v>
      </c>
      <c r="AB850" s="3">
        <v>8</v>
      </c>
    </row>
    <row r="851" spans="1:28" x14ac:dyDescent="0.35">
      <c r="A851">
        <v>2022</v>
      </c>
      <c r="B851" t="str">
        <f t="shared" si="107"/>
        <v>44</v>
      </c>
      <c r="C851" t="s">
        <v>300</v>
      </c>
      <c r="D851" t="s">
        <v>35</v>
      </c>
      <c r="E851" t="str">
        <f t="shared" si="109"/>
        <v>201</v>
      </c>
      <c r="F851" t="s">
        <v>75</v>
      </c>
      <c r="G851" t="str">
        <f>"010"</f>
        <v>010</v>
      </c>
      <c r="H851" t="str">
        <f t="shared" si="110"/>
        <v>0147</v>
      </c>
      <c r="I851" s="3">
        <v>20503200</v>
      </c>
      <c r="J851" s="3">
        <v>79.41</v>
      </c>
      <c r="K851" s="3">
        <v>25819400</v>
      </c>
      <c r="L851" s="3">
        <v>0</v>
      </c>
      <c r="M851" s="3">
        <v>25819400</v>
      </c>
      <c r="N851" s="3">
        <v>218700</v>
      </c>
      <c r="O851" s="3">
        <v>218700</v>
      </c>
      <c r="P851" s="3">
        <v>1800</v>
      </c>
      <c r="Q851" s="3">
        <v>1800</v>
      </c>
      <c r="R851" s="3">
        <v>22900</v>
      </c>
      <c r="S851" s="3">
        <v>0</v>
      </c>
      <c r="T851" s="3">
        <v>0</v>
      </c>
      <c r="U851" s="3">
        <v>0</v>
      </c>
      <c r="V851" s="3">
        <v>2013</v>
      </c>
      <c r="W851" s="3">
        <v>24543900</v>
      </c>
      <c r="X851" s="3">
        <v>26062800</v>
      </c>
      <c r="Y851" s="3">
        <v>1518900</v>
      </c>
      <c r="Z851" s="3">
        <v>21946300</v>
      </c>
      <c r="AA851" s="3">
        <v>4116500</v>
      </c>
      <c r="AB851" s="3">
        <v>19</v>
      </c>
    </row>
    <row r="852" spans="1:28" x14ac:dyDescent="0.35">
      <c r="A852">
        <v>2022</v>
      </c>
      <c r="B852" t="str">
        <f t="shared" si="107"/>
        <v>44</v>
      </c>
      <c r="C852" t="s">
        <v>300</v>
      </c>
      <c r="D852" t="s">
        <v>35</v>
      </c>
      <c r="E852" t="str">
        <f t="shared" si="109"/>
        <v>201</v>
      </c>
      <c r="F852" t="s">
        <v>75</v>
      </c>
      <c r="G852" t="str">
        <f>"011"</f>
        <v>011</v>
      </c>
      <c r="H852" t="str">
        <f t="shared" si="110"/>
        <v>0147</v>
      </c>
      <c r="I852" s="3">
        <v>111221500</v>
      </c>
      <c r="J852" s="3">
        <v>79.41</v>
      </c>
      <c r="K852" s="3">
        <v>140059800</v>
      </c>
      <c r="L852" s="3">
        <v>0</v>
      </c>
      <c r="M852" s="3">
        <v>140059800</v>
      </c>
      <c r="N852" s="3">
        <v>0</v>
      </c>
      <c r="O852" s="3">
        <v>0</v>
      </c>
      <c r="P852" s="3">
        <v>0</v>
      </c>
      <c r="Q852" s="3">
        <v>0</v>
      </c>
      <c r="R852" s="3">
        <v>128400</v>
      </c>
      <c r="S852" s="3">
        <v>0</v>
      </c>
      <c r="T852" s="3">
        <v>0</v>
      </c>
      <c r="U852" s="3">
        <v>0</v>
      </c>
      <c r="V852" s="3">
        <v>2017</v>
      </c>
      <c r="W852" s="3">
        <v>92067800</v>
      </c>
      <c r="X852" s="3">
        <v>140188200</v>
      </c>
      <c r="Y852" s="3">
        <v>48120400</v>
      </c>
      <c r="Z852" s="3">
        <v>122753700</v>
      </c>
      <c r="AA852" s="3">
        <v>17434500</v>
      </c>
      <c r="AB852" s="3">
        <v>14</v>
      </c>
    </row>
    <row r="853" spans="1:28" x14ac:dyDescent="0.35">
      <c r="A853">
        <v>2022</v>
      </c>
      <c r="B853" t="str">
        <f t="shared" si="107"/>
        <v>44</v>
      </c>
      <c r="C853" t="s">
        <v>300</v>
      </c>
      <c r="D853" t="s">
        <v>35</v>
      </c>
      <c r="E853" t="str">
        <f t="shared" si="109"/>
        <v>201</v>
      </c>
      <c r="F853" t="s">
        <v>75</v>
      </c>
      <c r="G853" t="str">
        <f>"012"</f>
        <v>012</v>
      </c>
      <c r="H853" t="str">
        <f t="shared" si="110"/>
        <v>0147</v>
      </c>
      <c r="I853" s="3">
        <v>37119400</v>
      </c>
      <c r="J853" s="3">
        <v>79.41</v>
      </c>
      <c r="K853" s="3">
        <v>46744000</v>
      </c>
      <c r="L853" s="3">
        <v>0</v>
      </c>
      <c r="M853" s="3">
        <v>46744000</v>
      </c>
      <c r="N853" s="3">
        <v>0</v>
      </c>
      <c r="O853" s="3">
        <v>0</v>
      </c>
      <c r="P853" s="3">
        <v>5300</v>
      </c>
      <c r="Q853" s="3">
        <v>5300</v>
      </c>
      <c r="R853" s="3">
        <v>31300</v>
      </c>
      <c r="S853" s="3">
        <v>0</v>
      </c>
      <c r="T853" s="3">
        <v>0</v>
      </c>
      <c r="U853" s="3">
        <v>0</v>
      </c>
      <c r="V853" s="3">
        <v>2017</v>
      </c>
      <c r="W853" s="3">
        <v>30923400</v>
      </c>
      <c r="X853" s="3">
        <v>46780600</v>
      </c>
      <c r="Y853" s="3">
        <v>15857200</v>
      </c>
      <c r="Z853" s="3">
        <v>29733400</v>
      </c>
      <c r="AA853" s="3">
        <v>17047200</v>
      </c>
      <c r="AB853" s="3">
        <v>57</v>
      </c>
    </row>
    <row r="854" spans="1:28" x14ac:dyDescent="0.35">
      <c r="A854">
        <v>2022</v>
      </c>
      <c r="B854" t="str">
        <f t="shared" si="107"/>
        <v>44</v>
      </c>
      <c r="C854" t="s">
        <v>300</v>
      </c>
      <c r="D854" t="s">
        <v>35</v>
      </c>
      <c r="E854" t="str">
        <f t="shared" ref="E854:E861" si="111">"241"</f>
        <v>241</v>
      </c>
      <c r="F854" t="s">
        <v>308</v>
      </c>
      <c r="G854" t="str">
        <f>"001E"</f>
        <v>001E</v>
      </c>
      <c r="H854" t="str">
        <f t="shared" ref="H854:H861" si="112">"2758"</f>
        <v>2758</v>
      </c>
      <c r="I854" s="3">
        <v>5243900</v>
      </c>
      <c r="J854" s="3">
        <v>93.95</v>
      </c>
      <c r="K854" s="3">
        <v>5581600</v>
      </c>
      <c r="L854" s="3">
        <v>0</v>
      </c>
      <c r="M854" s="3">
        <v>5581600</v>
      </c>
      <c r="N854" s="3">
        <v>0</v>
      </c>
      <c r="O854" s="3">
        <v>0</v>
      </c>
      <c r="P854" s="3">
        <v>0</v>
      </c>
      <c r="Q854" s="3">
        <v>0</v>
      </c>
      <c r="R854" s="3">
        <v>469600</v>
      </c>
      <c r="S854" s="3">
        <v>0</v>
      </c>
      <c r="T854" s="3">
        <v>0</v>
      </c>
      <c r="U854" s="3">
        <v>0</v>
      </c>
      <c r="V854" s="3">
        <v>2005</v>
      </c>
      <c r="W854" s="3">
        <v>32800</v>
      </c>
      <c r="X854" s="3">
        <v>6051200</v>
      </c>
      <c r="Y854" s="3">
        <v>6018400</v>
      </c>
      <c r="Z854" s="3">
        <v>4595000</v>
      </c>
      <c r="AA854" s="3">
        <v>1456200</v>
      </c>
      <c r="AB854" s="3">
        <v>32</v>
      </c>
    </row>
    <row r="855" spans="1:28" x14ac:dyDescent="0.35">
      <c r="A855">
        <v>2022</v>
      </c>
      <c r="B855" t="str">
        <f t="shared" si="107"/>
        <v>44</v>
      </c>
      <c r="C855" t="s">
        <v>300</v>
      </c>
      <c r="D855" t="s">
        <v>35</v>
      </c>
      <c r="E855" t="str">
        <f t="shared" si="111"/>
        <v>241</v>
      </c>
      <c r="F855" t="s">
        <v>308</v>
      </c>
      <c r="G855" t="str">
        <f>"004"</f>
        <v>004</v>
      </c>
      <c r="H855" t="str">
        <f t="shared" si="112"/>
        <v>2758</v>
      </c>
      <c r="I855" s="3">
        <v>17578400</v>
      </c>
      <c r="J855" s="3">
        <v>93.95</v>
      </c>
      <c r="K855" s="3">
        <v>18710400</v>
      </c>
      <c r="L855" s="3">
        <v>0</v>
      </c>
      <c r="M855" s="3">
        <v>18710400</v>
      </c>
      <c r="N855" s="3">
        <v>293000</v>
      </c>
      <c r="O855" s="3">
        <v>293000</v>
      </c>
      <c r="P855" s="3">
        <v>2400</v>
      </c>
      <c r="Q855" s="3">
        <v>2400</v>
      </c>
      <c r="R855" s="3">
        <v>-3883600</v>
      </c>
      <c r="S855" s="3">
        <v>0</v>
      </c>
      <c r="T855" s="3">
        <v>0</v>
      </c>
      <c r="U855" s="3">
        <v>1129100</v>
      </c>
      <c r="V855" s="3">
        <v>2000</v>
      </c>
      <c r="W855" s="3">
        <v>16049300</v>
      </c>
      <c r="X855" s="3">
        <v>16251300</v>
      </c>
      <c r="Y855" s="3">
        <v>202000</v>
      </c>
      <c r="Z855" s="3">
        <v>22326400</v>
      </c>
      <c r="AA855" s="3">
        <v>-6075100</v>
      </c>
      <c r="AB855" s="3">
        <v>-27</v>
      </c>
    </row>
    <row r="856" spans="1:28" x14ac:dyDescent="0.35">
      <c r="A856">
        <v>2022</v>
      </c>
      <c r="B856" t="str">
        <f t="shared" si="107"/>
        <v>44</v>
      </c>
      <c r="C856" t="s">
        <v>300</v>
      </c>
      <c r="D856" t="s">
        <v>35</v>
      </c>
      <c r="E856" t="str">
        <f t="shared" si="111"/>
        <v>241</v>
      </c>
      <c r="F856" t="s">
        <v>308</v>
      </c>
      <c r="G856" t="str">
        <f>"005"</f>
        <v>005</v>
      </c>
      <c r="H856" t="str">
        <f t="shared" si="112"/>
        <v>2758</v>
      </c>
      <c r="I856" s="3">
        <v>18823200</v>
      </c>
      <c r="J856" s="3">
        <v>93.95</v>
      </c>
      <c r="K856" s="3">
        <v>20035300</v>
      </c>
      <c r="L856" s="3">
        <v>0</v>
      </c>
      <c r="M856" s="3">
        <v>20035300</v>
      </c>
      <c r="N856" s="3">
        <v>0</v>
      </c>
      <c r="O856" s="3">
        <v>0</v>
      </c>
      <c r="P856" s="3">
        <v>0</v>
      </c>
      <c r="Q856" s="3">
        <v>0</v>
      </c>
      <c r="R856" s="3">
        <v>-6012600</v>
      </c>
      <c r="S856" s="3">
        <v>0</v>
      </c>
      <c r="T856" s="3">
        <v>0</v>
      </c>
      <c r="U856" s="3">
        <v>0</v>
      </c>
      <c r="V856" s="3">
        <v>2003</v>
      </c>
      <c r="W856" s="3">
        <v>1077900</v>
      </c>
      <c r="X856" s="3">
        <v>14022700</v>
      </c>
      <c r="Y856" s="3">
        <v>12944800</v>
      </c>
      <c r="Z856" s="3">
        <v>24121400</v>
      </c>
      <c r="AA856" s="3">
        <v>-10098700</v>
      </c>
      <c r="AB856" s="3">
        <v>-42</v>
      </c>
    </row>
    <row r="857" spans="1:28" x14ac:dyDescent="0.35">
      <c r="A857">
        <v>2022</v>
      </c>
      <c r="B857" t="str">
        <f t="shared" si="107"/>
        <v>44</v>
      </c>
      <c r="C857" t="s">
        <v>300</v>
      </c>
      <c r="D857" t="s">
        <v>35</v>
      </c>
      <c r="E857" t="str">
        <f t="shared" si="111"/>
        <v>241</v>
      </c>
      <c r="F857" t="s">
        <v>308</v>
      </c>
      <c r="G857" t="str">
        <f>"006"</f>
        <v>006</v>
      </c>
      <c r="H857" t="str">
        <f t="shared" si="112"/>
        <v>2758</v>
      </c>
      <c r="I857" s="3">
        <v>5887400</v>
      </c>
      <c r="J857" s="3">
        <v>93.95</v>
      </c>
      <c r="K857" s="3">
        <v>6266500</v>
      </c>
      <c r="L857" s="3">
        <v>6859800</v>
      </c>
      <c r="M857" s="3">
        <v>6859800</v>
      </c>
      <c r="N857" s="3">
        <v>31780100</v>
      </c>
      <c r="O857" s="3">
        <v>31780100</v>
      </c>
      <c r="P857" s="3">
        <v>11833500</v>
      </c>
      <c r="Q857" s="3">
        <v>11833500</v>
      </c>
      <c r="R857" s="3">
        <v>-1033100</v>
      </c>
      <c r="S857" s="3">
        <v>0</v>
      </c>
      <c r="T857" s="3">
        <v>0</v>
      </c>
      <c r="U857" s="3">
        <v>1531000</v>
      </c>
      <c r="V857" s="3">
        <v>2006</v>
      </c>
      <c r="W857" s="3">
        <v>3151700</v>
      </c>
      <c r="X857" s="3">
        <v>50971300</v>
      </c>
      <c r="Y857" s="3">
        <v>47819600</v>
      </c>
      <c r="Z857" s="3">
        <v>50134400</v>
      </c>
      <c r="AA857" s="3">
        <v>836900</v>
      </c>
      <c r="AB857" s="3">
        <v>2</v>
      </c>
    </row>
    <row r="858" spans="1:28" x14ac:dyDescent="0.35">
      <c r="A858">
        <v>2022</v>
      </c>
      <c r="B858" t="str">
        <f t="shared" si="107"/>
        <v>44</v>
      </c>
      <c r="C858" t="s">
        <v>300</v>
      </c>
      <c r="D858" t="s">
        <v>35</v>
      </c>
      <c r="E858" t="str">
        <f t="shared" si="111"/>
        <v>241</v>
      </c>
      <c r="F858" t="s">
        <v>308</v>
      </c>
      <c r="G858" t="str">
        <f>"008"</f>
        <v>008</v>
      </c>
      <c r="H858" t="str">
        <f t="shared" si="112"/>
        <v>2758</v>
      </c>
      <c r="I858" s="3">
        <v>7066800</v>
      </c>
      <c r="J858" s="3">
        <v>93.95</v>
      </c>
      <c r="K858" s="3">
        <v>7521900</v>
      </c>
      <c r="L858" s="3">
        <v>0</v>
      </c>
      <c r="M858" s="3">
        <v>7521900</v>
      </c>
      <c r="N858" s="3">
        <v>303300</v>
      </c>
      <c r="O858" s="3">
        <v>303300</v>
      </c>
      <c r="P858" s="3">
        <v>531700</v>
      </c>
      <c r="Q858" s="3">
        <v>531700</v>
      </c>
      <c r="R858" s="3">
        <v>-1520600</v>
      </c>
      <c r="S858" s="3">
        <v>0</v>
      </c>
      <c r="T858" s="3">
        <v>0</v>
      </c>
      <c r="U858" s="3">
        <v>0</v>
      </c>
      <c r="V858" s="3">
        <v>2013</v>
      </c>
      <c r="W858" s="3">
        <v>2571200</v>
      </c>
      <c r="X858" s="3">
        <v>6836300</v>
      </c>
      <c r="Y858" s="3">
        <v>4265100</v>
      </c>
      <c r="Z858" s="3">
        <v>8454300</v>
      </c>
      <c r="AA858" s="3">
        <v>-1618000</v>
      </c>
      <c r="AB858" s="3">
        <v>-19</v>
      </c>
    </row>
    <row r="859" spans="1:28" x14ac:dyDescent="0.35">
      <c r="A859">
        <v>2022</v>
      </c>
      <c r="B859" t="str">
        <f t="shared" si="107"/>
        <v>44</v>
      </c>
      <c r="C859" t="s">
        <v>300</v>
      </c>
      <c r="D859" t="s">
        <v>35</v>
      </c>
      <c r="E859" t="str">
        <f t="shared" si="111"/>
        <v>241</v>
      </c>
      <c r="F859" t="s">
        <v>308</v>
      </c>
      <c r="G859" t="str">
        <f>"009"</f>
        <v>009</v>
      </c>
      <c r="H859" t="str">
        <f t="shared" si="112"/>
        <v>2758</v>
      </c>
      <c r="I859" s="3">
        <v>2841800</v>
      </c>
      <c r="J859" s="3">
        <v>93.95</v>
      </c>
      <c r="K859" s="3">
        <v>3024800</v>
      </c>
      <c r="L859" s="3">
        <v>0</v>
      </c>
      <c r="M859" s="3">
        <v>3024800</v>
      </c>
      <c r="N859" s="3">
        <v>0</v>
      </c>
      <c r="O859" s="3">
        <v>0</v>
      </c>
      <c r="P859" s="3">
        <v>0</v>
      </c>
      <c r="Q859" s="3">
        <v>0</v>
      </c>
      <c r="R859" s="3">
        <v>-191500</v>
      </c>
      <c r="S859" s="3">
        <v>0</v>
      </c>
      <c r="T859" s="3">
        <v>0</v>
      </c>
      <c r="U859" s="3">
        <v>0</v>
      </c>
      <c r="V859" s="3">
        <v>2016</v>
      </c>
      <c r="W859" s="3">
        <v>1306600</v>
      </c>
      <c r="X859" s="3">
        <v>2833300</v>
      </c>
      <c r="Y859" s="3">
        <v>1526700</v>
      </c>
      <c r="Z859" s="3">
        <v>2810700</v>
      </c>
      <c r="AA859" s="3">
        <v>22600</v>
      </c>
      <c r="AB859" s="3">
        <v>1</v>
      </c>
    </row>
    <row r="860" spans="1:28" x14ac:dyDescent="0.35">
      <c r="A860">
        <v>2022</v>
      </c>
      <c r="B860" t="str">
        <f t="shared" si="107"/>
        <v>44</v>
      </c>
      <c r="C860" t="s">
        <v>300</v>
      </c>
      <c r="D860" t="s">
        <v>35</v>
      </c>
      <c r="E860" t="str">
        <f t="shared" si="111"/>
        <v>241</v>
      </c>
      <c r="F860" t="s">
        <v>308</v>
      </c>
      <c r="G860" t="str">
        <f>"010"</f>
        <v>010</v>
      </c>
      <c r="H860" t="str">
        <f t="shared" si="112"/>
        <v>2758</v>
      </c>
      <c r="I860" s="3">
        <v>12007000</v>
      </c>
      <c r="J860" s="3">
        <v>93.95</v>
      </c>
      <c r="K860" s="3">
        <v>12780200</v>
      </c>
      <c r="L860" s="3">
        <v>0</v>
      </c>
      <c r="M860" s="3">
        <v>12780200</v>
      </c>
      <c r="N860" s="3">
        <v>0</v>
      </c>
      <c r="O860" s="3">
        <v>0</v>
      </c>
      <c r="P860" s="3">
        <v>0</v>
      </c>
      <c r="Q860" s="3">
        <v>0</v>
      </c>
      <c r="R860" s="3">
        <v>-880900</v>
      </c>
      <c r="S860" s="3">
        <v>0</v>
      </c>
      <c r="T860" s="3">
        <v>0</v>
      </c>
      <c r="U860" s="3">
        <v>0</v>
      </c>
      <c r="V860" s="3">
        <v>2019</v>
      </c>
      <c r="W860" s="3">
        <v>6852800</v>
      </c>
      <c r="X860" s="3">
        <v>11899300</v>
      </c>
      <c r="Y860" s="3">
        <v>5046500</v>
      </c>
      <c r="Z860" s="3">
        <v>11829400</v>
      </c>
      <c r="AA860" s="3">
        <v>69900</v>
      </c>
      <c r="AB860" s="3">
        <v>1</v>
      </c>
    </row>
    <row r="861" spans="1:28" x14ac:dyDescent="0.35">
      <c r="A861">
        <v>2022</v>
      </c>
      <c r="B861" t="str">
        <f t="shared" si="107"/>
        <v>44</v>
      </c>
      <c r="C861" t="s">
        <v>300</v>
      </c>
      <c r="D861" t="s">
        <v>35</v>
      </c>
      <c r="E861" t="str">
        <f t="shared" si="111"/>
        <v>241</v>
      </c>
      <c r="F861" t="s">
        <v>308</v>
      </c>
      <c r="G861" t="str">
        <f>"011"</f>
        <v>011</v>
      </c>
      <c r="H861" t="str">
        <f t="shared" si="112"/>
        <v>2758</v>
      </c>
      <c r="I861" s="3">
        <v>4274600</v>
      </c>
      <c r="J861" s="3">
        <v>93.95</v>
      </c>
      <c r="K861" s="3">
        <v>4549900</v>
      </c>
      <c r="L861" s="3">
        <v>0</v>
      </c>
      <c r="M861" s="3">
        <v>4549900</v>
      </c>
      <c r="N861" s="3">
        <v>14678800</v>
      </c>
      <c r="O861" s="3">
        <v>14678800</v>
      </c>
      <c r="P861" s="3">
        <v>596000</v>
      </c>
      <c r="Q861" s="3">
        <v>596000</v>
      </c>
      <c r="R861" s="3">
        <v>0</v>
      </c>
      <c r="S861" s="3">
        <v>0</v>
      </c>
      <c r="T861" s="3">
        <v>0</v>
      </c>
      <c r="U861" s="3">
        <v>0</v>
      </c>
      <c r="V861" s="3">
        <v>2021</v>
      </c>
      <c r="W861" s="3">
        <v>15177700</v>
      </c>
      <c r="X861" s="3">
        <v>19824700</v>
      </c>
      <c r="Y861" s="3">
        <v>4647000</v>
      </c>
      <c r="Z861" s="3">
        <v>15177700</v>
      </c>
      <c r="AA861" s="3">
        <v>4647000</v>
      </c>
      <c r="AB861" s="3">
        <v>31</v>
      </c>
    </row>
    <row r="862" spans="1:28" x14ac:dyDescent="0.35">
      <c r="A862">
        <v>2022</v>
      </c>
      <c r="B862" t="str">
        <f t="shared" si="107"/>
        <v>44</v>
      </c>
      <c r="C862" t="s">
        <v>300</v>
      </c>
      <c r="D862" t="s">
        <v>35</v>
      </c>
      <c r="E862" t="str">
        <f>"281"</f>
        <v>281</v>
      </c>
      <c r="F862" t="s">
        <v>309</v>
      </c>
      <c r="G862" t="str">
        <f>"003"</f>
        <v>003</v>
      </c>
      <c r="H862" t="str">
        <f>"5138"</f>
        <v>5138</v>
      </c>
      <c r="I862" s="3">
        <v>17967900</v>
      </c>
      <c r="J862" s="3">
        <v>69.150000000000006</v>
      </c>
      <c r="K862" s="3">
        <v>25983900</v>
      </c>
      <c r="L862" s="3">
        <v>0</v>
      </c>
      <c r="M862" s="3">
        <v>25983900</v>
      </c>
      <c r="N862" s="3">
        <v>4832000</v>
      </c>
      <c r="O862" s="3">
        <v>4832000</v>
      </c>
      <c r="P862" s="3">
        <v>388900</v>
      </c>
      <c r="Q862" s="3">
        <v>388900</v>
      </c>
      <c r="R862" s="3">
        <v>5300</v>
      </c>
      <c r="S862" s="3">
        <v>0</v>
      </c>
      <c r="T862" s="3">
        <v>0</v>
      </c>
      <c r="U862" s="3">
        <v>0</v>
      </c>
      <c r="V862" s="3">
        <v>2001</v>
      </c>
      <c r="W862" s="3">
        <v>4829900</v>
      </c>
      <c r="X862" s="3">
        <v>31210100</v>
      </c>
      <c r="Y862" s="3">
        <v>26380200</v>
      </c>
      <c r="Z862" s="3">
        <v>26765800</v>
      </c>
      <c r="AA862" s="3">
        <v>4444300</v>
      </c>
      <c r="AB862" s="3">
        <v>17</v>
      </c>
    </row>
    <row r="863" spans="1:28" x14ac:dyDescent="0.35">
      <c r="A863">
        <v>2022</v>
      </c>
      <c r="B863" t="str">
        <f t="shared" si="107"/>
        <v>44</v>
      </c>
      <c r="C863" t="s">
        <v>300</v>
      </c>
      <c r="D863" t="s">
        <v>35</v>
      </c>
      <c r="E863" t="str">
        <f>"281"</f>
        <v>281</v>
      </c>
      <c r="F863" t="s">
        <v>309</v>
      </c>
      <c r="G863" t="str">
        <f>"004"</f>
        <v>004</v>
      </c>
      <c r="H863" t="str">
        <f>"5138"</f>
        <v>5138</v>
      </c>
      <c r="I863" s="3">
        <v>8700800</v>
      </c>
      <c r="J863" s="3">
        <v>69.150000000000006</v>
      </c>
      <c r="K863" s="3">
        <v>12582500</v>
      </c>
      <c r="L863" s="3">
        <v>0</v>
      </c>
      <c r="M863" s="3">
        <v>12582500</v>
      </c>
      <c r="N863" s="3">
        <v>0</v>
      </c>
      <c r="O863" s="3">
        <v>0</v>
      </c>
      <c r="P863" s="3">
        <v>0</v>
      </c>
      <c r="Q863" s="3">
        <v>0</v>
      </c>
      <c r="R863" s="3">
        <v>2600</v>
      </c>
      <c r="S863" s="3">
        <v>0</v>
      </c>
      <c r="T863" s="3">
        <v>0</v>
      </c>
      <c r="U863" s="3">
        <v>0</v>
      </c>
      <c r="V863" s="3">
        <v>2011</v>
      </c>
      <c r="W863" s="3">
        <v>5657100</v>
      </c>
      <c r="X863" s="3">
        <v>12585100</v>
      </c>
      <c r="Y863" s="3">
        <v>6928000</v>
      </c>
      <c r="Z863" s="3">
        <v>10821400</v>
      </c>
      <c r="AA863" s="3">
        <v>1763700</v>
      </c>
      <c r="AB863" s="3">
        <v>16</v>
      </c>
    </row>
    <row r="864" spans="1:28" x14ac:dyDescent="0.35">
      <c r="A864">
        <v>2022</v>
      </c>
      <c r="B864" t="str">
        <f t="shared" ref="B864:B881" si="113">"45"</f>
        <v>45</v>
      </c>
      <c r="C864" t="s">
        <v>310</v>
      </c>
      <c r="D864" t="s">
        <v>33</v>
      </c>
      <c r="E864" t="str">
        <f>"106"</f>
        <v>106</v>
      </c>
      <c r="F864" t="s">
        <v>311</v>
      </c>
      <c r="G864" t="str">
        <f>"004"</f>
        <v>004</v>
      </c>
      <c r="H864" t="str">
        <f>"1029"</f>
        <v>1029</v>
      </c>
      <c r="I864" s="3">
        <v>40568200</v>
      </c>
      <c r="J864" s="3">
        <v>74.400000000000006</v>
      </c>
      <c r="K864" s="3">
        <v>54527200</v>
      </c>
      <c r="L864" s="3">
        <v>0</v>
      </c>
      <c r="M864" s="3">
        <v>54527200</v>
      </c>
      <c r="N864" s="3">
        <v>3608100</v>
      </c>
      <c r="O864" s="3">
        <v>3608100</v>
      </c>
      <c r="P864" s="3">
        <v>251800</v>
      </c>
      <c r="Q864" s="3">
        <v>251800</v>
      </c>
      <c r="R864" s="3">
        <v>38100</v>
      </c>
      <c r="S864" s="3">
        <v>0</v>
      </c>
      <c r="T864" s="3">
        <v>0</v>
      </c>
      <c r="U864" s="3">
        <v>0</v>
      </c>
      <c r="V864" s="3">
        <v>1995</v>
      </c>
      <c r="W864" s="3">
        <v>424900</v>
      </c>
      <c r="X864" s="3">
        <v>58425200</v>
      </c>
      <c r="Y864" s="3">
        <v>58000300</v>
      </c>
      <c r="Z864" s="3">
        <v>50404800</v>
      </c>
      <c r="AA864" s="3">
        <v>8020400</v>
      </c>
      <c r="AB864" s="3">
        <v>16</v>
      </c>
    </row>
    <row r="865" spans="1:28" x14ac:dyDescent="0.35">
      <c r="A865">
        <v>2022</v>
      </c>
      <c r="B865" t="str">
        <f t="shared" si="113"/>
        <v>45</v>
      </c>
      <c r="C865" t="s">
        <v>310</v>
      </c>
      <c r="D865" t="s">
        <v>33</v>
      </c>
      <c r="E865" t="str">
        <f>"126"</f>
        <v>126</v>
      </c>
      <c r="F865" t="s">
        <v>312</v>
      </c>
      <c r="G865" t="str">
        <f>"003"</f>
        <v>003</v>
      </c>
      <c r="H865" t="str">
        <f>"1945"</f>
        <v>1945</v>
      </c>
      <c r="I865" s="3">
        <v>456800</v>
      </c>
      <c r="J865" s="3">
        <v>75.72</v>
      </c>
      <c r="K865" s="3">
        <v>603300</v>
      </c>
      <c r="L865" s="3">
        <v>0</v>
      </c>
      <c r="M865" s="3">
        <v>603300</v>
      </c>
      <c r="N865" s="3">
        <v>2413800</v>
      </c>
      <c r="O865" s="3">
        <v>2413800</v>
      </c>
      <c r="P865" s="3">
        <v>656300</v>
      </c>
      <c r="Q865" s="3">
        <v>656300</v>
      </c>
      <c r="R865" s="3">
        <v>0</v>
      </c>
      <c r="S865" s="3">
        <v>0</v>
      </c>
      <c r="T865" s="3">
        <v>0</v>
      </c>
      <c r="U865" s="3">
        <v>0</v>
      </c>
      <c r="V865" s="3">
        <v>2021</v>
      </c>
      <c r="W865" s="3">
        <v>2892000</v>
      </c>
      <c r="X865" s="3">
        <v>3673400</v>
      </c>
      <c r="Y865" s="3">
        <v>781400</v>
      </c>
      <c r="Z865" s="3">
        <v>2892000</v>
      </c>
      <c r="AA865" s="3">
        <v>781400</v>
      </c>
      <c r="AB865" s="3">
        <v>27</v>
      </c>
    </row>
    <row r="866" spans="1:28" x14ac:dyDescent="0.35">
      <c r="A866">
        <v>2022</v>
      </c>
      <c r="B866" t="str">
        <f t="shared" si="113"/>
        <v>45</v>
      </c>
      <c r="C866" t="s">
        <v>310</v>
      </c>
      <c r="D866" t="s">
        <v>33</v>
      </c>
      <c r="E866" t="str">
        <f>"131"</f>
        <v>131</v>
      </c>
      <c r="F866" t="s">
        <v>313</v>
      </c>
      <c r="G866" t="str">
        <f>"003"</f>
        <v>003</v>
      </c>
      <c r="H866" t="str">
        <f>"2217"</f>
        <v>2217</v>
      </c>
      <c r="I866" s="3">
        <v>75906800</v>
      </c>
      <c r="J866" s="3">
        <v>88.82</v>
      </c>
      <c r="K866" s="3">
        <v>85461400</v>
      </c>
      <c r="L866" s="3">
        <v>0</v>
      </c>
      <c r="M866" s="3">
        <v>85461400</v>
      </c>
      <c r="N866" s="3">
        <v>85200</v>
      </c>
      <c r="O866" s="3">
        <v>85200</v>
      </c>
      <c r="P866" s="3">
        <v>29200</v>
      </c>
      <c r="Q866" s="3">
        <v>29200</v>
      </c>
      <c r="R866" s="3">
        <v>-102800</v>
      </c>
      <c r="S866" s="3">
        <v>0</v>
      </c>
      <c r="T866" s="3">
        <v>0</v>
      </c>
      <c r="U866" s="3">
        <v>0</v>
      </c>
      <c r="V866" s="3">
        <v>1999</v>
      </c>
      <c r="W866" s="3">
        <v>21039900</v>
      </c>
      <c r="X866" s="3">
        <v>85473000</v>
      </c>
      <c r="Y866" s="3">
        <v>64433100</v>
      </c>
      <c r="Z866" s="3">
        <v>82514200</v>
      </c>
      <c r="AA866" s="3">
        <v>2958800</v>
      </c>
      <c r="AB866" s="3">
        <v>4</v>
      </c>
    </row>
    <row r="867" spans="1:28" x14ac:dyDescent="0.35">
      <c r="A867">
        <v>2022</v>
      </c>
      <c r="B867" t="str">
        <f t="shared" si="113"/>
        <v>45</v>
      </c>
      <c r="C867" t="s">
        <v>310</v>
      </c>
      <c r="D867" t="s">
        <v>33</v>
      </c>
      <c r="E867" t="str">
        <f>"131"</f>
        <v>131</v>
      </c>
      <c r="F867" t="s">
        <v>313</v>
      </c>
      <c r="G867" t="str">
        <f>"004"</f>
        <v>004</v>
      </c>
      <c r="H867" t="str">
        <f>"2217"</f>
        <v>2217</v>
      </c>
      <c r="I867" s="3">
        <v>89911000</v>
      </c>
      <c r="J867" s="3">
        <v>88.82</v>
      </c>
      <c r="K867" s="3">
        <v>101228300</v>
      </c>
      <c r="L867" s="3">
        <v>0</v>
      </c>
      <c r="M867" s="3">
        <v>101228300</v>
      </c>
      <c r="N867" s="3">
        <v>1861100</v>
      </c>
      <c r="O867" s="3">
        <v>1861100</v>
      </c>
      <c r="P867" s="3">
        <v>43900</v>
      </c>
      <c r="Q867" s="3">
        <v>43900</v>
      </c>
      <c r="R867" s="3">
        <v>-123500</v>
      </c>
      <c r="S867" s="3">
        <v>0</v>
      </c>
      <c r="T867" s="3">
        <v>0</v>
      </c>
      <c r="U867" s="3">
        <v>0</v>
      </c>
      <c r="V867" s="3">
        <v>2004</v>
      </c>
      <c r="W867" s="3">
        <v>47847400</v>
      </c>
      <c r="X867" s="3">
        <v>103009800</v>
      </c>
      <c r="Y867" s="3">
        <v>55162400</v>
      </c>
      <c r="Z867" s="3">
        <v>102230100</v>
      </c>
      <c r="AA867" s="3">
        <v>779700</v>
      </c>
      <c r="AB867" s="3">
        <v>1</v>
      </c>
    </row>
    <row r="868" spans="1:28" x14ac:dyDescent="0.35">
      <c r="A868">
        <v>2022</v>
      </c>
      <c r="B868" t="str">
        <f t="shared" si="113"/>
        <v>45</v>
      </c>
      <c r="C868" t="s">
        <v>310</v>
      </c>
      <c r="D868" t="s">
        <v>33</v>
      </c>
      <c r="E868" t="str">
        <f>"131"</f>
        <v>131</v>
      </c>
      <c r="F868" t="s">
        <v>313</v>
      </c>
      <c r="G868" t="str">
        <f>"005"</f>
        <v>005</v>
      </c>
      <c r="H868" t="str">
        <f>"2217"</f>
        <v>2217</v>
      </c>
      <c r="I868" s="3">
        <v>51791900</v>
      </c>
      <c r="J868" s="3">
        <v>88.82</v>
      </c>
      <c r="K868" s="3">
        <v>58311100</v>
      </c>
      <c r="L868" s="3">
        <v>0</v>
      </c>
      <c r="M868" s="3">
        <v>58311100</v>
      </c>
      <c r="N868" s="3">
        <v>0</v>
      </c>
      <c r="O868" s="3">
        <v>0</v>
      </c>
      <c r="P868" s="3">
        <v>0</v>
      </c>
      <c r="Q868" s="3">
        <v>0</v>
      </c>
      <c r="R868" s="3">
        <v>-413900</v>
      </c>
      <c r="S868" s="3">
        <v>0</v>
      </c>
      <c r="T868" s="3">
        <v>0</v>
      </c>
      <c r="U868" s="3">
        <v>0</v>
      </c>
      <c r="V868" s="3">
        <v>2006</v>
      </c>
      <c r="W868" s="3">
        <v>493500</v>
      </c>
      <c r="X868" s="3">
        <v>57897200</v>
      </c>
      <c r="Y868" s="3">
        <v>57403700</v>
      </c>
      <c r="Z868" s="3">
        <v>54826000</v>
      </c>
      <c r="AA868" s="3">
        <v>3071200</v>
      </c>
      <c r="AB868" s="3">
        <v>6</v>
      </c>
    </row>
    <row r="869" spans="1:28" x14ac:dyDescent="0.35">
      <c r="A869">
        <v>2022</v>
      </c>
      <c r="B869" t="str">
        <f t="shared" si="113"/>
        <v>45</v>
      </c>
      <c r="C869" t="s">
        <v>310</v>
      </c>
      <c r="D869" t="s">
        <v>33</v>
      </c>
      <c r="E869" t="str">
        <f>"181"</f>
        <v>181</v>
      </c>
      <c r="F869" t="s">
        <v>314</v>
      </c>
      <c r="G869" t="str">
        <f>"004"</f>
        <v>004</v>
      </c>
      <c r="H869" t="str">
        <f>"4515"</f>
        <v>4515</v>
      </c>
      <c r="I869" s="3">
        <v>7614800</v>
      </c>
      <c r="J869" s="3">
        <v>87.1</v>
      </c>
      <c r="K869" s="3">
        <v>8742600</v>
      </c>
      <c r="L869" s="3">
        <v>0</v>
      </c>
      <c r="M869" s="3">
        <v>8742600</v>
      </c>
      <c r="N869" s="3">
        <v>0</v>
      </c>
      <c r="O869" s="3">
        <v>0</v>
      </c>
      <c r="P869" s="3">
        <v>0</v>
      </c>
      <c r="Q869" s="3">
        <v>0</v>
      </c>
      <c r="R869" s="3">
        <v>-1297300</v>
      </c>
      <c r="S869" s="3">
        <v>0</v>
      </c>
      <c r="T869" s="3">
        <v>0</v>
      </c>
      <c r="U869" s="3">
        <v>0</v>
      </c>
      <c r="V869" s="3">
        <v>2006</v>
      </c>
      <c r="W869" s="3">
        <v>1600100</v>
      </c>
      <c r="X869" s="3">
        <v>7445300</v>
      </c>
      <c r="Y869" s="3">
        <v>5845200</v>
      </c>
      <c r="Z869" s="3">
        <v>9440300</v>
      </c>
      <c r="AA869" s="3">
        <v>-1995000</v>
      </c>
      <c r="AB869" s="3">
        <v>-21</v>
      </c>
    </row>
    <row r="870" spans="1:28" x14ac:dyDescent="0.35">
      <c r="A870">
        <v>2022</v>
      </c>
      <c r="B870" t="str">
        <f t="shared" si="113"/>
        <v>45</v>
      </c>
      <c r="C870" t="s">
        <v>310</v>
      </c>
      <c r="D870" t="s">
        <v>33</v>
      </c>
      <c r="E870" t="str">
        <f>"186"</f>
        <v>186</v>
      </c>
      <c r="F870" t="s">
        <v>315</v>
      </c>
      <c r="G870" t="str">
        <f>"002"</f>
        <v>002</v>
      </c>
      <c r="H870" t="str">
        <f>"3479"</f>
        <v>3479</v>
      </c>
      <c r="I870" s="3">
        <v>9947000</v>
      </c>
      <c r="J870" s="3">
        <v>73.430000000000007</v>
      </c>
      <c r="K870" s="3">
        <v>13546200</v>
      </c>
      <c r="L870" s="3">
        <v>0</v>
      </c>
      <c r="M870" s="3">
        <v>13546200</v>
      </c>
      <c r="N870" s="3">
        <v>0</v>
      </c>
      <c r="O870" s="3">
        <v>0</v>
      </c>
      <c r="P870" s="3">
        <v>0</v>
      </c>
      <c r="Q870" s="3">
        <v>0</v>
      </c>
      <c r="R870" s="3">
        <v>9700</v>
      </c>
      <c r="S870" s="3">
        <v>0</v>
      </c>
      <c r="T870" s="3">
        <v>0</v>
      </c>
      <c r="U870" s="3">
        <v>0</v>
      </c>
      <c r="V870" s="3">
        <v>2020</v>
      </c>
      <c r="W870" s="3">
        <v>13053400</v>
      </c>
      <c r="X870" s="3">
        <v>13555900</v>
      </c>
      <c r="Y870" s="3">
        <v>502500</v>
      </c>
      <c r="Z870" s="3">
        <v>12866600</v>
      </c>
      <c r="AA870" s="3">
        <v>689300</v>
      </c>
      <c r="AB870" s="3">
        <v>5</v>
      </c>
    </row>
    <row r="871" spans="1:28" x14ac:dyDescent="0.35">
      <c r="A871">
        <v>2022</v>
      </c>
      <c r="B871" t="str">
        <f t="shared" si="113"/>
        <v>45</v>
      </c>
      <c r="C871" t="s">
        <v>310</v>
      </c>
      <c r="D871" t="s">
        <v>35</v>
      </c>
      <c r="E871" t="str">
        <f>"211"</f>
        <v>211</v>
      </c>
      <c r="F871" t="s">
        <v>316</v>
      </c>
      <c r="G871" t="str">
        <f>"003"</f>
        <v>003</v>
      </c>
      <c r="H871" t="str">
        <f>"1015"</f>
        <v>1015</v>
      </c>
      <c r="I871" s="3">
        <v>992500</v>
      </c>
      <c r="J871" s="3">
        <v>100</v>
      </c>
      <c r="K871" s="3">
        <v>992500</v>
      </c>
      <c r="L871" s="3">
        <v>0</v>
      </c>
      <c r="M871" s="3">
        <v>992500</v>
      </c>
      <c r="N871" s="3">
        <v>0</v>
      </c>
      <c r="O871" s="3">
        <v>0</v>
      </c>
      <c r="P871" s="3">
        <v>0</v>
      </c>
      <c r="Q871" s="3">
        <v>0</v>
      </c>
      <c r="R871" s="3">
        <v>-200</v>
      </c>
      <c r="S871" s="3">
        <v>0</v>
      </c>
      <c r="T871" s="3">
        <v>0</v>
      </c>
      <c r="U871" s="3">
        <v>0</v>
      </c>
      <c r="V871" s="3">
        <v>2015</v>
      </c>
      <c r="W871" s="3">
        <v>282500</v>
      </c>
      <c r="X871" s="3">
        <v>992300</v>
      </c>
      <c r="Y871" s="3">
        <v>709800</v>
      </c>
      <c r="Z871" s="3">
        <v>779200</v>
      </c>
      <c r="AA871" s="3">
        <v>213100</v>
      </c>
      <c r="AB871" s="3">
        <v>27</v>
      </c>
    </row>
    <row r="872" spans="1:28" x14ac:dyDescent="0.35">
      <c r="A872">
        <v>2022</v>
      </c>
      <c r="B872" t="str">
        <f t="shared" si="113"/>
        <v>45</v>
      </c>
      <c r="C872" t="s">
        <v>310</v>
      </c>
      <c r="D872" t="s">
        <v>35</v>
      </c>
      <c r="E872" t="str">
        <f>"211"</f>
        <v>211</v>
      </c>
      <c r="F872" t="s">
        <v>316</v>
      </c>
      <c r="G872" t="str">
        <f>"004"</f>
        <v>004</v>
      </c>
      <c r="H872" t="str">
        <f>"1015"</f>
        <v>1015</v>
      </c>
      <c r="I872" s="3">
        <v>275400</v>
      </c>
      <c r="J872" s="3">
        <v>100</v>
      </c>
      <c r="K872" s="3">
        <v>275400</v>
      </c>
      <c r="L872" s="3">
        <v>0</v>
      </c>
      <c r="M872" s="3">
        <v>275400</v>
      </c>
      <c r="N872" s="3">
        <v>0</v>
      </c>
      <c r="O872" s="3">
        <v>0</v>
      </c>
      <c r="P872" s="3">
        <v>0</v>
      </c>
      <c r="Q872" s="3">
        <v>0</v>
      </c>
      <c r="R872" s="3">
        <v>-100</v>
      </c>
      <c r="S872" s="3">
        <v>0</v>
      </c>
      <c r="T872" s="3">
        <v>0</v>
      </c>
      <c r="U872" s="3">
        <v>0</v>
      </c>
      <c r="V872" s="3">
        <v>2018</v>
      </c>
      <c r="W872" s="3">
        <v>600</v>
      </c>
      <c r="X872" s="3">
        <v>275300</v>
      </c>
      <c r="Y872" s="3">
        <v>274700</v>
      </c>
      <c r="Z872" s="3">
        <v>334200</v>
      </c>
      <c r="AA872" s="3">
        <v>-58900</v>
      </c>
      <c r="AB872" s="3">
        <v>-18</v>
      </c>
    </row>
    <row r="873" spans="1:28" x14ac:dyDescent="0.35">
      <c r="A873">
        <v>2022</v>
      </c>
      <c r="B873" t="str">
        <f t="shared" si="113"/>
        <v>45</v>
      </c>
      <c r="C873" t="s">
        <v>310</v>
      </c>
      <c r="D873" t="s">
        <v>35</v>
      </c>
      <c r="E873" t="str">
        <f>"211"</f>
        <v>211</v>
      </c>
      <c r="F873" t="s">
        <v>316</v>
      </c>
      <c r="G873" t="str">
        <f>"005"</f>
        <v>005</v>
      </c>
      <c r="H873" t="str">
        <f>"1015"</f>
        <v>1015</v>
      </c>
      <c r="I873" s="3">
        <v>12975800</v>
      </c>
      <c r="J873" s="3">
        <v>100</v>
      </c>
      <c r="K873" s="3">
        <v>12975800</v>
      </c>
      <c r="L873" s="3">
        <v>0</v>
      </c>
      <c r="M873" s="3">
        <v>12975800</v>
      </c>
      <c r="N873" s="3">
        <v>0</v>
      </c>
      <c r="O873" s="3">
        <v>0</v>
      </c>
      <c r="P873" s="3">
        <v>0</v>
      </c>
      <c r="Q873" s="3">
        <v>0</v>
      </c>
      <c r="R873" s="3">
        <v>-3600</v>
      </c>
      <c r="S873" s="3">
        <v>0</v>
      </c>
      <c r="T873" s="3">
        <v>0</v>
      </c>
      <c r="U873" s="3">
        <v>0</v>
      </c>
      <c r="V873" s="3">
        <v>2018</v>
      </c>
      <c r="W873" s="3">
        <v>934200</v>
      </c>
      <c r="X873" s="3">
        <v>12972200</v>
      </c>
      <c r="Y873" s="3">
        <v>12038000</v>
      </c>
      <c r="Z873" s="3">
        <v>14880800</v>
      </c>
      <c r="AA873" s="3">
        <v>-1908600</v>
      </c>
      <c r="AB873" s="3">
        <v>-13</v>
      </c>
    </row>
    <row r="874" spans="1:28" x14ac:dyDescent="0.35">
      <c r="A874">
        <v>2022</v>
      </c>
      <c r="B874" t="str">
        <f t="shared" si="113"/>
        <v>45</v>
      </c>
      <c r="C874" t="s">
        <v>310</v>
      </c>
      <c r="D874" t="s">
        <v>35</v>
      </c>
      <c r="E874" t="str">
        <f>"211"</f>
        <v>211</v>
      </c>
      <c r="F874" t="s">
        <v>316</v>
      </c>
      <c r="G874" t="str">
        <f>"006"</f>
        <v>006</v>
      </c>
      <c r="H874" t="str">
        <f>"1015"</f>
        <v>1015</v>
      </c>
      <c r="I874" s="3">
        <v>17745800</v>
      </c>
      <c r="J874" s="3">
        <v>100</v>
      </c>
      <c r="K874" s="3">
        <v>17745800</v>
      </c>
      <c r="L874" s="3">
        <v>0</v>
      </c>
      <c r="M874" s="3">
        <v>17745800</v>
      </c>
      <c r="N874" s="3">
        <v>0</v>
      </c>
      <c r="O874" s="3">
        <v>0</v>
      </c>
      <c r="P874" s="3">
        <v>0</v>
      </c>
      <c r="Q874" s="3">
        <v>0</v>
      </c>
      <c r="R874" s="3">
        <v>-300</v>
      </c>
      <c r="S874" s="3">
        <v>0</v>
      </c>
      <c r="T874" s="3">
        <v>0</v>
      </c>
      <c r="U874" s="3">
        <v>0</v>
      </c>
      <c r="V874" s="3">
        <v>2020</v>
      </c>
      <c r="W874" s="3">
        <v>0</v>
      </c>
      <c r="X874" s="3">
        <v>17745500</v>
      </c>
      <c r="Y874" s="3">
        <v>17745500</v>
      </c>
      <c r="Z874" s="3">
        <v>1315100</v>
      </c>
      <c r="AA874" s="3">
        <v>16430400</v>
      </c>
      <c r="AB874" s="3">
        <v>1249</v>
      </c>
    </row>
    <row r="875" spans="1:28" x14ac:dyDescent="0.35">
      <c r="A875">
        <v>2022</v>
      </c>
      <c r="B875" t="str">
        <f t="shared" si="113"/>
        <v>45</v>
      </c>
      <c r="C875" t="s">
        <v>310</v>
      </c>
      <c r="D875" t="s">
        <v>35</v>
      </c>
      <c r="E875" t="str">
        <f>"255"</f>
        <v>255</v>
      </c>
      <c r="F875" t="s">
        <v>317</v>
      </c>
      <c r="G875" t="str">
        <f>"002"</f>
        <v>002</v>
      </c>
      <c r="H875" t="str">
        <f>"3479"</f>
        <v>3479</v>
      </c>
      <c r="I875" s="3">
        <v>22776100</v>
      </c>
      <c r="J875" s="3">
        <v>91.68</v>
      </c>
      <c r="K875" s="3">
        <v>24843000</v>
      </c>
      <c r="L875" s="3">
        <v>0</v>
      </c>
      <c r="M875" s="3">
        <v>24843000</v>
      </c>
      <c r="N875" s="3">
        <v>6067200</v>
      </c>
      <c r="O875" s="3">
        <v>6067200</v>
      </c>
      <c r="P875" s="3">
        <v>276900</v>
      </c>
      <c r="Q875" s="3">
        <v>276900</v>
      </c>
      <c r="R875" s="3">
        <v>-167500</v>
      </c>
      <c r="S875" s="3">
        <v>0</v>
      </c>
      <c r="T875" s="3">
        <v>0</v>
      </c>
      <c r="U875" s="3">
        <v>0</v>
      </c>
      <c r="V875" s="3">
        <v>2002</v>
      </c>
      <c r="W875" s="3">
        <v>5911600</v>
      </c>
      <c r="X875" s="3">
        <v>31019600</v>
      </c>
      <c r="Y875" s="3">
        <v>25108000</v>
      </c>
      <c r="Z875" s="3">
        <v>26828100</v>
      </c>
      <c r="AA875" s="3">
        <v>4191500</v>
      </c>
      <c r="AB875" s="3">
        <v>16</v>
      </c>
    </row>
    <row r="876" spans="1:28" x14ac:dyDescent="0.35">
      <c r="A876">
        <v>2022</v>
      </c>
      <c r="B876" t="str">
        <f t="shared" si="113"/>
        <v>45</v>
      </c>
      <c r="C876" t="s">
        <v>310</v>
      </c>
      <c r="D876" t="s">
        <v>35</v>
      </c>
      <c r="E876" t="str">
        <f>"255"</f>
        <v>255</v>
      </c>
      <c r="F876" t="s">
        <v>317</v>
      </c>
      <c r="G876" t="str">
        <f>"003"</f>
        <v>003</v>
      </c>
      <c r="H876" t="str">
        <f>"3479"</f>
        <v>3479</v>
      </c>
      <c r="I876" s="3">
        <v>187095600</v>
      </c>
      <c r="J876" s="3">
        <v>91.68</v>
      </c>
      <c r="K876" s="3">
        <v>204074600</v>
      </c>
      <c r="L876" s="3">
        <v>0</v>
      </c>
      <c r="M876" s="3">
        <v>204074600</v>
      </c>
      <c r="N876" s="3">
        <v>0</v>
      </c>
      <c r="O876" s="3">
        <v>0</v>
      </c>
      <c r="P876" s="3">
        <v>0</v>
      </c>
      <c r="Q876" s="3">
        <v>0</v>
      </c>
      <c r="R876" s="3">
        <v>-5052100</v>
      </c>
      <c r="S876" s="3">
        <v>0</v>
      </c>
      <c r="T876" s="3">
        <v>0</v>
      </c>
      <c r="U876" s="3">
        <v>0</v>
      </c>
      <c r="V876" s="3">
        <v>2008</v>
      </c>
      <c r="W876" s="3">
        <v>41330300</v>
      </c>
      <c r="X876" s="3">
        <v>199022500</v>
      </c>
      <c r="Y876" s="3">
        <v>157692200</v>
      </c>
      <c r="Z876" s="3">
        <v>164183700</v>
      </c>
      <c r="AA876" s="3">
        <v>34838800</v>
      </c>
      <c r="AB876" s="3">
        <v>21</v>
      </c>
    </row>
    <row r="877" spans="1:28" x14ac:dyDescent="0.35">
      <c r="A877">
        <v>2022</v>
      </c>
      <c r="B877" t="str">
        <f t="shared" si="113"/>
        <v>45</v>
      </c>
      <c r="C877" t="s">
        <v>310</v>
      </c>
      <c r="D877" t="s">
        <v>35</v>
      </c>
      <c r="E877" t="str">
        <f>"255"</f>
        <v>255</v>
      </c>
      <c r="F877" t="s">
        <v>317</v>
      </c>
      <c r="G877" t="str">
        <f>"004"</f>
        <v>004</v>
      </c>
      <c r="H877" t="str">
        <f>"3479"</f>
        <v>3479</v>
      </c>
      <c r="I877" s="3">
        <v>52482300</v>
      </c>
      <c r="J877" s="3">
        <v>91.68</v>
      </c>
      <c r="K877" s="3">
        <v>57245100</v>
      </c>
      <c r="L877" s="3">
        <v>0</v>
      </c>
      <c r="M877" s="3">
        <v>57245100</v>
      </c>
      <c r="N877" s="3">
        <v>0</v>
      </c>
      <c r="O877" s="3">
        <v>0</v>
      </c>
      <c r="P877" s="3">
        <v>0</v>
      </c>
      <c r="Q877" s="3">
        <v>0</v>
      </c>
      <c r="R877" s="3">
        <v>-669400</v>
      </c>
      <c r="S877" s="3">
        <v>0</v>
      </c>
      <c r="T877" s="3">
        <v>0</v>
      </c>
      <c r="U877" s="3">
        <v>0</v>
      </c>
      <c r="V877" s="3">
        <v>2012</v>
      </c>
      <c r="W877" s="3">
        <v>41872200</v>
      </c>
      <c r="X877" s="3">
        <v>56575700</v>
      </c>
      <c r="Y877" s="3">
        <v>14703500</v>
      </c>
      <c r="Z877" s="3">
        <v>52007400</v>
      </c>
      <c r="AA877" s="3">
        <v>4568300</v>
      </c>
      <c r="AB877" s="3">
        <v>9</v>
      </c>
    </row>
    <row r="878" spans="1:28" x14ac:dyDescent="0.35">
      <c r="A878">
        <v>2022</v>
      </c>
      <c r="B878" t="str">
        <f t="shared" si="113"/>
        <v>45</v>
      </c>
      <c r="C878" t="s">
        <v>310</v>
      </c>
      <c r="D878" t="s">
        <v>35</v>
      </c>
      <c r="E878" t="str">
        <f>"255"</f>
        <v>255</v>
      </c>
      <c r="F878" t="s">
        <v>317</v>
      </c>
      <c r="G878" t="str">
        <f>"005"</f>
        <v>005</v>
      </c>
      <c r="H878" t="str">
        <f>"3479"</f>
        <v>3479</v>
      </c>
      <c r="I878" s="3">
        <v>63407600</v>
      </c>
      <c r="J878" s="3">
        <v>91.68</v>
      </c>
      <c r="K878" s="3">
        <v>69161900</v>
      </c>
      <c r="L878" s="3">
        <v>0</v>
      </c>
      <c r="M878" s="3">
        <v>69161900</v>
      </c>
      <c r="N878" s="3">
        <v>0</v>
      </c>
      <c r="O878" s="3">
        <v>0</v>
      </c>
      <c r="P878" s="3">
        <v>400</v>
      </c>
      <c r="Q878" s="3">
        <v>400</v>
      </c>
      <c r="R878" s="3">
        <v>-4086100</v>
      </c>
      <c r="S878" s="3">
        <v>0</v>
      </c>
      <c r="T878" s="3">
        <v>0</v>
      </c>
      <c r="U878" s="3">
        <v>0</v>
      </c>
      <c r="V878" s="3">
        <v>2012</v>
      </c>
      <c r="W878" s="3">
        <v>51186900</v>
      </c>
      <c r="X878" s="3">
        <v>65076200</v>
      </c>
      <c r="Y878" s="3">
        <v>13889300</v>
      </c>
      <c r="Z878" s="3">
        <v>65694200</v>
      </c>
      <c r="AA878" s="3">
        <v>-618000</v>
      </c>
      <c r="AB878" s="3">
        <v>-1</v>
      </c>
    </row>
    <row r="879" spans="1:28" x14ac:dyDescent="0.35">
      <c r="A879">
        <v>2022</v>
      </c>
      <c r="B879" t="str">
        <f t="shared" si="113"/>
        <v>45</v>
      </c>
      <c r="C879" t="s">
        <v>310</v>
      </c>
      <c r="D879" t="s">
        <v>35</v>
      </c>
      <c r="E879" t="str">
        <f>"271"</f>
        <v>271</v>
      </c>
      <c r="F879" t="s">
        <v>318</v>
      </c>
      <c r="G879" t="str">
        <f>"002"</f>
        <v>002</v>
      </c>
      <c r="H879" t="str">
        <f>"4515"</f>
        <v>4515</v>
      </c>
      <c r="I879" s="3">
        <v>53687400</v>
      </c>
      <c r="J879" s="3">
        <v>93.17</v>
      </c>
      <c r="K879" s="3">
        <v>57623100</v>
      </c>
      <c r="L879" s="3">
        <v>0</v>
      </c>
      <c r="M879" s="3">
        <v>57623100</v>
      </c>
      <c r="N879" s="3">
        <v>435600</v>
      </c>
      <c r="O879" s="3">
        <v>435600</v>
      </c>
      <c r="P879" s="3">
        <v>17300</v>
      </c>
      <c r="Q879" s="3">
        <v>17300</v>
      </c>
      <c r="R879" s="3">
        <v>-1293900</v>
      </c>
      <c r="S879" s="3">
        <v>0</v>
      </c>
      <c r="T879" s="3">
        <v>0</v>
      </c>
      <c r="U879" s="3">
        <v>0</v>
      </c>
      <c r="V879" s="3">
        <v>2010</v>
      </c>
      <c r="W879" s="3">
        <v>14787800</v>
      </c>
      <c r="X879" s="3">
        <v>56782100</v>
      </c>
      <c r="Y879" s="3">
        <v>41994300</v>
      </c>
      <c r="Z879" s="3">
        <v>38270200</v>
      </c>
      <c r="AA879" s="3">
        <v>18511900</v>
      </c>
      <c r="AB879" s="3">
        <v>48</v>
      </c>
    </row>
    <row r="880" spans="1:28" x14ac:dyDescent="0.35">
      <c r="A880">
        <v>2022</v>
      </c>
      <c r="B880" t="str">
        <f t="shared" si="113"/>
        <v>45</v>
      </c>
      <c r="C880" t="s">
        <v>310</v>
      </c>
      <c r="D880" t="s">
        <v>35</v>
      </c>
      <c r="E880" t="str">
        <f>"271"</f>
        <v>271</v>
      </c>
      <c r="F880" t="s">
        <v>318</v>
      </c>
      <c r="G880" t="str">
        <f>"003"</f>
        <v>003</v>
      </c>
      <c r="H880" t="str">
        <f>"4515"</f>
        <v>4515</v>
      </c>
      <c r="I880" s="3">
        <v>7578600</v>
      </c>
      <c r="J880" s="3">
        <v>93.17</v>
      </c>
      <c r="K880" s="3">
        <v>8134200</v>
      </c>
      <c r="L880" s="3">
        <v>0</v>
      </c>
      <c r="M880" s="3">
        <v>8134200</v>
      </c>
      <c r="N880" s="3">
        <v>3741400</v>
      </c>
      <c r="O880" s="3">
        <v>3741400</v>
      </c>
      <c r="P880" s="3">
        <v>482600</v>
      </c>
      <c r="Q880" s="3">
        <v>482600</v>
      </c>
      <c r="R880" s="3">
        <v>-111000</v>
      </c>
      <c r="S880" s="3">
        <v>0</v>
      </c>
      <c r="T880" s="3">
        <v>0</v>
      </c>
      <c r="U880" s="3">
        <v>0</v>
      </c>
      <c r="V880" s="3">
        <v>2015</v>
      </c>
      <c r="W880" s="3">
        <v>8863600</v>
      </c>
      <c r="X880" s="3">
        <v>12247200</v>
      </c>
      <c r="Y880" s="3">
        <v>3383600</v>
      </c>
      <c r="Z880" s="3">
        <v>11473000</v>
      </c>
      <c r="AA880" s="3">
        <v>774200</v>
      </c>
      <c r="AB880" s="3">
        <v>7</v>
      </c>
    </row>
    <row r="881" spans="1:28" x14ac:dyDescent="0.35">
      <c r="A881">
        <v>2022</v>
      </c>
      <c r="B881" t="str">
        <f t="shared" si="113"/>
        <v>45</v>
      </c>
      <c r="C881" t="s">
        <v>310</v>
      </c>
      <c r="D881" t="s">
        <v>35</v>
      </c>
      <c r="E881" t="str">
        <f>"271"</f>
        <v>271</v>
      </c>
      <c r="F881" t="s">
        <v>318</v>
      </c>
      <c r="G881" t="str">
        <f>"004"</f>
        <v>004</v>
      </c>
      <c r="H881" t="str">
        <f>"4515"</f>
        <v>4515</v>
      </c>
      <c r="I881" s="3">
        <v>2924100</v>
      </c>
      <c r="J881" s="3">
        <v>93.17</v>
      </c>
      <c r="K881" s="3">
        <v>3138500</v>
      </c>
      <c r="L881" s="3">
        <v>0</v>
      </c>
      <c r="M881" s="3">
        <v>3138500</v>
      </c>
      <c r="N881" s="3">
        <v>0</v>
      </c>
      <c r="O881" s="3">
        <v>0</v>
      </c>
      <c r="P881" s="3">
        <v>0</v>
      </c>
      <c r="Q881" s="3">
        <v>0</v>
      </c>
      <c r="R881" s="3">
        <v>-430200</v>
      </c>
      <c r="S881" s="3">
        <v>0</v>
      </c>
      <c r="T881" s="3">
        <v>0</v>
      </c>
      <c r="U881" s="3">
        <v>0</v>
      </c>
      <c r="V881" s="3">
        <v>2020</v>
      </c>
      <c r="W881" s="3">
        <v>0</v>
      </c>
      <c r="X881" s="3">
        <v>2708300</v>
      </c>
      <c r="Y881" s="3">
        <v>2708300</v>
      </c>
      <c r="Z881" s="3">
        <v>2751200</v>
      </c>
      <c r="AA881" s="3">
        <v>-42900</v>
      </c>
      <c r="AB881" s="3">
        <v>-2</v>
      </c>
    </row>
    <row r="882" spans="1:28" x14ac:dyDescent="0.35">
      <c r="A882">
        <v>2022</v>
      </c>
      <c r="B882" t="str">
        <f t="shared" ref="B882:B887" si="114">"46"</f>
        <v>46</v>
      </c>
      <c r="C882" t="s">
        <v>319</v>
      </c>
      <c r="D882" t="s">
        <v>33</v>
      </c>
      <c r="E882" t="str">
        <f>"171"</f>
        <v>171</v>
      </c>
      <c r="F882" t="s">
        <v>319</v>
      </c>
      <c r="G882" t="str">
        <f>"003"</f>
        <v>003</v>
      </c>
      <c r="H882" t="str">
        <f>"4270"</f>
        <v>4270</v>
      </c>
      <c r="I882" s="3">
        <v>12313800</v>
      </c>
      <c r="J882" s="3">
        <v>80.86</v>
      </c>
      <c r="K882" s="3">
        <v>15228500</v>
      </c>
      <c r="L882" s="3">
        <v>0</v>
      </c>
      <c r="M882" s="3">
        <v>15228500</v>
      </c>
      <c r="N882" s="3">
        <v>0</v>
      </c>
      <c r="O882" s="3">
        <v>0</v>
      </c>
      <c r="P882" s="3">
        <v>0</v>
      </c>
      <c r="Q882" s="3">
        <v>0</v>
      </c>
      <c r="R882" s="3">
        <v>-23100</v>
      </c>
      <c r="S882" s="3">
        <v>0</v>
      </c>
      <c r="T882" s="3">
        <v>0</v>
      </c>
      <c r="U882" s="3">
        <v>963400</v>
      </c>
      <c r="V882" s="3">
        <v>2011</v>
      </c>
      <c r="W882" s="3">
        <v>4820700</v>
      </c>
      <c r="X882" s="3">
        <v>16168800</v>
      </c>
      <c r="Y882" s="3">
        <v>11348100</v>
      </c>
      <c r="Z882" s="3">
        <v>13209200</v>
      </c>
      <c r="AA882" s="3">
        <v>2959600</v>
      </c>
      <c r="AB882" s="3">
        <v>22</v>
      </c>
    </row>
    <row r="883" spans="1:28" x14ac:dyDescent="0.35">
      <c r="A883">
        <v>2022</v>
      </c>
      <c r="B883" t="str">
        <f t="shared" si="114"/>
        <v>46</v>
      </c>
      <c r="C883" t="s">
        <v>319</v>
      </c>
      <c r="D883" t="s">
        <v>33</v>
      </c>
      <c r="E883" t="str">
        <f>"171"</f>
        <v>171</v>
      </c>
      <c r="F883" t="s">
        <v>319</v>
      </c>
      <c r="G883" t="str">
        <f>"004"</f>
        <v>004</v>
      </c>
      <c r="H883" t="str">
        <f>"4270"</f>
        <v>4270</v>
      </c>
      <c r="I883" s="3">
        <v>1435100</v>
      </c>
      <c r="J883" s="3">
        <v>80.86</v>
      </c>
      <c r="K883" s="3">
        <v>1774800</v>
      </c>
      <c r="L883" s="3">
        <v>0</v>
      </c>
      <c r="M883" s="3">
        <v>1774800</v>
      </c>
      <c r="N883" s="3">
        <v>0</v>
      </c>
      <c r="O883" s="3">
        <v>0</v>
      </c>
      <c r="P883" s="3">
        <v>0</v>
      </c>
      <c r="Q883" s="3">
        <v>0</v>
      </c>
      <c r="R883" s="3">
        <v>0</v>
      </c>
      <c r="S883" s="3">
        <v>0</v>
      </c>
      <c r="T883" s="3">
        <v>0</v>
      </c>
      <c r="U883" s="3">
        <v>0</v>
      </c>
      <c r="V883" s="3">
        <v>2021</v>
      </c>
      <c r="W883" s="3">
        <v>1475600</v>
      </c>
      <c r="X883" s="3">
        <v>1774800</v>
      </c>
      <c r="Y883" s="3">
        <v>299200</v>
      </c>
      <c r="Z883" s="3">
        <v>1475600</v>
      </c>
      <c r="AA883" s="3">
        <v>299200</v>
      </c>
      <c r="AB883" s="3">
        <v>20</v>
      </c>
    </row>
    <row r="884" spans="1:28" x14ac:dyDescent="0.35">
      <c r="A884">
        <v>2022</v>
      </c>
      <c r="B884" t="str">
        <f t="shared" si="114"/>
        <v>46</v>
      </c>
      <c r="C884" t="s">
        <v>319</v>
      </c>
      <c r="D884" t="s">
        <v>33</v>
      </c>
      <c r="E884" t="str">
        <f>"171"</f>
        <v>171</v>
      </c>
      <c r="F884" t="s">
        <v>319</v>
      </c>
      <c r="G884" t="str">
        <f>"005"</f>
        <v>005</v>
      </c>
      <c r="H884" t="str">
        <f>"4270"</f>
        <v>4270</v>
      </c>
      <c r="I884" s="3">
        <v>1910800</v>
      </c>
      <c r="J884" s="3">
        <v>80.86</v>
      </c>
      <c r="K884" s="3">
        <v>2363100</v>
      </c>
      <c r="L884" s="3">
        <v>0</v>
      </c>
      <c r="M884" s="3">
        <v>2363100</v>
      </c>
      <c r="N884" s="3">
        <v>0</v>
      </c>
      <c r="O884" s="3">
        <v>0</v>
      </c>
      <c r="P884" s="3">
        <v>0</v>
      </c>
      <c r="Q884" s="3">
        <v>0</v>
      </c>
      <c r="R884" s="3">
        <v>0</v>
      </c>
      <c r="S884" s="3">
        <v>0</v>
      </c>
      <c r="T884" s="3">
        <v>0</v>
      </c>
      <c r="U884" s="3">
        <v>0</v>
      </c>
      <c r="V884" s="3">
        <v>2021</v>
      </c>
      <c r="W884" s="3">
        <v>1938000</v>
      </c>
      <c r="X884" s="3">
        <v>2363100</v>
      </c>
      <c r="Y884" s="3">
        <v>425100</v>
      </c>
      <c r="Z884" s="3">
        <v>1938000</v>
      </c>
      <c r="AA884" s="3">
        <v>425100</v>
      </c>
      <c r="AB884" s="3">
        <v>22</v>
      </c>
    </row>
    <row r="885" spans="1:28" x14ac:dyDescent="0.35">
      <c r="A885">
        <v>2022</v>
      </c>
      <c r="B885" t="str">
        <f t="shared" si="114"/>
        <v>46</v>
      </c>
      <c r="C885" t="s">
        <v>319</v>
      </c>
      <c r="D885" t="s">
        <v>33</v>
      </c>
      <c r="E885" t="str">
        <f>"171"</f>
        <v>171</v>
      </c>
      <c r="F885" t="s">
        <v>319</v>
      </c>
      <c r="G885" t="str">
        <f>"006"</f>
        <v>006</v>
      </c>
      <c r="H885" t="str">
        <f>"4270"</f>
        <v>4270</v>
      </c>
      <c r="I885" s="3">
        <v>1593600</v>
      </c>
      <c r="J885" s="3">
        <v>80.86</v>
      </c>
      <c r="K885" s="3">
        <v>1970800</v>
      </c>
      <c r="L885" s="3">
        <v>0</v>
      </c>
      <c r="M885" s="3">
        <v>1970800</v>
      </c>
      <c r="N885" s="3">
        <v>0</v>
      </c>
      <c r="O885" s="3">
        <v>0</v>
      </c>
      <c r="P885" s="3">
        <v>0</v>
      </c>
      <c r="Q885" s="3">
        <v>0</v>
      </c>
      <c r="R885" s="3">
        <v>0</v>
      </c>
      <c r="S885" s="3">
        <v>0</v>
      </c>
      <c r="T885" s="3">
        <v>0</v>
      </c>
      <c r="U885" s="3">
        <v>0</v>
      </c>
      <c r="V885" s="3">
        <v>2021</v>
      </c>
      <c r="W885" s="3">
        <v>1642000</v>
      </c>
      <c r="X885" s="3">
        <v>1970800</v>
      </c>
      <c r="Y885" s="3">
        <v>328800</v>
      </c>
      <c r="Z885" s="3">
        <v>1642000</v>
      </c>
      <c r="AA885" s="3">
        <v>328800</v>
      </c>
      <c r="AB885" s="3">
        <v>20</v>
      </c>
    </row>
    <row r="886" spans="1:28" x14ac:dyDescent="0.35">
      <c r="A886">
        <v>2022</v>
      </c>
      <c r="B886" t="str">
        <f t="shared" si="114"/>
        <v>46</v>
      </c>
      <c r="C886" t="s">
        <v>319</v>
      </c>
      <c r="D886" t="s">
        <v>33</v>
      </c>
      <c r="E886" t="str">
        <f>"171"</f>
        <v>171</v>
      </c>
      <c r="F886" t="s">
        <v>319</v>
      </c>
      <c r="G886" t="str">
        <f>"007"</f>
        <v>007</v>
      </c>
      <c r="H886" t="str">
        <f>"4270"</f>
        <v>4270</v>
      </c>
      <c r="I886" s="3">
        <v>2068700</v>
      </c>
      <c r="J886" s="3">
        <v>80.86</v>
      </c>
      <c r="K886" s="3">
        <v>2558400</v>
      </c>
      <c r="L886" s="3">
        <v>0</v>
      </c>
      <c r="M886" s="3">
        <v>2558400</v>
      </c>
      <c r="N886" s="3">
        <v>0</v>
      </c>
      <c r="O886" s="3">
        <v>0</v>
      </c>
      <c r="P886" s="3">
        <v>0</v>
      </c>
      <c r="Q886" s="3">
        <v>0</v>
      </c>
      <c r="R886" s="3">
        <v>0</v>
      </c>
      <c r="S886" s="3">
        <v>0</v>
      </c>
      <c r="T886" s="3">
        <v>0</v>
      </c>
      <c r="U886" s="3">
        <v>0</v>
      </c>
      <c r="V886" s="3">
        <v>2021</v>
      </c>
      <c r="W886" s="3">
        <v>1947200</v>
      </c>
      <c r="X886" s="3">
        <v>2558400</v>
      </c>
      <c r="Y886" s="3">
        <v>611200</v>
      </c>
      <c r="Z886" s="3">
        <v>1947200</v>
      </c>
      <c r="AA886" s="3">
        <v>611200</v>
      </c>
      <c r="AB886" s="3">
        <v>31</v>
      </c>
    </row>
    <row r="887" spans="1:28" x14ac:dyDescent="0.35">
      <c r="A887">
        <v>2022</v>
      </c>
      <c r="B887" t="str">
        <f t="shared" si="114"/>
        <v>46</v>
      </c>
      <c r="C887" t="s">
        <v>319</v>
      </c>
      <c r="D887" t="s">
        <v>35</v>
      </c>
      <c r="E887" t="str">
        <f>"216"</f>
        <v>216</v>
      </c>
      <c r="F887" t="s">
        <v>320</v>
      </c>
      <c r="G887" t="str">
        <f>"003"</f>
        <v>003</v>
      </c>
      <c r="H887" t="str">
        <f>"1499"</f>
        <v>1499</v>
      </c>
      <c r="I887" s="3">
        <v>12786000</v>
      </c>
      <c r="J887" s="3">
        <v>80.819999999999993</v>
      </c>
      <c r="K887" s="3">
        <v>15820300</v>
      </c>
      <c r="L887" s="3">
        <v>0</v>
      </c>
      <c r="M887" s="3">
        <v>15820300</v>
      </c>
      <c r="N887" s="3">
        <v>273300</v>
      </c>
      <c r="O887" s="3">
        <v>273300</v>
      </c>
      <c r="P887" s="3">
        <v>60800</v>
      </c>
      <c r="Q887" s="3">
        <v>60800</v>
      </c>
      <c r="R887" s="3">
        <v>-13800</v>
      </c>
      <c r="S887" s="3">
        <v>0</v>
      </c>
      <c r="T887" s="3">
        <v>0</v>
      </c>
      <c r="U887" s="3">
        <v>0</v>
      </c>
      <c r="V887" s="3">
        <v>2007</v>
      </c>
      <c r="W887" s="3">
        <v>10391700</v>
      </c>
      <c r="X887" s="3">
        <v>16140600</v>
      </c>
      <c r="Y887" s="3">
        <v>5748900</v>
      </c>
      <c r="Z887" s="3">
        <v>14151200</v>
      </c>
      <c r="AA887" s="3">
        <v>1989400</v>
      </c>
      <c r="AB887" s="3">
        <v>14</v>
      </c>
    </row>
    <row r="888" spans="1:28" x14ac:dyDescent="0.35">
      <c r="A888">
        <v>2022</v>
      </c>
      <c r="B888" t="str">
        <f t="shared" ref="B888:B906" si="115">"47"</f>
        <v>47</v>
      </c>
      <c r="C888" t="s">
        <v>321</v>
      </c>
      <c r="D888" t="s">
        <v>33</v>
      </c>
      <c r="E888" t="str">
        <f t="shared" ref="E888:E893" si="116">"121"</f>
        <v>121</v>
      </c>
      <c r="F888" t="s">
        <v>322</v>
      </c>
      <c r="G888" t="str">
        <f>"004"</f>
        <v>004</v>
      </c>
      <c r="H888" t="str">
        <f t="shared" ref="H888:H893" si="117">"1659"</f>
        <v>1659</v>
      </c>
      <c r="I888" s="3">
        <v>920000</v>
      </c>
      <c r="J888" s="3">
        <v>100</v>
      </c>
      <c r="K888" s="3">
        <v>920000</v>
      </c>
      <c r="L888" s="3">
        <v>0</v>
      </c>
      <c r="M888" s="3">
        <v>920000</v>
      </c>
      <c r="N888" s="3">
        <v>0</v>
      </c>
      <c r="O888" s="3">
        <v>0</v>
      </c>
      <c r="P888" s="3">
        <v>0</v>
      </c>
      <c r="Q888" s="3">
        <v>0</v>
      </c>
      <c r="R888" s="3">
        <v>1100</v>
      </c>
      <c r="S888" s="3">
        <v>0</v>
      </c>
      <c r="T888" s="3">
        <v>0</v>
      </c>
      <c r="U888" s="3">
        <v>0</v>
      </c>
      <c r="V888" s="3">
        <v>1996</v>
      </c>
      <c r="W888" s="3">
        <v>54600</v>
      </c>
      <c r="X888" s="3">
        <v>921100</v>
      </c>
      <c r="Y888" s="3">
        <v>866500</v>
      </c>
      <c r="Z888" s="3">
        <v>789700</v>
      </c>
      <c r="AA888" s="3">
        <v>131400</v>
      </c>
      <c r="AB888" s="3">
        <v>17</v>
      </c>
    </row>
    <row r="889" spans="1:28" x14ac:dyDescent="0.35">
      <c r="A889">
        <v>2022</v>
      </c>
      <c r="B889" t="str">
        <f t="shared" si="115"/>
        <v>47</v>
      </c>
      <c r="C889" t="s">
        <v>321</v>
      </c>
      <c r="D889" t="s">
        <v>33</v>
      </c>
      <c r="E889" t="str">
        <f t="shared" si="116"/>
        <v>121</v>
      </c>
      <c r="F889" t="s">
        <v>322</v>
      </c>
      <c r="G889" t="str">
        <f>"007"</f>
        <v>007</v>
      </c>
      <c r="H889" t="str">
        <f t="shared" si="117"/>
        <v>1659</v>
      </c>
      <c r="I889" s="3">
        <v>9100500</v>
      </c>
      <c r="J889" s="3">
        <v>100</v>
      </c>
      <c r="K889" s="3">
        <v>9100500</v>
      </c>
      <c r="L889" s="3">
        <v>0</v>
      </c>
      <c r="M889" s="3">
        <v>9100500</v>
      </c>
      <c r="N889" s="3">
        <v>0</v>
      </c>
      <c r="O889" s="3">
        <v>0</v>
      </c>
      <c r="P889" s="3">
        <v>0</v>
      </c>
      <c r="Q889" s="3">
        <v>0</v>
      </c>
      <c r="R889" s="3">
        <v>12900</v>
      </c>
      <c r="S889" s="3">
        <v>0</v>
      </c>
      <c r="T889" s="3">
        <v>0</v>
      </c>
      <c r="U889" s="3">
        <v>0</v>
      </c>
      <c r="V889" s="3">
        <v>2006</v>
      </c>
      <c r="W889" s="3">
        <v>223300</v>
      </c>
      <c r="X889" s="3">
        <v>9113400</v>
      </c>
      <c r="Y889" s="3">
        <v>8890100</v>
      </c>
      <c r="Z889" s="3">
        <v>9116800</v>
      </c>
      <c r="AA889" s="3">
        <v>-3400</v>
      </c>
      <c r="AB889" s="3">
        <v>0</v>
      </c>
    </row>
    <row r="890" spans="1:28" x14ac:dyDescent="0.35">
      <c r="A890">
        <v>2022</v>
      </c>
      <c r="B890" t="str">
        <f t="shared" si="115"/>
        <v>47</v>
      </c>
      <c r="C890" t="s">
        <v>321</v>
      </c>
      <c r="D890" t="s">
        <v>33</v>
      </c>
      <c r="E890" t="str">
        <f t="shared" si="116"/>
        <v>121</v>
      </c>
      <c r="F890" t="s">
        <v>322</v>
      </c>
      <c r="G890" t="str">
        <f>"008"</f>
        <v>008</v>
      </c>
      <c r="H890" t="str">
        <f t="shared" si="117"/>
        <v>1659</v>
      </c>
      <c r="I890" s="3">
        <v>2217700</v>
      </c>
      <c r="J890" s="3">
        <v>100</v>
      </c>
      <c r="K890" s="3">
        <v>2217700</v>
      </c>
      <c r="L890" s="3">
        <v>0</v>
      </c>
      <c r="M890" s="3">
        <v>2217700</v>
      </c>
      <c r="N890" s="3">
        <v>5201800</v>
      </c>
      <c r="O890" s="3">
        <v>5201800</v>
      </c>
      <c r="P890" s="3">
        <v>465100</v>
      </c>
      <c r="Q890" s="3">
        <v>465100</v>
      </c>
      <c r="R890" s="3">
        <v>3700</v>
      </c>
      <c r="S890" s="3">
        <v>0</v>
      </c>
      <c r="T890" s="3">
        <v>0</v>
      </c>
      <c r="U890" s="3">
        <v>0</v>
      </c>
      <c r="V890" s="3">
        <v>2010</v>
      </c>
      <c r="W890" s="3">
        <v>3773700</v>
      </c>
      <c r="X890" s="3">
        <v>7888300</v>
      </c>
      <c r="Y890" s="3">
        <v>4114600</v>
      </c>
      <c r="Z890" s="3">
        <v>8021200</v>
      </c>
      <c r="AA890" s="3">
        <v>-132900</v>
      </c>
      <c r="AB890" s="3">
        <v>-2</v>
      </c>
    </row>
    <row r="891" spans="1:28" x14ac:dyDescent="0.35">
      <c r="A891">
        <v>2022</v>
      </c>
      <c r="B891" t="str">
        <f t="shared" si="115"/>
        <v>47</v>
      </c>
      <c r="C891" t="s">
        <v>321</v>
      </c>
      <c r="D891" t="s">
        <v>33</v>
      </c>
      <c r="E891" t="str">
        <f t="shared" si="116"/>
        <v>121</v>
      </c>
      <c r="F891" t="s">
        <v>322</v>
      </c>
      <c r="G891" t="str">
        <f>"009"</f>
        <v>009</v>
      </c>
      <c r="H891" t="str">
        <f t="shared" si="117"/>
        <v>1659</v>
      </c>
      <c r="I891" s="3">
        <v>3130000</v>
      </c>
      <c r="J891" s="3">
        <v>100</v>
      </c>
      <c r="K891" s="3">
        <v>3130000</v>
      </c>
      <c r="L891" s="3">
        <v>0</v>
      </c>
      <c r="M891" s="3">
        <v>3130000</v>
      </c>
      <c r="N891" s="3">
        <v>0</v>
      </c>
      <c r="O891" s="3">
        <v>0</v>
      </c>
      <c r="P891" s="3">
        <v>0</v>
      </c>
      <c r="Q891" s="3">
        <v>0</v>
      </c>
      <c r="R891" s="3">
        <v>5600</v>
      </c>
      <c r="S891" s="3">
        <v>0</v>
      </c>
      <c r="T891" s="3">
        <v>0</v>
      </c>
      <c r="U891" s="3">
        <v>0</v>
      </c>
      <c r="V891" s="3">
        <v>2011</v>
      </c>
      <c r="W891" s="3">
        <v>510400</v>
      </c>
      <c r="X891" s="3">
        <v>3135600</v>
      </c>
      <c r="Y891" s="3">
        <v>2625200</v>
      </c>
      <c r="Z891" s="3">
        <v>3993900</v>
      </c>
      <c r="AA891" s="3">
        <v>-858300</v>
      </c>
      <c r="AB891" s="3">
        <v>-21</v>
      </c>
    </row>
    <row r="892" spans="1:28" x14ac:dyDescent="0.35">
      <c r="A892">
        <v>2022</v>
      </c>
      <c r="B892" t="str">
        <f t="shared" si="115"/>
        <v>47</v>
      </c>
      <c r="C892" t="s">
        <v>321</v>
      </c>
      <c r="D892" t="s">
        <v>33</v>
      </c>
      <c r="E892" t="str">
        <f t="shared" si="116"/>
        <v>121</v>
      </c>
      <c r="F892" t="s">
        <v>322</v>
      </c>
      <c r="G892" t="str">
        <f>"010"</f>
        <v>010</v>
      </c>
      <c r="H892" t="str">
        <f t="shared" si="117"/>
        <v>1659</v>
      </c>
      <c r="I892" s="3">
        <v>1457800</v>
      </c>
      <c r="J892" s="3">
        <v>100</v>
      </c>
      <c r="K892" s="3">
        <v>1457800</v>
      </c>
      <c r="L892" s="3">
        <v>0</v>
      </c>
      <c r="M892" s="3">
        <v>1457800</v>
      </c>
      <c r="N892" s="3">
        <v>0</v>
      </c>
      <c r="O892" s="3">
        <v>0</v>
      </c>
      <c r="P892" s="3">
        <v>0</v>
      </c>
      <c r="Q892" s="3">
        <v>0</v>
      </c>
      <c r="R892" s="3">
        <v>2500</v>
      </c>
      <c r="S892" s="3">
        <v>0</v>
      </c>
      <c r="T892" s="3">
        <v>0</v>
      </c>
      <c r="U892" s="3">
        <v>0</v>
      </c>
      <c r="V892" s="3">
        <v>2012</v>
      </c>
      <c r="W892" s="3">
        <v>827300</v>
      </c>
      <c r="X892" s="3">
        <v>1460300</v>
      </c>
      <c r="Y892" s="3">
        <v>633000</v>
      </c>
      <c r="Z892" s="3">
        <v>1800300</v>
      </c>
      <c r="AA892" s="3">
        <v>-340000</v>
      </c>
      <c r="AB892" s="3">
        <v>-19</v>
      </c>
    </row>
    <row r="893" spans="1:28" x14ac:dyDescent="0.35">
      <c r="A893">
        <v>2022</v>
      </c>
      <c r="B893" t="str">
        <f t="shared" si="115"/>
        <v>47</v>
      </c>
      <c r="C893" t="s">
        <v>321</v>
      </c>
      <c r="D893" t="s">
        <v>33</v>
      </c>
      <c r="E893" t="str">
        <f t="shared" si="116"/>
        <v>121</v>
      </c>
      <c r="F893" t="s">
        <v>322</v>
      </c>
      <c r="G893" t="str">
        <f>"011"</f>
        <v>011</v>
      </c>
      <c r="H893" t="str">
        <f t="shared" si="117"/>
        <v>1659</v>
      </c>
      <c r="I893" s="3">
        <v>1182100</v>
      </c>
      <c r="J893" s="3">
        <v>100</v>
      </c>
      <c r="K893" s="3">
        <v>1182100</v>
      </c>
      <c r="L893" s="3">
        <v>0</v>
      </c>
      <c r="M893" s="3">
        <v>1182100</v>
      </c>
      <c r="N893" s="3">
        <v>0</v>
      </c>
      <c r="O893" s="3">
        <v>0</v>
      </c>
      <c r="P893" s="3">
        <v>0</v>
      </c>
      <c r="Q893" s="3">
        <v>0</v>
      </c>
      <c r="R893" s="3">
        <v>2100</v>
      </c>
      <c r="S893" s="3">
        <v>0</v>
      </c>
      <c r="T893" s="3">
        <v>0</v>
      </c>
      <c r="U893" s="3">
        <v>0</v>
      </c>
      <c r="V893" s="3">
        <v>2013</v>
      </c>
      <c r="W893" s="3">
        <v>1308200</v>
      </c>
      <c r="X893" s="3">
        <v>1184200</v>
      </c>
      <c r="Y893" s="3">
        <v>-124000</v>
      </c>
      <c r="Z893" s="3">
        <v>1498400</v>
      </c>
      <c r="AA893" s="3">
        <v>-314200</v>
      </c>
      <c r="AB893" s="3">
        <v>-21</v>
      </c>
    </row>
    <row r="894" spans="1:28" x14ac:dyDescent="0.35">
      <c r="A894">
        <v>2022</v>
      </c>
      <c r="B894" t="str">
        <f t="shared" si="115"/>
        <v>47</v>
      </c>
      <c r="C894" t="s">
        <v>321</v>
      </c>
      <c r="D894" t="s">
        <v>33</v>
      </c>
      <c r="E894" t="str">
        <f>"122"</f>
        <v>122</v>
      </c>
      <c r="F894" t="s">
        <v>323</v>
      </c>
      <c r="G894" t="str">
        <f>"003"</f>
        <v>003</v>
      </c>
      <c r="H894" t="str">
        <f>"1666"</f>
        <v>1666</v>
      </c>
      <c r="I894" s="3">
        <v>2457300</v>
      </c>
      <c r="J894" s="3">
        <v>64</v>
      </c>
      <c r="K894" s="3">
        <v>3839500</v>
      </c>
      <c r="L894" s="3">
        <v>0</v>
      </c>
      <c r="M894" s="3">
        <v>3839500</v>
      </c>
      <c r="N894" s="3">
        <v>898700</v>
      </c>
      <c r="O894" s="3">
        <v>898700</v>
      </c>
      <c r="P894" s="3">
        <v>20300</v>
      </c>
      <c r="Q894" s="3">
        <v>20300</v>
      </c>
      <c r="R894" s="3">
        <v>-27900</v>
      </c>
      <c r="S894" s="3">
        <v>0</v>
      </c>
      <c r="T894" s="3">
        <v>0</v>
      </c>
      <c r="U894" s="3">
        <v>0</v>
      </c>
      <c r="V894" s="3">
        <v>2002</v>
      </c>
      <c r="W894" s="3">
        <v>752300</v>
      </c>
      <c r="X894" s="3">
        <v>4730600</v>
      </c>
      <c r="Y894" s="3">
        <v>3978300</v>
      </c>
      <c r="Z894" s="3">
        <v>4458000</v>
      </c>
      <c r="AA894" s="3">
        <v>272600</v>
      </c>
      <c r="AB894" s="3">
        <v>6</v>
      </c>
    </row>
    <row r="895" spans="1:28" x14ac:dyDescent="0.35">
      <c r="A895">
        <v>2022</v>
      </c>
      <c r="B895" t="str">
        <f t="shared" si="115"/>
        <v>47</v>
      </c>
      <c r="C895" t="s">
        <v>321</v>
      </c>
      <c r="D895" t="s">
        <v>33</v>
      </c>
      <c r="E895" t="str">
        <f>"122"</f>
        <v>122</v>
      </c>
      <c r="F895" t="s">
        <v>323</v>
      </c>
      <c r="G895" t="str">
        <f>"004"</f>
        <v>004</v>
      </c>
      <c r="H895" t="str">
        <f>"1666"</f>
        <v>1666</v>
      </c>
      <c r="I895" s="3">
        <v>3696100</v>
      </c>
      <c r="J895" s="3">
        <v>64</v>
      </c>
      <c r="K895" s="3">
        <v>5775200</v>
      </c>
      <c r="L895" s="3">
        <v>0</v>
      </c>
      <c r="M895" s="3">
        <v>5775200</v>
      </c>
      <c r="N895" s="3">
        <v>309900</v>
      </c>
      <c r="O895" s="3">
        <v>309900</v>
      </c>
      <c r="P895" s="3">
        <v>700</v>
      </c>
      <c r="Q895" s="3">
        <v>700</v>
      </c>
      <c r="R895" s="3">
        <v>-42100</v>
      </c>
      <c r="S895" s="3">
        <v>0</v>
      </c>
      <c r="T895" s="3">
        <v>0</v>
      </c>
      <c r="U895" s="3">
        <v>0</v>
      </c>
      <c r="V895" s="3">
        <v>2009</v>
      </c>
      <c r="W895" s="3">
        <v>3547400</v>
      </c>
      <c r="X895" s="3">
        <v>6043700</v>
      </c>
      <c r="Y895" s="3">
        <v>2496300</v>
      </c>
      <c r="Z895" s="3">
        <v>5960200</v>
      </c>
      <c r="AA895" s="3">
        <v>83500</v>
      </c>
      <c r="AB895" s="3">
        <v>1</v>
      </c>
    </row>
    <row r="896" spans="1:28" x14ac:dyDescent="0.35">
      <c r="A896">
        <v>2022</v>
      </c>
      <c r="B896" t="str">
        <f t="shared" si="115"/>
        <v>47</v>
      </c>
      <c r="C896" t="s">
        <v>321</v>
      </c>
      <c r="D896" t="s">
        <v>33</v>
      </c>
      <c r="E896" t="str">
        <f>"122"</f>
        <v>122</v>
      </c>
      <c r="F896" t="s">
        <v>323</v>
      </c>
      <c r="G896" t="str">
        <f>"005"</f>
        <v>005</v>
      </c>
      <c r="H896" t="str">
        <f>"1666"</f>
        <v>1666</v>
      </c>
      <c r="I896" s="3">
        <v>1954800</v>
      </c>
      <c r="J896" s="3">
        <v>64</v>
      </c>
      <c r="K896" s="3">
        <v>3054400</v>
      </c>
      <c r="L896" s="3">
        <v>0</v>
      </c>
      <c r="M896" s="3">
        <v>3054400</v>
      </c>
      <c r="N896" s="3">
        <v>0</v>
      </c>
      <c r="O896" s="3">
        <v>0</v>
      </c>
      <c r="P896" s="3">
        <v>3500</v>
      </c>
      <c r="Q896" s="3">
        <v>3500</v>
      </c>
      <c r="R896" s="3">
        <v>-22100</v>
      </c>
      <c r="S896" s="3">
        <v>0</v>
      </c>
      <c r="T896" s="3">
        <v>0</v>
      </c>
      <c r="U896" s="3">
        <v>0</v>
      </c>
      <c r="V896" s="3">
        <v>2007</v>
      </c>
      <c r="W896" s="3">
        <v>373300</v>
      </c>
      <c r="X896" s="3">
        <v>3035800</v>
      </c>
      <c r="Y896" s="3">
        <v>2662500</v>
      </c>
      <c r="Z896" s="3">
        <v>2993500</v>
      </c>
      <c r="AA896" s="3">
        <v>42300</v>
      </c>
      <c r="AB896" s="3">
        <v>1</v>
      </c>
    </row>
    <row r="897" spans="1:28" x14ac:dyDescent="0.35">
      <c r="A897">
        <v>2022</v>
      </c>
      <c r="B897" t="str">
        <f t="shared" si="115"/>
        <v>47</v>
      </c>
      <c r="C897" t="s">
        <v>321</v>
      </c>
      <c r="D897" t="s">
        <v>33</v>
      </c>
      <c r="E897" t="str">
        <f>"181"</f>
        <v>181</v>
      </c>
      <c r="F897" t="s">
        <v>324</v>
      </c>
      <c r="G897" t="str">
        <f>"002"</f>
        <v>002</v>
      </c>
      <c r="H897" t="str">
        <f>"5586"</f>
        <v>5586</v>
      </c>
      <c r="I897" s="3">
        <v>6502500</v>
      </c>
      <c r="J897" s="3">
        <v>68.25</v>
      </c>
      <c r="K897" s="3">
        <v>9527500</v>
      </c>
      <c r="L897" s="3">
        <v>0</v>
      </c>
      <c r="M897" s="3">
        <v>9527500</v>
      </c>
      <c r="N897" s="3">
        <v>331200</v>
      </c>
      <c r="O897" s="3">
        <v>331200</v>
      </c>
      <c r="P897" s="3">
        <v>47600</v>
      </c>
      <c r="Q897" s="3">
        <v>47600</v>
      </c>
      <c r="R897" s="3">
        <v>0</v>
      </c>
      <c r="S897" s="3">
        <v>0</v>
      </c>
      <c r="T897" s="3">
        <v>0</v>
      </c>
      <c r="U897" s="3">
        <v>0</v>
      </c>
      <c r="V897" s="3">
        <v>1995</v>
      </c>
      <c r="W897" s="3">
        <v>83300</v>
      </c>
      <c r="X897" s="3">
        <v>9906300</v>
      </c>
      <c r="Y897" s="3">
        <v>9823000</v>
      </c>
      <c r="Z897" s="3">
        <v>8819800</v>
      </c>
      <c r="AA897" s="3">
        <v>1086500</v>
      </c>
      <c r="AB897" s="3">
        <v>12</v>
      </c>
    </row>
    <row r="898" spans="1:28" x14ac:dyDescent="0.35">
      <c r="A898">
        <v>2022</v>
      </c>
      <c r="B898" t="str">
        <f t="shared" si="115"/>
        <v>47</v>
      </c>
      <c r="C898" t="s">
        <v>321</v>
      </c>
      <c r="D898" t="s">
        <v>33</v>
      </c>
      <c r="E898" t="str">
        <f>"181"</f>
        <v>181</v>
      </c>
      <c r="F898" t="s">
        <v>324</v>
      </c>
      <c r="G898" t="str">
        <f>"003"</f>
        <v>003</v>
      </c>
      <c r="H898" t="str">
        <f>"5586"</f>
        <v>5586</v>
      </c>
      <c r="I898" s="3">
        <v>2925500</v>
      </c>
      <c r="J898" s="3">
        <v>68.25</v>
      </c>
      <c r="K898" s="3">
        <v>4286400</v>
      </c>
      <c r="L898" s="3">
        <v>0</v>
      </c>
      <c r="M898" s="3">
        <v>4286400</v>
      </c>
      <c r="N898" s="3">
        <v>0</v>
      </c>
      <c r="O898" s="3">
        <v>0</v>
      </c>
      <c r="P898" s="3">
        <v>2600</v>
      </c>
      <c r="Q898" s="3">
        <v>2600</v>
      </c>
      <c r="R898" s="3">
        <v>0</v>
      </c>
      <c r="S898" s="3">
        <v>0</v>
      </c>
      <c r="T898" s="3">
        <v>0</v>
      </c>
      <c r="U898" s="3">
        <v>0</v>
      </c>
      <c r="V898" s="3">
        <v>2007</v>
      </c>
      <c r="W898" s="3">
        <v>2502700</v>
      </c>
      <c r="X898" s="3">
        <v>4289000</v>
      </c>
      <c r="Y898" s="3">
        <v>1786300</v>
      </c>
      <c r="Z898" s="3">
        <v>3892500</v>
      </c>
      <c r="AA898" s="3">
        <v>396500</v>
      </c>
      <c r="AB898" s="3">
        <v>10</v>
      </c>
    </row>
    <row r="899" spans="1:28" x14ac:dyDescent="0.35">
      <c r="A899">
        <v>2022</v>
      </c>
      <c r="B899" t="str">
        <f t="shared" si="115"/>
        <v>47</v>
      </c>
      <c r="C899" t="s">
        <v>321</v>
      </c>
      <c r="D899" t="s">
        <v>35</v>
      </c>
      <c r="E899" t="str">
        <f>"271"</f>
        <v>271</v>
      </c>
      <c r="F899" t="s">
        <v>325</v>
      </c>
      <c r="G899" t="str">
        <f>"004"</f>
        <v>004</v>
      </c>
      <c r="H899" t="str">
        <f>"4578"</f>
        <v>4578</v>
      </c>
      <c r="I899" s="3">
        <v>23212700</v>
      </c>
      <c r="J899" s="3">
        <v>73.28</v>
      </c>
      <c r="K899" s="3">
        <v>31676700</v>
      </c>
      <c r="L899" s="3">
        <v>0</v>
      </c>
      <c r="M899" s="3">
        <v>31676700</v>
      </c>
      <c r="N899" s="3">
        <v>0</v>
      </c>
      <c r="O899" s="3">
        <v>0</v>
      </c>
      <c r="P899" s="3">
        <v>14100</v>
      </c>
      <c r="Q899" s="3">
        <v>14100</v>
      </c>
      <c r="R899" s="3">
        <v>27200</v>
      </c>
      <c r="S899" s="3">
        <v>0</v>
      </c>
      <c r="T899" s="3">
        <v>0</v>
      </c>
      <c r="U899" s="3">
        <v>0</v>
      </c>
      <c r="V899" s="3">
        <v>2003</v>
      </c>
      <c r="W899" s="3">
        <v>9581300</v>
      </c>
      <c r="X899" s="3">
        <v>31718000</v>
      </c>
      <c r="Y899" s="3">
        <v>22136700</v>
      </c>
      <c r="Z899" s="3">
        <v>27065300</v>
      </c>
      <c r="AA899" s="3">
        <v>4652700</v>
      </c>
      <c r="AB899" s="3">
        <v>17</v>
      </c>
    </row>
    <row r="900" spans="1:28" x14ac:dyDescent="0.35">
      <c r="A900">
        <v>2022</v>
      </c>
      <c r="B900" t="str">
        <f t="shared" si="115"/>
        <v>47</v>
      </c>
      <c r="C900" t="s">
        <v>321</v>
      </c>
      <c r="D900" t="s">
        <v>35</v>
      </c>
      <c r="E900" t="str">
        <f>"271"</f>
        <v>271</v>
      </c>
      <c r="F900" t="s">
        <v>325</v>
      </c>
      <c r="G900" t="str">
        <f>"005"</f>
        <v>005</v>
      </c>
      <c r="H900" t="str">
        <f>"4578"</f>
        <v>4578</v>
      </c>
      <c r="I900" s="3">
        <v>31719100</v>
      </c>
      <c r="J900" s="3">
        <v>73.28</v>
      </c>
      <c r="K900" s="3">
        <v>43284800</v>
      </c>
      <c r="L900" s="3">
        <v>0</v>
      </c>
      <c r="M900" s="3">
        <v>43284800</v>
      </c>
      <c r="N900" s="3">
        <v>10498900</v>
      </c>
      <c r="O900" s="3">
        <v>10498900</v>
      </c>
      <c r="P900" s="3">
        <v>797800</v>
      </c>
      <c r="Q900" s="3">
        <v>797800</v>
      </c>
      <c r="R900" s="3">
        <v>530800</v>
      </c>
      <c r="S900" s="3">
        <v>0</v>
      </c>
      <c r="T900" s="3">
        <v>0</v>
      </c>
      <c r="U900" s="3">
        <v>0</v>
      </c>
      <c r="V900" s="3">
        <v>2006</v>
      </c>
      <c r="W900" s="3">
        <v>2725800</v>
      </c>
      <c r="X900" s="3">
        <v>55112300</v>
      </c>
      <c r="Y900" s="3">
        <v>52386500</v>
      </c>
      <c r="Z900" s="3">
        <v>45998000</v>
      </c>
      <c r="AA900" s="3">
        <v>9114300</v>
      </c>
      <c r="AB900" s="3">
        <v>20</v>
      </c>
    </row>
    <row r="901" spans="1:28" x14ac:dyDescent="0.35">
      <c r="A901">
        <v>2022</v>
      </c>
      <c r="B901" t="str">
        <f t="shared" si="115"/>
        <v>47</v>
      </c>
      <c r="C901" t="s">
        <v>321</v>
      </c>
      <c r="D901" t="s">
        <v>35</v>
      </c>
      <c r="E901" t="str">
        <f t="shared" ref="E901:E906" si="118">"276"</f>
        <v>276</v>
      </c>
      <c r="F901" t="s">
        <v>326</v>
      </c>
      <c r="G901" t="str">
        <f>"006"</f>
        <v>006</v>
      </c>
      <c r="H901" t="str">
        <f t="shared" ref="H901:H906" si="119">"4893"</f>
        <v>4893</v>
      </c>
      <c r="I901" s="3">
        <v>6246100</v>
      </c>
      <c r="J901" s="3">
        <v>91.74</v>
      </c>
      <c r="K901" s="3">
        <v>6808500</v>
      </c>
      <c r="L901" s="3">
        <v>0</v>
      </c>
      <c r="M901" s="3">
        <v>6808500</v>
      </c>
      <c r="N901" s="3">
        <v>0</v>
      </c>
      <c r="O901" s="3">
        <v>0</v>
      </c>
      <c r="P901" s="3">
        <v>0</v>
      </c>
      <c r="Q901" s="3">
        <v>0</v>
      </c>
      <c r="R901" s="3">
        <v>-3930300</v>
      </c>
      <c r="S901" s="3">
        <v>0</v>
      </c>
      <c r="T901" s="3">
        <v>0</v>
      </c>
      <c r="U901" s="3">
        <v>0</v>
      </c>
      <c r="V901" s="3">
        <v>2005</v>
      </c>
      <c r="W901" s="3">
        <v>974600</v>
      </c>
      <c r="X901" s="3">
        <v>2878200</v>
      </c>
      <c r="Y901" s="3">
        <v>1903600</v>
      </c>
      <c r="Z901" s="3">
        <v>10261600</v>
      </c>
      <c r="AA901" s="3">
        <v>-7383400</v>
      </c>
      <c r="AB901" s="3">
        <v>-72</v>
      </c>
    </row>
    <row r="902" spans="1:28" x14ac:dyDescent="0.35">
      <c r="A902">
        <v>2022</v>
      </c>
      <c r="B902" t="str">
        <f t="shared" si="115"/>
        <v>47</v>
      </c>
      <c r="C902" t="s">
        <v>321</v>
      </c>
      <c r="D902" t="s">
        <v>35</v>
      </c>
      <c r="E902" t="str">
        <f t="shared" si="118"/>
        <v>276</v>
      </c>
      <c r="F902" t="s">
        <v>326</v>
      </c>
      <c r="G902" t="str">
        <f>"008"</f>
        <v>008</v>
      </c>
      <c r="H902" t="str">
        <f t="shared" si="119"/>
        <v>4893</v>
      </c>
      <c r="I902" s="3">
        <v>5018800</v>
      </c>
      <c r="J902" s="3">
        <v>91.74</v>
      </c>
      <c r="K902" s="3">
        <v>5470700</v>
      </c>
      <c r="L902" s="3">
        <v>0</v>
      </c>
      <c r="M902" s="3">
        <v>5470700</v>
      </c>
      <c r="N902" s="3">
        <v>0</v>
      </c>
      <c r="O902" s="3">
        <v>0</v>
      </c>
      <c r="P902" s="3">
        <v>0</v>
      </c>
      <c r="Q902" s="3">
        <v>0</v>
      </c>
      <c r="R902" s="3">
        <v>101800</v>
      </c>
      <c r="S902" s="3">
        <v>0</v>
      </c>
      <c r="T902" s="3">
        <v>0</v>
      </c>
      <c r="U902" s="3">
        <v>0</v>
      </c>
      <c r="V902" s="3">
        <v>2010</v>
      </c>
      <c r="W902" s="3">
        <v>1326500</v>
      </c>
      <c r="X902" s="3">
        <v>5572500</v>
      </c>
      <c r="Y902" s="3">
        <v>4246000</v>
      </c>
      <c r="Z902" s="3">
        <v>4954000</v>
      </c>
      <c r="AA902" s="3">
        <v>618500</v>
      </c>
      <c r="AB902" s="3">
        <v>12</v>
      </c>
    </row>
    <row r="903" spans="1:28" x14ac:dyDescent="0.35">
      <c r="A903">
        <v>2022</v>
      </c>
      <c r="B903" t="str">
        <f t="shared" si="115"/>
        <v>47</v>
      </c>
      <c r="C903" t="s">
        <v>321</v>
      </c>
      <c r="D903" t="s">
        <v>35</v>
      </c>
      <c r="E903" t="str">
        <f t="shared" si="118"/>
        <v>276</v>
      </c>
      <c r="F903" t="s">
        <v>326</v>
      </c>
      <c r="G903" t="str">
        <f>"009"</f>
        <v>009</v>
      </c>
      <c r="H903" t="str">
        <f t="shared" si="119"/>
        <v>4893</v>
      </c>
      <c r="I903" s="3">
        <v>7832000</v>
      </c>
      <c r="J903" s="3">
        <v>91.74</v>
      </c>
      <c r="K903" s="3">
        <v>8537200</v>
      </c>
      <c r="L903" s="3">
        <v>0</v>
      </c>
      <c r="M903" s="3">
        <v>8537200</v>
      </c>
      <c r="N903" s="3">
        <v>0</v>
      </c>
      <c r="O903" s="3">
        <v>0</v>
      </c>
      <c r="P903" s="3">
        <v>0</v>
      </c>
      <c r="Q903" s="3">
        <v>0</v>
      </c>
      <c r="R903" s="3">
        <v>-942200</v>
      </c>
      <c r="S903" s="3">
        <v>0</v>
      </c>
      <c r="T903" s="3">
        <v>0</v>
      </c>
      <c r="U903" s="3">
        <v>0</v>
      </c>
      <c r="V903" s="3">
        <v>2012</v>
      </c>
      <c r="W903" s="3">
        <v>4712300</v>
      </c>
      <c r="X903" s="3">
        <v>7595000</v>
      </c>
      <c r="Y903" s="3">
        <v>2882700</v>
      </c>
      <c r="Z903" s="3">
        <v>9048800</v>
      </c>
      <c r="AA903" s="3">
        <v>-1453800</v>
      </c>
      <c r="AB903" s="3">
        <v>-16</v>
      </c>
    </row>
    <row r="904" spans="1:28" x14ac:dyDescent="0.35">
      <c r="A904">
        <v>2022</v>
      </c>
      <c r="B904" t="str">
        <f t="shared" si="115"/>
        <v>47</v>
      </c>
      <c r="C904" t="s">
        <v>321</v>
      </c>
      <c r="D904" t="s">
        <v>35</v>
      </c>
      <c r="E904" t="str">
        <f t="shared" si="118"/>
        <v>276</v>
      </c>
      <c r="F904" t="s">
        <v>326</v>
      </c>
      <c r="G904" t="str">
        <f>"014"</f>
        <v>014</v>
      </c>
      <c r="H904" t="str">
        <f t="shared" si="119"/>
        <v>4893</v>
      </c>
      <c r="I904" s="3">
        <v>12594700</v>
      </c>
      <c r="J904" s="3">
        <v>91.74</v>
      </c>
      <c r="K904" s="3">
        <v>13728700</v>
      </c>
      <c r="L904" s="3">
        <v>0</v>
      </c>
      <c r="M904" s="3">
        <v>13728700</v>
      </c>
      <c r="N904" s="3">
        <v>0</v>
      </c>
      <c r="O904" s="3">
        <v>0</v>
      </c>
      <c r="P904" s="3">
        <v>0</v>
      </c>
      <c r="Q904" s="3">
        <v>0</v>
      </c>
      <c r="R904" s="3">
        <v>9534000</v>
      </c>
      <c r="S904" s="3">
        <v>0</v>
      </c>
      <c r="T904" s="3">
        <v>0</v>
      </c>
      <c r="U904" s="3">
        <v>0</v>
      </c>
      <c r="V904" s="3">
        <v>2018</v>
      </c>
      <c r="W904" s="3">
        <v>73100</v>
      </c>
      <c r="X904" s="3">
        <v>23262700</v>
      </c>
      <c r="Y904" s="3">
        <v>23189600</v>
      </c>
      <c r="Z904" s="3">
        <v>4898200</v>
      </c>
      <c r="AA904" s="3">
        <v>18364500</v>
      </c>
      <c r="AB904" s="3">
        <v>375</v>
      </c>
    </row>
    <row r="905" spans="1:28" x14ac:dyDescent="0.35">
      <c r="A905">
        <v>2022</v>
      </c>
      <c r="B905" t="str">
        <f t="shared" si="115"/>
        <v>47</v>
      </c>
      <c r="C905" t="s">
        <v>321</v>
      </c>
      <c r="D905" t="s">
        <v>35</v>
      </c>
      <c r="E905" t="str">
        <f t="shared" si="118"/>
        <v>276</v>
      </c>
      <c r="F905" t="s">
        <v>326</v>
      </c>
      <c r="G905" t="str">
        <f>"015"</f>
        <v>015</v>
      </c>
      <c r="H905" t="str">
        <f t="shared" si="119"/>
        <v>4893</v>
      </c>
      <c r="I905" s="3">
        <v>3277200</v>
      </c>
      <c r="J905" s="3">
        <v>91.74</v>
      </c>
      <c r="K905" s="3">
        <v>3572300</v>
      </c>
      <c r="L905" s="3">
        <v>0</v>
      </c>
      <c r="M905" s="3">
        <v>3572300</v>
      </c>
      <c r="N905" s="3">
        <v>0</v>
      </c>
      <c r="O905" s="3">
        <v>0</v>
      </c>
      <c r="P905" s="3">
        <v>0</v>
      </c>
      <c r="Q905" s="3">
        <v>0</v>
      </c>
      <c r="R905" s="3">
        <v>3124300</v>
      </c>
      <c r="S905" s="3">
        <v>0</v>
      </c>
      <c r="T905" s="3">
        <v>0</v>
      </c>
      <c r="U905" s="3">
        <v>0</v>
      </c>
      <c r="V905" s="3">
        <v>2020</v>
      </c>
      <c r="W905" s="3">
        <v>245200</v>
      </c>
      <c r="X905" s="3">
        <v>6696600</v>
      </c>
      <c r="Y905" s="3">
        <v>6451400</v>
      </c>
      <c r="Z905" s="3">
        <v>189000</v>
      </c>
      <c r="AA905" s="3">
        <v>6507600</v>
      </c>
      <c r="AB905" s="3">
        <v>3443</v>
      </c>
    </row>
    <row r="906" spans="1:28" x14ac:dyDescent="0.35">
      <c r="A906">
        <v>2022</v>
      </c>
      <c r="B906" t="str">
        <f t="shared" si="115"/>
        <v>47</v>
      </c>
      <c r="C906" t="s">
        <v>321</v>
      </c>
      <c r="D906" t="s">
        <v>35</v>
      </c>
      <c r="E906" t="str">
        <f t="shared" si="118"/>
        <v>276</v>
      </c>
      <c r="F906" t="s">
        <v>326</v>
      </c>
      <c r="G906" t="str">
        <f>"018"</f>
        <v>018</v>
      </c>
      <c r="H906" t="str">
        <f t="shared" si="119"/>
        <v>4893</v>
      </c>
      <c r="I906" s="3">
        <v>532500</v>
      </c>
      <c r="J906" s="3">
        <v>91.74</v>
      </c>
      <c r="K906" s="3">
        <v>580400</v>
      </c>
      <c r="L906" s="3">
        <v>0</v>
      </c>
      <c r="M906" s="3">
        <v>580400</v>
      </c>
      <c r="N906" s="3">
        <v>0</v>
      </c>
      <c r="O906" s="3">
        <v>0</v>
      </c>
      <c r="P906" s="3">
        <v>0</v>
      </c>
      <c r="Q906" s="3">
        <v>0</v>
      </c>
      <c r="R906" s="3">
        <v>0</v>
      </c>
      <c r="S906" s="3">
        <v>0</v>
      </c>
      <c r="T906" s="3">
        <v>0</v>
      </c>
      <c r="U906" s="3">
        <v>0</v>
      </c>
      <c r="V906" s="3">
        <v>2021</v>
      </c>
      <c r="W906" s="3">
        <v>538400</v>
      </c>
      <c r="X906" s="3">
        <v>580400</v>
      </c>
      <c r="Y906" s="3">
        <v>42000</v>
      </c>
      <c r="Z906" s="3">
        <v>538400</v>
      </c>
      <c r="AA906" s="3">
        <v>42000</v>
      </c>
      <c r="AB906" s="3">
        <v>8</v>
      </c>
    </row>
    <row r="907" spans="1:28" x14ac:dyDescent="0.35">
      <c r="A907">
        <v>2022</v>
      </c>
      <c r="B907" t="str">
        <f t="shared" ref="B907:B927" si="120">"48"</f>
        <v>48</v>
      </c>
      <c r="C907" t="s">
        <v>327</v>
      </c>
      <c r="D907" t="s">
        <v>33</v>
      </c>
      <c r="E907" t="str">
        <f>"106"</f>
        <v>106</v>
      </c>
      <c r="F907" t="s">
        <v>328</v>
      </c>
      <c r="G907" t="str">
        <f>"002"</f>
        <v>002</v>
      </c>
      <c r="H907" t="str">
        <f>"0238"</f>
        <v>0238</v>
      </c>
      <c r="I907" s="3">
        <v>1128600</v>
      </c>
      <c r="J907" s="3">
        <v>78.319999999999993</v>
      </c>
      <c r="K907" s="3">
        <v>1441000</v>
      </c>
      <c r="L907" s="3">
        <v>0</v>
      </c>
      <c r="M907" s="3">
        <v>1441000</v>
      </c>
      <c r="N907" s="3">
        <v>1967700</v>
      </c>
      <c r="O907" s="3">
        <v>1967700</v>
      </c>
      <c r="P907" s="3">
        <v>15900</v>
      </c>
      <c r="Q907" s="3">
        <v>15900</v>
      </c>
      <c r="R907" s="3">
        <v>-500</v>
      </c>
      <c r="S907" s="3">
        <v>0</v>
      </c>
      <c r="T907" s="3">
        <v>0</v>
      </c>
      <c r="U907" s="3">
        <v>3700</v>
      </c>
      <c r="V907" s="3">
        <v>1995</v>
      </c>
      <c r="W907" s="3">
        <v>11800</v>
      </c>
      <c r="X907" s="3">
        <v>3427800</v>
      </c>
      <c r="Y907" s="3">
        <v>3416000</v>
      </c>
      <c r="Z907" s="3">
        <v>3332100</v>
      </c>
      <c r="AA907" s="3">
        <v>95700</v>
      </c>
      <c r="AB907" s="3">
        <v>3</v>
      </c>
    </row>
    <row r="908" spans="1:28" x14ac:dyDescent="0.35">
      <c r="A908">
        <v>2022</v>
      </c>
      <c r="B908" t="str">
        <f t="shared" si="120"/>
        <v>48</v>
      </c>
      <c r="C908" t="s">
        <v>327</v>
      </c>
      <c r="D908" t="s">
        <v>33</v>
      </c>
      <c r="E908" t="str">
        <f>"106"</f>
        <v>106</v>
      </c>
      <c r="F908" t="s">
        <v>328</v>
      </c>
      <c r="G908" t="str">
        <f>"003"</f>
        <v>003</v>
      </c>
      <c r="H908" t="str">
        <f>"0238"</f>
        <v>0238</v>
      </c>
      <c r="I908" s="3">
        <v>0</v>
      </c>
      <c r="J908" s="3">
        <v>78.319999999999993</v>
      </c>
      <c r="K908" s="3">
        <v>0</v>
      </c>
      <c r="L908" s="3">
        <v>0</v>
      </c>
      <c r="M908" s="3">
        <v>0</v>
      </c>
      <c r="N908" s="3">
        <v>0</v>
      </c>
      <c r="O908" s="3">
        <v>0</v>
      </c>
      <c r="P908" s="3">
        <v>0</v>
      </c>
      <c r="Q908" s="3">
        <v>0</v>
      </c>
      <c r="R908" s="3">
        <v>0</v>
      </c>
      <c r="S908" s="3">
        <v>0</v>
      </c>
      <c r="T908" s="3">
        <v>0</v>
      </c>
      <c r="U908" s="3">
        <v>0</v>
      </c>
      <c r="V908" s="3">
        <v>2004</v>
      </c>
      <c r="W908" s="3">
        <v>22300</v>
      </c>
      <c r="X908" s="3">
        <v>0</v>
      </c>
      <c r="Y908" s="3">
        <v>-22300</v>
      </c>
      <c r="Z908" s="3">
        <v>0</v>
      </c>
      <c r="AA908" s="3">
        <v>0</v>
      </c>
      <c r="AB908" s="3">
        <v>0</v>
      </c>
    </row>
    <row r="909" spans="1:28" x14ac:dyDescent="0.35">
      <c r="A909">
        <v>2022</v>
      </c>
      <c r="B909" t="str">
        <f t="shared" si="120"/>
        <v>48</v>
      </c>
      <c r="C909" t="s">
        <v>327</v>
      </c>
      <c r="D909" t="s">
        <v>33</v>
      </c>
      <c r="E909" t="str">
        <f>"106"</f>
        <v>106</v>
      </c>
      <c r="F909" t="s">
        <v>328</v>
      </c>
      <c r="G909" t="str">
        <f>"005"</f>
        <v>005</v>
      </c>
      <c r="H909" t="str">
        <f>"0238"</f>
        <v>0238</v>
      </c>
      <c r="I909" s="3">
        <v>7193300</v>
      </c>
      <c r="J909" s="3">
        <v>78.319999999999993</v>
      </c>
      <c r="K909" s="3">
        <v>9184500</v>
      </c>
      <c r="L909" s="3">
        <v>0</v>
      </c>
      <c r="M909" s="3">
        <v>9184500</v>
      </c>
      <c r="N909" s="3">
        <v>0</v>
      </c>
      <c r="O909" s="3">
        <v>0</v>
      </c>
      <c r="P909" s="3">
        <v>0</v>
      </c>
      <c r="Q909" s="3">
        <v>0</v>
      </c>
      <c r="R909" s="3">
        <v>-3300</v>
      </c>
      <c r="S909" s="3">
        <v>0</v>
      </c>
      <c r="T909" s="3">
        <v>0</v>
      </c>
      <c r="U909" s="3">
        <v>443800</v>
      </c>
      <c r="V909" s="3">
        <v>2006</v>
      </c>
      <c r="W909" s="3">
        <v>7735100</v>
      </c>
      <c r="X909" s="3">
        <v>9625000</v>
      </c>
      <c r="Y909" s="3">
        <v>1889900</v>
      </c>
      <c r="Z909" s="3">
        <v>9396400</v>
      </c>
      <c r="AA909" s="3">
        <v>228600</v>
      </c>
      <c r="AB909" s="3">
        <v>2</v>
      </c>
    </row>
    <row r="910" spans="1:28" x14ac:dyDescent="0.35">
      <c r="A910">
        <v>2022</v>
      </c>
      <c r="B910" t="str">
        <f t="shared" si="120"/>
        <v>48</v>
      </c>
      <c r="C910" t="s">
        <v>327</v>
      </c>
      <c r="D910" t="s">
        <v>33</v>
      </c>
      <c r="E910" t="str">
        <f>"106"</f>
        <v>106</v>
      </c>
      <c r="F910" t="s">
        <v>328</v>
      </c>
      <c r="G910" t="str">
        <f>"006"</f>
        <v>006</v>
      </c>
      <c r="H910" t="str">
        <f>"0238"</f>
        <v>0238</v>
      </c>
      <c r="I910" s="3">
        <v>8580200</v>
      </c>
      <c r="J910" s="3">
        <v>78.319999999999993</v>
      </c>
      <c r="K910" s="3">
        <v>10955300</v>
      </c>
      <c r="L910" s="3">
        <v>0</v>
      </c>
      <c r="M910" s="3">
        <v>10955300</v>
      </c>
      <c r="N910" s="3">
        <v>0</v>
      </c>
      <c r="O910" s="3">
        <v>0</v>
      </c>
      <c r="P910" s="3">
        <v>0</v>
      </c>
      <c r="Q910" s="3">
        <v>0</v>
      </c>
      <c r="R910" s="3">
        <v>-3800</v>
      </c>
      <c r="S910" s="3">
        <v>0</v>
      </c>
      <c r="T910" s="3">
        <v>0</v>
      </c>
      <c r="U910" s="3">
        <v>0</v>
      </c>
      <c r="V910" s="3">
        <v>2013</v>
      </c>
      <c r="W910" s="3">
        <v>7793600</v>
      </c>
      <c r="X910" s="3">
        <v>10951500</v>
      </c>
      <c r="Y910" s="3">
        <v>3157900</v>
      </c>
      <c r="Z910" s="3">
        <v>10256600</v>
      </c>
      <c r="AA910" s="3">
        <v>694900</v>
      </c>
      <c r="AB910" s="3">
        <v>7</v>
      </c>
    </row>
    <row r="911" spans="1:28" x14ac:dyDescent="0.35">
      <c r="A911">
        <v>2022</v>
      </c>
      <c r="B911" t="str">
        <f t="shared" si="120"/>
        <v>48</v>
      </c>
      <c r="C911" t="s">
        <v>327</v>
      </c>
      <c r="D911" t="s">
        <v>33</v>
      </c>
      <c r="E911" t="str">
        <f>"111"</f>
        <v>111</v>
      </c>
      <c r="F911" t="s">
        <v>329</v>
      </c>
      <c r="G911" t="str">
        <f>"001"</f>
        <v>001</v>
      </c>
      <c r="H911" t="str">
        <f>"0238"</f>
        <v>0238</v>
      </c>
      <c r="I911" s="3">
        <v>10266300</v>
      </c>
      <c r="J911" s="3">
        <v>100</v>
      </c>
      <c r="K911" s="3">
        <v>10266300</v>
      </c>
      <c r="L911" s="3">
        <v>0</v>
      </c>
      <c r="M911" s="3">
        <v>10266300</v>
      </c>
      <c r="N911" s="3">
        <v>1523200</v>
      </c>
      <c r="O911" s="3">
        <v>1523200</v>
      </c>
      <c r="P911" s="3">
        <v>260400</v>
      </c>
      <c r="Q911" s="3">
        <v>260400</v>
      </c>
      <c r="R911" s="3">
        <v>-7900</v>
      </c>
      <c r="S911" s="3">
        <v>0</v>
      </c>
      <c r="T911" s="3">
        <v>0</v>
      </c>
      <c r="U911" s="3">
        <v>0</v>
      </c>
      <c r="V911" s="3">
        <v>1999</v>
      </c>
      <c r="W911" s="3">
        <v>4683000</v>
      </c>
      <c r="X911" s="3">
        <v>12042000</v>
      </c>
      <c r="Y911" s="3">
        <v>7359000</v>
      </c>
      <c r="Z911" s="3">
        <v>9105900</v>
      </c>
      <c r="AA911" s="3">
        <v>2936100</v>
      </c>
      <c r="AB911" s="3">
        <v>32</v>
      </c>
    </row>
    <row r="912" spans="1:28" x14ac:dyDescent="0.35">
      <c r="A912">
        <v>2022</v>
      </c>
      <c r="B912" t="str">
        <f t="shared" si="120"/>
        <v>48</v>
      </c>
      <c r="C912" t="s">
        <v>327</v>
      </c>
      <c r="D912" t="s">
        <v>33</v>
      </c>
      <c r="E912" t="str">
        <f>"112"</f>
        <v>112</v>
      </c>
      <c r="F912" t="s">
        <v>330</v>
      </c>
      <c r="G912" t="str">
        <f>"002"</f>
        <v>002</v>
      </c>
      <c r="H912" t="str">
        <f>"1120"</f>
        <v>1120</v>
      </c>
      <c r="I912" s="3">
        <v>1160200</v>
      </c>
      <c r="J912" s="3">
        <v>66.44</v>
      </c>
      <c r="K912" s="3">
        <v>1746200</v>
      </c>
      <c r="L912" s="3">
        <v>0</v>
      </c>
      <c r="M912" s="3">
        <v>1746200</v>
      </c>
      <c r="N912" s="3">
        <v>333900</v>
      </c>
      <c r="O912" s="3">
        <v>333900</v>
      </c>
      <c r="P912" s="3">
        <v>32900</v>
      </c>
      <c r="Q912" s="3">
        <v>32900</v>
      </c>
      <c r="R912" s="3">
        <v>-200</v>
      </c>
      <c r="S912" s="3">
        <v>0</v>
      </c>
      <c r="T912" s="3">
        <v>0</v>
      </c>
      <c r="U912" s="3">
        <v>0</v>
      </c>
      <c r="V912" s="3">
        <v>1999</v>
      </c>
      <c r="W912" s="3">
        <v>16700</v>
      </c>
      <c r="X912" s="3">
        <v>2112800</v>
      </c>
      <c r="Y912" s="3">
        <v>2096100</v>
      </c>
      <c r="Z912" s="3">
        <v>1389300</v>
      </c>
      <c r="AA912" s="3">
        <v>723500</v>
      </c>
      <c r="AB912" s="3">
        <v>52</v>
      </c>
    </row>
    <row r="913" spans="1:28" x14ac:dyDescent="0.35">
      <c r="A913">
        <v>2022</v>
      </c>
      <c r="B913" t="str">
        <f t="shared" si="120"/>
        <v>48</v>
      </c>
      <c r="C913" t="s">
        <v>327</v>
      </c>
      <c r="D913" t="s">
        <v>33</v>
      </c>
      <c r="E913" t="str">
        <f>"112"</f>
        <v>112</v>
      </c>
      <c r="F913" t="s">
        <v>330</v>
      </c>
      <c r="G913" t="str">
        <f>"003"</f>
        <v>003</v>
      </c>
      <c r="H913" t="str">
        <f>"1120"</f>
        <v>1120</v>
      </c>
      <c r="I913" s="3">
        <v>1509700</v>
      </c>
      <c r="J913" s="3">
        <v>66.44</v>
      </c>
      <c r="K913" s="3">
        <v>2272300</v>
      </c>
      <c r="L913" s="3">
        <v>0</v>
      </c>
      <c r="M913" s="3">
        <v>2272300</v>
      </c>
      <c r="N913" s="3">
        <v>0</v>
      </c>
      <c r="O913" s="3">
        <v>0</v>
      </c>
      <c r="P913" s="3">
        <v>0</v>
      </c>
      <c r="Q913" s="3">
        <v>0</v>
      </c>
      <c r="R913" s="3">
        <v>79300</v>
      </c>
      <c r="S913" s="3">
        <v>0</v>
      </c>
      <c r="T913" s="3">
        <v>0</v>
      </c>
      <c r="U913" s="3">
        <v>0</v>
      </c>
      <c r="V913" s="3">
        <v>2020</v>
      </c>
      <c r="W913" s="3">
        <v>1758100</v>
      </c>
      <c r="X913" s="3">
        <v>2351600</v>
      </c>
      <c r="Y913" s="3">
        <v>593500</v>
      </c>
      <c r="Z913" s="3">
        <v>1816500</v>
      </c>
      <c r="AA913" s="3">
        <v>535100</v>
      </c>
      <c r="AB913" s="3">
        <v>29</v>
      </c>
    </row>
    <row r="914" spans="1:28" x14ac:dyDescent="0.35">
      <c r="A914">
        <v>2022</v>
      </c>
      <c r="B914" t="str">
        <f t="shared" si="120"/>
        <v>48</v>
      </c>
      <c r="C914" t="s">
        <v>327</v>
      </c>
      <c r="D914" t="s">
        <v>33</v>
      </c>
      <c r="E914" t="str">
        <f>"113"</f>
        <v>113</v>
      </c>
      <c r="F914" t="s">
        <v>331</v>
      </c>
      <c r="G914" t="str">
        <f>"003"</f>
        <v>003</v>
      </c>
      <c r="H914" t="str">
        <f>"1127"</f>
        <v>1127</v>
      </c>
      <c r="I914" s="3">
        <v>5439900</v>
      </c>
      <c r="J914" s="3">
        <v>84.54</v>
      </c>
      <c r="K914" s="3">
        <v>6434700</v>
      </c>
      <c r="L914" s="3">
        <v>0</v>
      </c>
      <c r="M914" s="3">
        <v>6434700</v>
      </c>
      <c r="N914" s="3">
        <v>4928100</v>
      </c>
      <c r="O914" s="3">
        <v>4928100</v>
      </c>
      <c r="P914" s="3">
        <v>1800200</v>
      </c>
      <c r="Q914" s="3">
        <v>1800200</v>
      </c>
      <c r="R914" s="3">
        <v>135200</v>
      </c>
      <c r="S914" s="3">
        <v>0</v>
      </c>
      <c r="T914" s="3">
        <v>0</v>
      </c>
      <c r="U914" s="3">
        <v>0</v>
      </c>
      <c r="V914" s="3">
        <v>2003</v>
      </c>
      <c r="W914" s="3">
        <v>2113600</v>
      </c>
      <c r="X914" s="3">
        <v>13298200</v>
      </c>
      <c r="Y914" s="3">
        <v>11184600</v>
      </c>
      <c r="Z914" s="3">
        <v>12229300</v>
      </c>
      <c r="AA914" s="3">
        <v>1068900</v>
      </c>
      <c r="AB914" s="3">
        <v>9</v>
      </c>
    </row>
    <row r="915" spans="1:28" x14ac:dyDescent="0.35">
      <c r="A915">
        <v>2022</v>
      </c>
      <c r="B915" t="str">
        <f t="shared" si="120"/>
        <v>48</v>
      </c>
      <c r="C915" t="s">
        <v>327</v>
      </c>
      <c r="D915" t="s">
        <v>33</v>
      </c>
      <c r="E915" t="str">
        <f>"126"</f>
        <v>126</v>
      </c>
      <c r="F915" t="s">
        <v>332</v>
      </c>
      <c r="G915" t="str">
        <f>"003"</f>
        <v>003</v>
      </c>
      <c r="H915" t="str">
        <f>"1939"</f>
        <v>1939</v>
      </c>
      <c r="I915" s="3">
        <v>2254300</v>
      </c>
      <c r="J915" s="3">
        <v>73.489999999999995</v>
      </c>
      <c r="K915" s="3">
        <v>3067500</v>
      </c>
      <c r="L915" s="3">
        <v>0</v>
      </c>
      <c r="M915" s="3">
        <v>3067500</v>
      </c>
      <c r="N915" s="3">
        <v>0</v>
      </c>
      <c r="O915" s="3">
        <v>0</v>
      </c>
      <c r="P915" s="3">
        <v>0</v>
      </c>
      <c r="Q915" s="3">
        <v>0</v>
      </c>
      <c r="R915" s="3">
        <v>-1800</v>
      </c>
      <c r="S915" s="3">
        <v>0</v>
      </c>
      <c r="T915" s="3">
        <v>0</v>
      </c>
      <c r="U915" s="3">
        <v>0</v>
      </c>
      <c r="V915" s="3">
        <v>2007</v>
      </c>
      <c r="W915" s="3">
        <v>1755300</v>
      </c>
      <c r="X915" s="3">
        <v>3065700</v>
      </c>
      <c r="Y915" s="3">
        <v>1310400</v>
      </c>
      <c r="Z915" s="3">
        <v>2847700</v>
      </c>
      <c r="AA915" s="3">
        <v>218000</v>
      </c>
      <c r="AB915" s="3">
        <v>8</v>
      </c>
    </row>
    <row r="916" spans="1:28" x14ac:dyDescent="0.35">
      <c r="A916">
        <v>2022</v>
      </c>
      <c r="B916" t="str">
        <f t="shared" si="120"/>
        <v>48</v>
      </c>
      <c r="C916" t="s">
        <v>327</v>
      </c>
      <c r="D916" t="s">
        <v>33</v>
      </c>
      <c r="E916" t="str">
        <f>"146"</f>
        <v>146</v>
      </c>
      <c r="F916" t="s">
        <v>333</v>
      </c>
      <c r="G916" t="str">
        <f>"002"</f>
        <v>002</v>
      </c>
      <c r="H916" t="str">
        <f>"3213"</f>
        <v>3213</v>
      </c>
      <c r="I916" s="3">
        <v>4436200</v>
      </c>
      <c r="J916" s="3">
        <v>68.599999999999994</v>
      </c>
      <c r="K916" s="3">
        <v>6466800</v>
      </c>
      <c r="L916" s="3">
        <v>0</v>
      </c>
      <c r="M916" s="3">
        <v>6466800</v>
      </c>
      <c r="N916" s="3">
        <v>927200</v>
      </c>
      <c r="O916" s="3">
        <v>927200</v>
      </c>
      <c r="P916" s="3">
        <v>171100</v>
      </c>
      <c r="Q916" s="3">
        <v>171100</v>
      </c>
      <c r="R916" s="3">
        <v>-3600</v>
      </c>
      <c r="S916" s="3">
        <v>0</v>
      </c>
      <c r="T916" s="3">
        <v>0</v>
      </c>
      <c r="U916" s="3">
        <v>1890200</v>
      </c>
      <c r="V916" s="3">
        <v>2002</v>
      </c>
      <c r="W916" s="3">
        <v>5509600</v>
      </c>
      <c r="X916" s="3">
        <v>9451700</v>
      </c>
      <c r="Y916" s="3">
        <v>3942100</v>
      </c>
      <c r="Z916" s="3">
        <v>8741300</v>
      </c>
      <c r="AA916" s="3">
        <v>710400</v>
      </c>
      <c r="AB916" s="3">
        <v>8</v>
      </c>
    </row>
    <row r="917" spans="1:28" x14ac:dyDescent="0.35">
      <c r="A917">
        <v>2022</v>
      </c>
      <c r="B917" t="str">
        <f t="shared" si="120"/>
        <v>48</v>
      </c>
      <c r="C917" t="s">
        <v>327</v>
      </c>
      <c r="D917" t="s">
        <v>33</v>
      </c>
      <c r="E917" t="str">
        <f>"146"</f>
        <v>146</v>
      </c>
      <c r="F917" t="s">
        <v>333</v>
      </c>
      <c r="G917" t="str">
        <f>"003"</f>
        <v>003</v>
      </c>
      <c r="H917" t="str">
        <f>"3213"</f>
        <v>3213</v>
      </c>
      <c r="I917" s="3">
        <v>3771400</v>
      </c>
      <c r="J917" s="3">
        <v>68.599999999999994</v>
      </c>
      <c r="K917" s="3">
        <v>5497700</v>
      </c>
      <c r="L917" s="3">
        <v>0</v>
      </c>
      <c r="M917" s="3">
        <v>5497700</v>
      </c>
      <c r="N917" s="3">
        <v>0</v>
      </c>
      <c r="O917" s="3">
        <v>0</v>
      </c>
      <c r="P917" s="3">
        <v>0</v>
      </c>
      <c r="Q917" s="3">
        <v>0</v>
      </c>
      <c r="R917" s="3">
        <v>-3000</v>
      </c>
      <c r="S917" s="3">
        <v>0</v>
      </c>
      <c r="T917" s="3">
        <v>0</v>
      </c>
      <c r="U917" s="3">
        <v>0</v>
      </c>
      <c r="V917" s="3">
        <v>2005</v>
      </c>
      <c r="W917" s="3">
        <v>3522400</v>
      </c>
      <c r="X917" s="3">
        <v>5494700</v>
      </c>
      <c r="Y917" s="3">
        <v>1972300</v>
      </c>
      <c r="Z917" s="3">
        <v>4781100</v>
      </c>
      <c r="AA917" s="3">
        <v>713600</v>
      </c>
      <c r="AB917" s="3">
        <v>15</v>
      </c>
    </row>
    <row r="918" spans="1:28" x14ac:dyDescent="0.35">
      <c r="A918">
        <v>2022</v>
      </c>
      <c r="B918" t="str">
        <f t="shared" si="120"/>
        <v>48</v>
      </c>
      <c r="C918" t="s">
        <v>327</v>
      </c>
      <c r="D918" t="s">
        <v>33</v>
      </c>
      <c r="E918" t="str">
        <f>"146"</f>
        <v>146</v>
      </c>
      <c r="F918" t="s">
        <v>333</v>
      </c>
      <c r="G918" t="str">
        <f>"004"</f>
        <v>004</v>
      </c>
      <c r="H918" t="str">
        <f>"3213"</f>
        <v>3213</v>
      </c>
      <c r="I918" s="3">
        <v>3176600</v>
      </c>
      <c r="J918" s="3">
        <v>68.599999999999994</v>
      </c>
      <c r="K918" s="3">
        <v>4630600</v>
      </c>
      <c r="L918" s="3">
        <v>0</v>
      </c>
      <c r="M918" s="3">
        <v>4630600</v>
      </c>
      <c r="N918" s="3">
        <v>5787200</v>
      </c>
      <c r="O918" s="3">
        <v>5787200</v>
      </c>
      <c r="P918" s="3">
        <v>701200</v>
      </c>
      <c r="Q918" s="3">
        <v>701200</v>
      </c>
      <c r="R918" s="3">
        <v>-2400</v>
      </c>
      <c r="S918" s="3">
        <v>0</v>
      </c>
      <c r="T918" s="3">
        <v>0</v>
      </c>
      <c r="U918" s="3">
        <v>0</v>
      </c>
      <c r="V918" s="3">
        <v>2018</v>
      </c>
      <c r="W918" s="3">
        <v>7693200</v>
      </c>
      <c r="X918" s="3">
        <v>11116600</v>
      </c>
      <c r="Y918" s="3">
        <v>3423400</v>
      </c>
      <c r="Z918" s="3">
        <v>9872700</v>
      </c>
      <c r="AA918" s="3">
        <v>1243900</v>
      </c>
      <c r="AB918" s="3">
        <v>13</v>
      </c>
    </row>
    <row r="919" spans="1:28" x14ac:dyDescent="0.35">
      <c r="A919">
        <v>2022</v>
      </c>
      <c r="B919" t="str">
        <f t="shared" si="120"/>
        <v>48</v>
      </c>
      <c r="C919" t="s">
        <v>327</v>
      </c>
      <c r="D919" t="s">
        <v>33</v>
      </c>
      <c r="E919" t="str">
        <f>"151"</f>
        <v>151</v>
      </c>
      <c r="F919" t="s">
        <v>334</v>
      </c>
      <c r="G919" t="str">
        <f>"003"</f>
        <v>003</v>
      </c>
      <c r="H919" t="str">
        <f>"0238"</f>
        <v>0238</v>
      </c>
      <c r="I919" s="3">
        <v>3546100</v>
      </c>
      <c r="J919" s="3">
        <v>75.319999999999993</v>
      </c>
      <c r="K919" s="3">
        <v>4708000</v>
      </c>
      <c r="L919" s="3">
        <v>0</v>
      </c>
      <c r="M919" s="3">
        <v>4708000</v>
      </c>
      <c r="N919" s="3">
        <v>0</v>
      </c>
      <c r="O919" s="3">
        <v>0</v>
      </c>
      <c r="P919" s="3">
        <v>0</v>
      </c>
      <c r="Q919" s="3">
        <v>0</v>
      </c>
      <c r="R919" s="3">
        <v>-400</v>
      </c>
      <c r="S919" s="3">
        <v>0</v>
      </c>
      <c r="T919" s="3">
        <v>0</v>
      </c>
      <c r="U919" s="3">
        <v>0</v>
      </c>
      <c r="V919" s="3">
        <v>2004</v>
      </c>
      <c r="W919" s="3">
        <v>3546800</v>
      </c>
      <c r="X919" s="3">
        <v>4707600</v>
      </c>
      <c r="Y919" s="3">
        <v>1160800</v>
      </c>
      <c r="Z919" s="3">
        <v>1020500</v>
      </c>
      <c r="AA919" s="3">
        <v>3687100</v>
      </c>
      <c r="AB919" s="3">
        <v>361</v>
      </c>
    </row>
    <row r="920" spans="1:28" x14ac:dyDescent="0.35">
      <c r="A920">
        <v>2022</v>
      </c>
      <c r="B920" t="str">
        <f t="shared" si="120"/>
        <v>48</v>
      </c>
      <c r="C920" t="s">
        <v>327</v>
      </c>
      <c r="D920" t="s">
        <v>33</v>
      </c>
      <c r="E920" t="str">
        <f>"151"</f>
        <v>151</v>
      </c>
      <c r="F920" t="s">
        <v>334</v>
      </c>
      <c r="G920" t="str">
        <f>"004"</f>
        <v>004</v>
      </c>
      <c r="H920" t="str">
        <f>"0238"</f>
        <v>0238</v>
      </c>
      <c r="I920" s="3">
        <v>1594400</v>
      </c>
      <c r="J920" s="3">
        <v>75.319999999999993</v>
      </c>
      <c r="K920" s="3">
        <v>2116800</v>
      </c>
      <c r="L920" s="3">
        <v>0</v>
      </c>
      <c r="M920" s="3">
        <v>2116800</v>
      </c>
      <c r="N920" s="3">
        <v>0</v>
      </c>
      <c r="O920" s="3">
        <v>0</v>
      </c>
      <c r="P920" s="3">
        <v>90500</v>
      </c>
      <c r="Q920" s="3">
        <v>90500</v>
      </c>
      <c r="R920" s="3">
        <v>-800</v>
      </c>
      <c r="S920" s="3">
        <v>0</v>
      </c>
      <c r="T920" s="3">
        <v>0</v>
      </c>
      <c r="U920" s="3">
        <v>0</v>
      </c>
      <c r="V920" s="3">
        <v>2012</v>
      </c>
      <c r="W920" s="3">
        <v>1027700</v>
      </c>
      <c r="X920" s="3">
        <v>2206500</v>
      </c>
      <c r="Y920" s="3">
        <v>1178800</v>
      </c>
      <c r="Z920" s="3">
        <v>2023000</v>
      </c>
      <c r="AA920" s="3">
        <v>183500</v>
      </c>
      <c r="AB920" s="3">
        <v>9</v>
      </c>
    </row>
    <row r="921" spans="1:28" x14ac:dyDescent="0.35">
      <c r="A921">
        <v>2022</v>
      </c>
      <c r="B921" t="str">
        <f t="shared" si="120"/>
        <v>48</v>
      </c>
      <c r="C921" t="s">
        <v>327</v>
      </c>
      <c r="D921" t="s">
        <v>33</v>
      </c>
      <c r="E921" t="str">
        <f>"165"</f>
        <v>165</v>
      </c>
      <c r="F921" t="s">
        <v>335</v>
      </c>
      <c r="G921" t="str">
        <f>"002"</f>
        <v>002</v>
      </c>
      <c r="H921" t="str">
        <f>"4165"</f>
        <v>4165</v>
      </c>
      <c r="I921" s="3">
        <v>20179100</v>
      </c>
      <c r="J921" s="3">
        <v>100</v>
      </c>
      <c r="K921" s="3">
        <v>20179100</v>
      </c>
      <c r="L921" s="3">
        <v>0</v>
      </c>
      <c r="M921" s="3">
        <v>20179100</v>
      </c>
      <c r="N921" s="3">
        <v>7899600</v>
      </c>
      <c r="O921" s="3">
        <v>7899600</v>
      </c>
      <c r="P921" s="3">
        <v>907300</v>
      </c>
      <c r="Q921" s="3">
        <v>907300</v>
      </c>
      <c r="R921" s="3">
        <v>-18300</v>
      </c>
      <c r="S921" s="3">
        <v>0</v>
      </c>
      <c r="T921" s="3">
        <v>0</v>
      </c>
      <c r="U921" s="3">
        <v>0</v>
      </c>
      <c r="V921" s="3">
        <v>1992</v>
      </c>
      <c r="W921" s="3">
        <v>3751800</v>
      </c>
      <c r="X921" s="3">
        <v>28967700</v>
      </c>
      <c r="Y921" s="3">
        <v>25215900</v>
      </c>
      <c r="Z921" s="3">
        <v>29485300</v>
      </c>
      <c r="AA921" s="3">
        <v>-517600</v>
      </c>
      <c r="AB921" s="3">
        <v>-2</v>
      </c>
    </row>
    <row r="922" spans="1:28" x14ac:dyDescent="0.35">
      <c r="A922">
        <v>2022</v>
      </c>
      <c r="B922" t="str">
        <f t="shared" si="120"/>
        <v>48</v>
      </c>
      <c r="C922" t="s">
        <v>327</v>
      </c>
      <c r="D922" t="s">
        <v>33</v>
      </c>
      <c r="E922" t="str">
        <f>"165"</f>
        <v>165</v>
      </c>
      <c r="F922" t="s">
        <v>335</v>
      </c>
      <c r="G922" t="str">
        <f>"003"</f>
        <v>003</v>
      </c>
      <c r="H922" t="str">
        <f>"4165"</f>
        <v>4165</v>
      </c>
      <c r="I922" s="3">
        <v>6919600</v>
      </c>
      <c r="J922" s="3">
        <v>100</v>
      </c>
      <c r="K922" s="3">
        <v>6919600</v>
      </c>
      <c r="L922" s="3">
        <v>0</v>
      </c>
      <c r="M922" s="3">
        <v>6919600</v>
      </c>
      <c r="N922" s="3">
        <v>0</v>
      </c>
      <c r="O922" s="3">
        <v>0</v>
      </c>
      <c r="P922" s="3">
        <v>0</v>
      </c>
      <c r="Q922" s="3">
        <v>0</v>
      </c>
      <c r="R922" s="3">
        <v>-25200</v>
      </c>
      <c r="S922" s="3">
        <v>0</v>
      </c>
      <c r="T922" s="3">
        <v>0</v>
      </c>
      <c r="U922" s="3">
        <v>0</v>
      </c>
      <c r="V922" s="3">
        <v>2020</v>
      </c>
      <c r="W922" s="3">
        <v>3276800</v>
      </c>
      <c r="X922" s="3">
        <v>6894400</v>
      </c>
      <c r="Y922" s="3">
        <v>3617600</v>
      </c>
      <c r="Z922" s="3">
        <v>6789800</v>
      </c>
      <c r="AA922" s="3">
        <v>104600</v>
      </c>
      <c r="AB922" s="3">
        <v>2</v>
      </c>
    </row>
    <row r="923" spans="1:28" x14ac:dyDescent="0.35">
      <c r="A923">
        <v>2022</v>
      </c>
      <c r="B923" t="str">
        <f t="shared" si="120"/>
        <v>48</v>
      </c>
      <c r="C923" t="s">
        <v>327</v>
      </c>
      <c r="D923" t="s">
        <v>33</v>
      </c>
      <c r="E923" t="str">
        <f>"168"</f>
        <v>168</v>
      </c>
      <c r="F923" t="s">
        <v>42</v>
      </c>
      <c r="G923" t="str">
        <f>"003"</f>
        <v>003</v>
      </c>
      <c r="H923" t="str">
        <f>"5810"</f>
        <v>5810</v>
      </c>
      <c r="I923" s="3">
        <v>9956000</v>
      </c>
      <c r="J923" s="3">
        <v>100</v>
      </c>
      <c r="K923" s="3">
        <v>9956000</v>
      </c>
      <c r="L923" s="3">
        <v>0</v>
      </c>
      <c r="M923" s="3">
        <v>9956000</v>
      </c>
      <c r="N923" s="3">
        <v>3672500</v>
      </c>
      <c r="O923" s="3">
        <v>3672500</v>
      </c>
      <c r="P923" s="3">
        <v>492700</v>
      </c>
      <c r="Q923" s="3">
        <v>492700</v>
      </c>
      <c r="R923" s="3">
        <v>-14500</v>
      </c>
      <c r="S923" s="3">
        <v>0</v>
      </c>
      <c r="T923" s="3">
        <v>0</v>
      </c>
      <c r="U923" s="3">
        <v>0</v>
      </c>
      <c r="V923" s="3">
        <v>2009</v>
      </c>
      <c r="W923" s="3">
        <v>4222500</v>
      </c>
      <c r="X923" s="3">
        <v>14106700</v>
      </c>
      <c r="Y923" s="3">
        <v>9884200</v>
      </c>
      <c r="Z923" s="3">
        <v>11916700</v>
      </c>
      <c r="AA923" s="3">
        <v>2190000</v>
      </c>
      <c r="AB923" s="3">
        <v>18</v>
      </c>
    </row>
    <row r="924" spans="1:28" x14ac:dyDescent="0.35">
      <c r="A924">
        <v>2022</v>
      </c>
      <c r="B924" t="str">
        <f t="shared" si="120"/>
        <v>48</v>
      </c>
      <c r="C924" t="s">
        <v>327</v>
      </c>
      <c r="D924" t="s">
        <v>35</v>
      </c>
      <c r="E924" t="str">
        <f>"201"</f>
        <v>201</v>
      </c>
      <c r="F924" t="s">
        <v>336</v>
      </c>
      <c r="G924" t="str">
        <f>"006"</f>
        <v>006</v>
      </c>
      <c r="H924" t="str">
        <f>"0119"</f>
        <v>0119</v>
      </c>
      <c r="I924" s="3">
        <v>6709000</v>
      </c>
      <c r="J924" s="3">
        <v>100</v>
      </c>
      <c r="K924" s="3">
        <v>6709000</v>
      </c>
      <c r="L924" s="3">
        <v>0</v>
      </c>
      <c r="M924" s="3">
        <v>6709000</v>
      </c>
      <c r="N924" s="3">
        <v>0</v>
      </c>
      <c r="O924" s="3">
        <v>0</v>
      </c>
      <c r="P924" s="3">
        <v>0</v>
      </c>
      <c r="Q924" s="3">
        <v>0</v>
      </c>
      <c r="R924" s="3">
        <v>0</v>
      </c>
      <c r="S924" s="3">
        <v>0</v>
      </c>
      <c r="T924" s="3">
        <v>0</v>
      </c>
      <c r="U924" s="3">
        <v>26435800</v>
      </c>
      <c r="V924" s="3">
        <v>2004</v>
      </c>
      <c r="W924" s="3">
        <v>21098500</v>
      </c>
      <c r="X924" s="3">
        <v>33144800</v>
      </c>
      <c r="Y924" s="3">
        <v>12046300</v>
      </c>
      <c r="Z924" s="3">
        <v>26435800</v>
      </c>
      <c r="AA924" s="3">
        <v>6709000</v>
      </c>
      <c r="AB924" s="3">
        <v>25</v>
      </c>
    </row>
    <row r="925" spans="1:28" x14ac:dyDescent="0.35">
      <c r="A925">
        <v>2022</v>
      </c>
      <c r="B925" t="str">
        <f t="shared" si="120"/>
        <v>48</v>
      </c>
      <c r="C925" t="s">
        <v>327</v>
      </c>
      <c r="D925" t="s">
        <v>35</v>
      </c>
      <c r="E925" t="str">
        <f>"201"</f>
        <v>201</v>
      </c>
      <c r="F925" t="s">
        <v>336</v>
      </c>
      <c r="G925" t="str">
        <f>"007"</f>
        <v>007</v>
      </c>
      <c r="H925" t="str">
        <f>"0119"</f>
        <v>0119</v>
      </c>
      <c r="I925" s="3">
        <v>62000</v>
      </c>
      <c r="J925" s="3">
        <v>100</v>
      </c>
      <c r="K925" s="3">
        <v>62000</v>
      </c>
      <c r="L925" s="3">
        <v>0</v>
      </c>
      <c r="M925" s="3">
        <v>62000</v>
      </c>
      <c r="N925" s="3">
        <v>5640200</v>
      </c>
      <c r="O925" s="3">
        <v>5640200</v>
      </c>
      <c r="P925" s="3">
        <v>371900</v>
      </c>
      <c r="Q925" s="3">
        <v>371900</v>
      </c>
      <c r="R925" s="3">
        <v>0</v>
      </c>
      <c r="S925" s="3">
        <v>0</v>
      </c>
      <c r="T925" s="3">
        <v>0</v>
      </c>
      <c r="U925" s="3">
        <v>0</v>
      </c>
      <c r="V925" s="3">
        <v>2010</v>
      </c>
      <c r="W925" s="3">
        <v>3318500</v>
      </c>
      <c r="X925" s="3">
        <v>6074100</v>
      </c>
      <c r="Y925" s="3">
        <v>2755600</v>
      </c>
      <c r="Z925" s="3">
        <v>5828200</v>
      </c>
      <c r="AA925" s="3">
        <v>245900</v>
      </c>
      <c r="AB925" s="3">
        <v>4</v>
      </c>
    </row>
    <row r="926" spans="1:28" x14ac:dyDescent="0.35">
      <c r="A926">
        <v>2022</v>
      </c>
      <c r="B926" t="str">
        <f t="shared" si="120"/>
        <v>48</v>
      </c>
      <c r="C926" t="s">
        <v>327</v>
      </c>
      <c r="D926" t="s">
        <v>35</v>
      </c>
      <c r="E926" t="str">
        <f>"201"</f>
        <v>201</v>
      </c>
      <c r="F926" t="s">
        <v>336</v>
      </c>
      <c r="G926" t="str">
        <f>"008"</f>
        <v>008</v>
      </c>
      <c r="H926" t="str">
        <f>"0119"</f>
        <v>0119</v>
      </c>
      <c r="I926" s="3">
        <v>11556500</v>
      </c>
      <c r="J926" s="3">
        <v>100</v>
      </c>
      <c r="K926" s="3">
        <v>11556500</v>
      </c>
      <c r="L926" s="3">
        <v>0</v>
      </c>
      <c r="M926" s="3">
        <v>11556500</v>
      </c>
      <c r="N926" s="3">
        <v>2538300</v>
      </c>
      <c r="O926" s="3">
        <v>2538300</v>
      </c>
      <c r="P926" s="3">
        <v>109600</v>
      </c>
      <c r="Q926" s="3">
        <v>109600</v>
      </c>
      <c r="R926" s="3">
        <v>19300</v>
      </c>
      <c r="S926" s="3">
        <v>0</v>
      </c>
      <c r="T926" s="3">
        <v>0</v>
      </c>
      <c r="U926" s="3">
        <v>0</v>
      </c>
      <c r="V926" s="3">
        <v>2016</v>
      </c>
      <c r="W926" s="3">
        <v>11186200</v>
      </c>
      <c r="X926" s="3">
        <v>14223700</v>
      </c>
      <c r="Y926" s="3">
        <v>3037500</v>
      </c>
      <c r="Z926" s="3">
        <v>13871000</v>
      </c>
      <c r="AA926" s="3">
        <v>352700</v>
      </c>
      <c r="AB926" s="3">
        <v>3</v>
      </c>
    </row>
    <row r="927" spans="1:28" x14ac:dyDescent="0.35">
      <c r="A927">
        <v>2022</v>
      </c>
      <c r="B927" t="str">
        <f t="shared" si="120"/>
        <v>48</v>
      </c>
      <c r="C927" t="s">
        <v>327</v>
      </c>
      <c r="D927" t="s">
        <v>35</v>
      </c>
      <c r="E927" t="str">
        <f>"201"</f>
        <v>201</v>
      </c>
      <c r="F927" t="s">
        <v>336</v>
      </c>
      <c r="G927" t="str">
        <f>"009"</f>
        <v>009</v>
      </c>
      <c r="H927" t="str">
        <f>"0119"</f>
        <v>0119</v>
      </c>
      <c r="I927" s="3">
        <v>34400700</v>
      </c>
      <c r="J927" s="3">
        <v>100</v>
      </c>
      <c r="K927" s="3">
        <v>34400700</v>
      </c>
      <c r="L927" s="3">
        <v>0</v>
      </c>
      <c r="M927" s="3">
        <v>34400700</v>
      </c>
      <c r="N927" s="3">
        <v>0</v>
      </c>
      <c r="O927" s="3">
        <v>0</v>
      </c>
      <c r="P927" s="3">
        <v>0</v>
      </c>
      <c r="Q927" s="3">
        <v>0</v>
      </c>
      <c r="R927" s="3">
        <v>-23100</v>
      </c>
      <c r="S927" s="3">
        <v>0</v>
      </c>
      <c r="T927" s="3">
        <v>0</v>
      </c>
      <c r="U927" s="3">
        <v>182400</v>
      </c>
      <c r="V927" s="3">
        <v>2019</v>
      </c>
      <c r="W927" s="3">
        <v>28362900</v>
      </c>
      <c r="X927" s="3">
        <v>34560000</v>
      </c>
      <c r="Y927" s="3">
        <v>6197100</v>
      </c>
      <c r="Z927" s="3">
        <v>34598700</v>
      </c>
      <c r="AA927" s="3">
        <v>-38700</v>
      </c>
      <c r="AB927" s="3">
        <v>0</v>
      </c>
    </row>
    <row r="928" spans="1:28" x14ac:dyDescent="0.35">
      <c r="A928">
        <v>2022</v>
      </c>
      <c r="B928" t="str">
        <f t="shared" ref="B928:B945" si="121">"49"</f>
        <v>49</v>
      </c>
      <c r="C928" t="s">
        <v>105</v>
      </c>
      <c r="D928" t="s">
        <v>33</v>
      </c>
      <c r="E928" t="str">
        <f>"102"</f>
        <v>102</v>
      </c>
      <c r="F928" t="s">
        <v>337</v>
      </c>
      <c r="G928" t="str">
        <f>"002"</f>
        <v>002</v>
      </c>
      <c r="H928" t="str">
        <f>"0126"</f>
        <v>0126</v>
      </c>
      <c r="I928" s="3">
        <v>1342100</v>
      </c>
      <c r="J928" s="3">
        <v>72.63</v>
      </c>
      <c r="K928" s="3">
        <v>1847900</v>
      </c>
      <c r="L928" s="3">
        <v>0</v>
      </c>
      <c r="M928" s="3">
        <v>1847900</v>
      </c>
      <c r="N928" s="3">
        <v>0</v>
      </c>
      <c r="O928" s="3">
        <v>0</v>
      </c>
      <c r="P928" s="3">
        <v>0</v>
      </c>
      <c r="Q928" s="3">
        <v>0</v>
      </c>
      <c r="R928" s="3">
        <v>-6700</v>
      </c>
      <c r="S928" s="3">
        <v>0</v>
      </c>
      <c r="T928" s="3">
        <v>0</v>
      </c>
      <c r="U928" s="3">
        <v>0</v>
      </c>
      <c r="V928" s="3">
        <v>2003</v>
      </c>
      <c r="W928" s="3">
        <v>17200</v>
      </c>
      <c r="X928" s="3">
        <v>1841200</v>
      </c>
      <c r="Y928" s="3">
        <v>1824000</v>
      </c>
      <c r="Z928" s="3">
        <v>1740000</v>
      </c>
      <c r="AA928" s="3">
        <v>101200</v>
      </c>
      <c r="AB928" s="3">
        <v>6</v>
      </c>
    </row>
    <row r="929" spans="1:28" x14ac:dyDescent="0.35">
      <c r="A929">
        <v>2022</v>
      </c>
      <c r="B929" t="str">
        <f t="shared" si="121"/>
        <v>49</v>
      </c>
      <c r="C929" t="s">
        <v>105</v>
      </c>
      <c r="D929" t="s">
        <v>33</v>
      </c>
      <c r="E929" t="str">
        <f>"141"</f>
        <v>141</v>
      </c>
      <c r="F929" t="s">
        <v>338</v>
      </c>
      <c r="G929" t="str">
        <f>"001"</f>
        <v>001</v>
      </c>
      <c r="H929" t="str">
        <f t="shared" ref="H929:H945" si="122">"5607"</f>
        <v>5607</v>
      </c>
      <c r="I929" s="3">
        <v>1608700</v>
      </c>
      <c r="J929" s="3">
        <v>73.28</v>
      </c>
      <c r="K929" s="3">
        <v>2195300</v>
      </c>
      <c r="L929" s="3">
        <v>0</v>
      </c>
      <c r="M929" s="3">
        <v>2195300</v>
      </c>
      <c r="N929" s="3">
        <v>0</v>
      </c>
      <c r="O929" s="3">
        <v>0</v>
      </c>
      <c r="P929" s="3">
        <v>0</v>
      </c>
      <c r="Q929" s="3">
        <v>0</v>
      </c>
      <c r="R929" s="3">
        <v>6100</v>
      </c>
      <c r="S929" s="3">
        <v>0</v>
      </c>
      <c r="T929" s="3">
        <v>0</v>
      </c>
      <c r="U929" s="3">
        <v>653900</v>
      </c>
      <c r="V929" s="3">
        <v>2008</v>
      </c>
      <c r="W929" s="3">
        <v>1267700</v>
      </c>
      <c r="X929" s="3">
        <v>2855300</v>
      </c>
      <c r="Y929" s="3">
        <v>1587600</v>
      </c>
      <c r="Z929" s="3">
        <v>2608300</v>
      </c>
      <c r="AA929" s="3">
        <v>247000</v>
      </c>
      <c r="AB929" s="3">
        <v>9</v>
      </c>
    </row>
    <row r="930" spans="1:28" x14ac:dyDescent="0.35">
      <c r="A930">
        <v>2022</v>
      </c>
      <c r="B930" t="str">
        <f t="shared" si="121"/>
        <v>49</v>
      </c>
      <c r="C930" t="s">
        <v>105</v>
      </c>
      <c r="D930" t="s">
        <v>33</v>
      </c>
      <c r="E930" t="str">
        <f>"141"</f>
        <v>141</v>
      </c>
      <c r="F930" t="s">
        <v>338</v>
      </c>
      <c r="G930" t="str">
        <f>"002"</f>
        <v>002</v>
      </c>
      <c r="H930" t="str">
        <f t="shared" si="122"/>
        <v>5607</v>
      </c>
      <c r="I930" s="3">
        <v>1913900</v>
      </c>
      <c r="J930" s="3">
        <v>73.28</v>
      </c>
      <c r="K930" s="3">
        <v>2611800</v>
      </c>
      <c r="L930" s="3">
        <v>0</v>
      </c>
      <c r="M930" s="3">
        <v>2611800</v>
      </c>
      <c r="N930" s="3">
        <v>0</v>
      </c>
      <c r="O930" s="3">
        <v>0</v>
      </c>
      <c r="P930" s="3">
        <v>0</v>
      </c>
      <c r="Q930" s="3">
        <v>0</v>
      </c>
      <c r="R930" s="3">
        <v>7300</v>
      </c>
      <c r="S930" s="3">
        <v>0</v>
      </c>
      <c r="T930" s="3">
        <v>0</v>
      </c>
      <c r="U930" s="3">
        <v>0</v>
      </c>
      <c r="V930" s="3">
        <v>2019</v>
      </c>
      <c r="W930" s="3">
        <v>1883200</v>
      </c>
      <c r="X930" s="3">
        <v>2619100</v>
      </c>
      <c r="Y930" s="3">
        <v>735900</v>
      </c>
      <c r="Z930" s="3">
        <v>2340300</v>
      </c>
      <c r="AA930" s="3">
        <v>278800</v>
      </c>
      <c r="AB930" s="3">
        <v>12</v>
      </c>
    </row>
    <row r="931" spans="1:28" x14ac:dyDescent="0.35">
      <c r="A931">
        <v>2022</v>
      </c>
      <c r="B931" t="str">
        <f t="shared" si="121"/>
        <v>49</v>
      </c>
      <c r="C931" t="s">
        <v>105</v>
      </c>
      <c r="D931" t="s">
        <v>33</v>
      </c>
      <c r="E931" t="str">
        <f>"173"</f>
        <v>173</v>
      </c>
      <c r="F931" t="s">
        <v>339</v>
      </c>
      <c r="G931" t="str">
        <f>"003"</f>
        <v>003</v>
      </c>
      <c r="H931" t="str">
        <f t="shared" si="122"/>
        <v>5607</v>
      </c>
      <c r="I931" s="3">
        <v>12180300</v>
      </c>
      <c r="J931" s="3">
        <v>100</v>
      </c>
      <c r="K931" s="3">
        <v>12180300</v>
      </c>
      <c r="L931" s="3">
        <v>0</v>
      </c>
      <c r="M931" s="3">
        <v>12180300</v>
      </c>
      <c r="N931" s="3">
        <v>10701100</v>
      </c>
      <c r="O931" s="3">
        <v>10701100</v>
      </c>
      <c r="P931" s="3">
        <v>3576600</v>
      </c>
      <c r="Q931" s="3">
        <v>3576600</v>
      </c>
      <c r="R931" s="3">
        <v>19800</v>
      </c>
      <c r="S931" s="3">
        <v>0</v>
      </c>
      <c r="T931" s="3">
        <v>0</v>
      </c>
      <c r="U931" s="3">
        <v>0</v>
      </c>
      <c r="V931" s="3">
        <v>2003</v>
      </c>
      <c r="W931" s="3">
        <v>532100</v>
      </c>
      <c r="X931" s="3">
        <v>26477800</v>
      </c>
      <c r="Y931" s="3">
        <v>25945700</v>
      </c>
      <c r="Z931" s="3">
        <v>24349400</v>
      </c>
      <c r="AA931" s="3">
        <v>2128400</v>
      </c>
      <c r="AB931" s="3">
        <v>9</v>
      </c>
    </row>
    <row r="932" spans="1:28" x14ac:dyDescent="0.35">
      <c r="A932">
        <v>2022</v>
      </c>
      <c r="B932" t="str">
        <f t="shared" si="121"/>
        <v>49</v>
      </c>
      <c r="C932" t="s">
        <v>105</v>
      </c>
      <c r="D932" t="s">
        <v>33</v>
      </c>
      <c r="E932" t="str">
        <f>"173"</f>
        <v>173</v>
      </c>
      <c r="F932" t="s">
        <v>339</v>
      </c>
      <c r="G932" t="str">
        <f>"004"</f>
        <v>004</v>
      </c>
      <c r="H932" t="str">
        <f t="shared" si="122"/>
        <v>5607</v>
      </c>
      <c r="I932" s="3">
        <v>77555700</v>
      </c>
      <c r="J932" s="3">
        <v>100</v>
      </c>
      <c r="K932" s="3">
        <v>77555700</v>
      </c>
      <c r="L932" s="3">
        <v>0</v>
      </c>
      <c r="M932" s="3">
        <v>77555700</v>
      </c>
      <c r="N932" s="3">
        <v>0</v>
      </c>
      <c r="O932" s="3">
        <v>0</v>
      </c>
      <c r="P932" s="3">
        <v>64500</v>
      </c>
      <c r="Q932" s="3">
        <v>64500</v>
      </c>
      <c r="R932" s="3">
        <v>144500</v>
      </c>
      <c r="S932" s="3">
        <v>0</v>
      </c>
      <c r="T932" s="3">
        <v>0</v>
      </c>
      <c r="U932" s="3">
        <v>0</v>
      </c>
      <c r="V932" s="3">
        <v>2004</v>
      </c>
      <c r="W932" s="3">
        <v>16780000</v>
      </c>
      <c r="X932" s="3">
        <v>77764700</v>
      </c>
      <c r="Y932" s="3">
        <v>60984700</v>
      </c>
      <c r="Z932" s="3">
        <v>69987800</v>
      </c>
      <c r="AA932" s="3">
        <v>7776900</v>
      </c>
      <c r="AB932" s="3">
        <v>11</v>
      </c>
    </row>
    <row r="933" spans="1:28" x14ac:dyDescent="0.35">
      <c r="A933">
        <v>2022</v>
      </c>
      <c r="B933" t="str">
        <f t="shared" si="121"/>
        <v>49</v>
      </c>
      <c r="C933" t="s">
        <v>105</v>
      </c>
      <c r="D933" t="s">
        <v>33</v>
      </c>
      <c r="E933" t="str">
        <f>"173"</f>
        <v>173</v>
      </c>
      <c r="F933" t="s">
        <v>339</v>
      </c>
      <c r="G933" t="str">
        <f>"005"</f>
        <v>005</v>
      </c>
      <c r="H933" t="str">
        <f t="shared" si="122"/>
        <v>5607</v>
      </c>
      <c r="I933" s="3">
        <v>68044400</v>
      </c>
      <c r="J933" s="3">
        <v>100</v>
      </c>
      <c r="K933" s="3">
        <v>68044400</v>
      </c>
      <c r="L933" s="3">
        <v>0</v>
      </c>
      <c r="M933" s="3">
        <v>68044400</v>
      </c>
      <c r="N933" s="3">
        <v>0</v>
      </c>
      <c r="O933" s="3">
        <v>0</v>
      </c>
      <c r="P933" s="3">
        <v>0</v>
      </c>
      <c r="Q933" s="3">
        <v>0</v>
      </c>
      <c r="R933" s="3">
        <v>98700</v>
      </c>
      <c r="S933" s="3">
        <v>0</v>
      </c>
      <c r="T933" s="3">
        <v>0</v>
      </c>
      <c r="U933" s="3">
        <v>0</v>
      </c>
      <c r="V933" s="3">
        <v>2005</v>
      </c>
      <c r="W933" s="3">
        <v>2951500</v>
      </c>
      <c r="X933" s="3">
        <v>68143100</v>
      </c>
      <c r="Y933" s="3">
        <v>65191600</v>
      </c>
      <c r="Z933" s="3">
        <v>47686300</v>
      </c>
      <c r="AA933" s="3">
        <v>20456800</v>
      </c>
      <c r="AB933" s="3">
        <v>43</v>
      </c>
    </row>
    <row r="934" spans="1:28" x14ac:dyDescent="0.35">
      <c r="A934">
        <v>2022</v>
      </c>
      <c r="B934" t="str">
        <f t="shared" si="121"/>
        <v>49</v>
      </c>
      <c r="C934" t="s">
        <v>105</v>
      </c>
      <c r="D934" t="s">
        <v>33</v>
      </c>
      <c r="E934" t="str">
        <f>"173"</f>
        <v>173</v>
      </c>
      <c r="F934" t="s">
        <v>339</v>
      </c>
      <c r="G934" t="str">
        <f>"006"</f>
        <v>006</v>
      </c>
      <c r="H934" t="str">
        <f t="shared" si="122"/>
        <v>5607</v>
      </c>
      <c r="I934" s="3">
        <v>12875200</v>
      </c>
      <c r="J934" s="3">
        <v>100</v>
      </c>
      <c r="K934" s="3">
        <v>12875200</v>
      </c>
      <c r="L934" s="3">
        <v>0</v>
      </c>
      <c r="M934" s="3">
        <v>12875200</v>
      </c>
      <c r="N934" s="3">
        <v>0</v>
      </c>
      <c r="O934" s="3">
        <v>0</v>
      </c>
      <c r="P934" s="3">
        <v>0</v>
      </c>
      <c r="Q934" s="3">
        <v>0</v>
      </c>
      <c r="R934" s="3">
        <v>25900</v>
      </c>
      <c r="S934" s="3">
        <v>0</v>
      </c>
      <c r="T934" s="3">
        <v>0</v>
      </c>
      <c r="U934" s="3">
        <v>0</v>
      </c>
      <c r="V934" s="3">
        <v>2010</v>
      </c>
      <c r="W934" s="3">
        <v>3300</v>
      </c>
      <c r="X934" s="3">
        <v>12901100</v>
      </c>
      <c r="Y934" s="3">
        <v>12897800</v>
      </c>
      <c r="Z934" s="3">
        <v>12507900</v>
      </c>
      <c r="AA934" s="3">
        <v>393200</v>
      </c>
      <c r="AB934" s="3">
        <v>3</v>
      </c>
    </row>
    <row r="935" spans="1:28" x14ac:dyDescent="0.35">
      <c r="A935">
        <v>2022</v>
      </c>
      <c r="B935" t="str">
        <f t="shared" si="121"/>
        <v>49</v>
      </c>
      <c r="C935" t="s">
        <v>105</v>
      </c>
      <c r="D935" t="s">
        <v>33</v>
      </c>
      <c r="E935" t="str">
        <f>"173"</f>
        <v>173</v>
      </c>
      <c r="F935" t="s">
        <v>339</v>
      </c>
      <c r="G935" t="str">
        <f>"007"</f>
        <v>007</v>
      </c>
      <c r="H935" t="str">
        <f t="shared" si="122"/>
        <v>5607</v>
      </c>
      <c r="I935" s="3">
        <v>8395100</v>
      </c>
      <c r="J935" s="3">
        <v>100</v>
      </c>
      <c r="K935" s="3">
        <v>8395100</v>
      </c>
      <c r="L935" s="3">
        <v>0</v>
      </c>
      <c r="M935" s="3">
        <v>8395100</v>
      </c>
      <c r="N935" s="3">
        <v>0</v>
      </c>
      <c r="O935" s="3">
        <v>0</v>
      </c>
      <c r="P935" s="3">
        <v>0</v>
      </c>
      <c r="Q935" s="3">
        <v>0</v>
      </c>
      <c r="R935" s="3">
        <v>11500</v>
      </c>
      <c r="S935" s="3">
        <v>0</v>
      </c>
      <c r="T935" s="3">
        <v>0</v>
      </c>
      <c r="U935" s="3">
        <v>0</v>
      </c>
      <c r="V935" s="3">
        <v>2013</v>
      </c>
      <c r="W935" s="3">
        <v>2798700</v>
      </c>
      <c r="X935" s="3">
        <v>8406600</v>
      </c>
      <c r="Y935" s="3">
        <v>5607900</v>
      </c>
      <c r="Z935" s="3">
        <v>5564500</v>
      </c>
      <c r="AA935" s="3">
        <v>2842100</v>
      </c>
      <c r="AB935" s="3">
        <v>51</v>
      </c>
    </row>
    <row r="936" spans="1:28" x14ac:dyDescent="0.35">
      <c r="A936">
        <v>2022</v>
      </c>
      <c r="B936" t="str">
        <f t="shared" si="121"/>
        <v>49</v>
      </c>
      <c r="C936" t="s">
        <v>105</v>
      </c>
      <c r="D936" t="s">
        <v>33</v>
      </c>
      <c r="E936" t="str">
        <f>"191"</f>
        <v>191</v>
      </c>
      <c r="F936" t="s">
        <v>340</v>
      </c>
      <c r="G936" t="str">
        <f>"001"</f>
        <v>001</v>
      </c>
      <c r="H936" t="str">
        <f t="shared" si="122"/>
        <v>5607</v>
      </c>
      <c r="I936" s="3">
        <v>4028800</v>
      </c>
      <c r="J936" s="3">
        <v>71.459999999999994</v>
      </c>
      <c r="K936" s="3">
        <v>5637800</v>
      </c>
      <c r="L936" s="3">
        <v>5300400</v>
      </c>
      <c r="M936" s="3">
        <v>5300400</v>
      </c>
      <c r="N936" s="3">
        <v>313700</v>
      </c>
      <c r="O936" s="3">
        <v>313700</v>
      </c>
      <c r="P936" s="3">
        <v>0</v>
      </c>
      <c r="Q936" s="3">
        <v>0</v>
      </c>
      <c r="R936" s="3">
        <v>13100</v>
      </c>
      <c r="S936" s="3">
        <v>0</v>
      </c>
      <c r="T936" s="3">
        <v>0</v>
      </c>
      <c r="U936" s="3">
        <v>0</v>
      </c>
      <c r="V936" s="3">
        <v>1994</v>
      </c>
      <c r="W936" s="3">
        <v>1704800</v>
      </c>
      <c r="X936" s="3">
        <v>5627200</v>
      </c>
      <c r="Y936" s="3">
        <v>3922400</v>
      </c>
      <c r="Z936" s="3">
        <v>5302000</v>
      </c>
      <c r="AA936" s="3">
        <v>325200</v>
      </c>
      <c r="AB936" s="3">
        <v>6</v>
      </c>
    </row>
    <row r="937" spans="1:28" x14ac:dyDescent="0.35">
      <c r="A937">
        <v>2022</v>
      </c>
      <c r="B937" t="str">
        <f t="shared" si="121"/>
        <v>49</v>
      </c>
      <c r="C937" t="s">
        <v>105</v>
      </c>
      <c r="D937" t="s">
        <v>35</v>
      </c>
      <c r="E937" t="str">
        <f t="shared" ref="E937:E945" si="123">"281"</f>
        <v>281</v>
      </c>
      <c r="F937" t="s">
        <v>341</v>
      </c>
      <c r="G937" t="str">
        <f>"005"</f>
        <v>005</v>
      </c>
      <c r="H937" t="str">
        <f t="shared" si="122"/>
        <v>5607</v>
      </c>
      <c r="I937" s="3">
        <v>117951500</v>
      </c>
      <c r="J937" s="3">
        <v>76.5</v>
      </c>
      <c r="K937" s="3">
        <v>154185000</v>
      </c>
      <c r="L937" s="3">
        <v>0</v>
      </c>
      <c r="M937" s="3">
        <v>154185000</v>
      </c>
      <c r="N937" s="3">
        <v>0</v>
      </c>
      <c r="O937" s="3">
        <v>0</v>
      </c>
      <c r="P937" s="3">
        <v>500</v>
      </c>
      <c r="Q937" s="3">
        <v>500</v>
      </c>
      <c r="R937" s="3">
        <v>-99600</v>
      </c>
      <c r="S937" s="3">
        <v>0</v>
      </c>
      <c r="T937" s="3">
        <v>0</v>
      </c>
      <c r="U937" s="3">
        <v>12886600</v>
      </c>
      <c r="V937" s="3">
        <v>2005</v>
      </c>
      <c r="W937" s="3">
        <v>37940700</v>
      </c>
      <c r="X937" s="3">
        <v>166972500</v>
      </c>
      <c r="Y937" s="3">
        <v>129031800</v>
      </c>
      <c r="Z937" s="3">
        <v>149843400</v>
      </c>
      <c r="AA937" s="3">
        <v>17129100</v>
      </c>
      <c r="AB937" s="3">
        <v>11</v>
      </c>
    </row>
    <row r="938" spans="1:28" x14ac:dyDescent="0.35">
      <c r="A938">
        <v>2022</v>
      </c>
      <c r="B938" t="str">
        <f t="shared" si="121"/>
        <v>49</v>
      </c>
      <c r="C938" t="s">
        <v>105</v>
      </c>
      <c r="D938" t="s">
        <v>35</v>
      </c>
      <c r="E938" t="str">
        <f t="shared" si="123"/>
        <v>281</v>
      </c>
      <c r="F938" t="s">
        <v>341</v>
      </c>
      <c r="G938" t="str">
        <f>"006"</f>
        <v>006</v>
      </c>
      <c r="H938" t="str">
        <f t="shared" si="122"/>
        <v>5607</v>
      </c>
      <c r="I938" s="3">
        <v>36293900</v>
      </c>
      <c r="J938" s="3">
        <v>76.5</v>
      </c>
      <c r="K938" s="3">
        <v>47443000</v>
      </c>
      <c r="L938" s="3">
        <v>0</v>
      </c>
      <c r="M938" s="3">
        <v>47443000</v>
      </c>
      <c r="N938" s="3">
        <v>0</v>
      </c>
      <c r="O938" s="3">
        <v>0</v>
      </c>
      <c r="P938" s="3">
        <v>8600</v>
      </c>
      <c r="Q938" s="3">
        <v>8600</v>
      </c>
      <c r="R938" s="3">
        <v>-29900</v>
      </c>
      <c r="S938" s="3">
        <v>0</v>
      </c>
      <c r="T938" s="3">
        <v>0</v>
      </c>
      <c r="U938" s="3">
        <v>18681900</v>
      </c>
      <c r="V938" s="3">
        <v>2006</v>
      </c>
      <c r="W938" s="3">
        <v>46305600</v>
      </c>
      <c r="X938" s="3">
        <v>66103600</v>
      </c>
      <c r="Y938" s="3">
        <v>19798000</v>
      </c>
      <c r="Z938" s="3">
        <v>59815700</v>
      </c>
      <c r="AA938" s="3">
        <v>6287900</v>
      </c>
      <c r="AB938" s="3">
        <v>11</v>
      </c>
    </row>
    <row r="939" spans="1:28" x14ac:dyDescent="0.35">
      <c r="A939">
        <v>2022</v>
      </c>
      <c r="B939" t="str">
        <f t="shared" si="121"/>
        <v>49</v>
      </c>
      <c r="C939" t="s">
        <v>105</v>
      </c>
      <c r="D939" t="s">
        <v>35</v>
      </c>
      <c r="E939" t="str">
        <f t="shared" si="123"/>
        <v>281</v>
      </c>
      <c r="F939" t="s">
        <v>341</v>
      </c>
      <c r="G939" t="str">
        <f>"007"</f>
        <v>007</v>
      </c>
      <c r="H939" t="str">
        <f t="shared" si="122"/>
        <v>5607</v>
      </c>
      <c r="I939" s="3">
        <v>29931600</v>
      </c>
      <c r="J939" s="3">
        <v>76.5</v>
      </c>
      <c r="K939" s="3">
        <v>39126300</v>
      </c>
      <c r="L939" s="3">
        <v>0</v>
      </c>
      <c r="M939" s="3">
        <v>39126300</v>
      </c>
      <c r="N939" s="3">
        <v>0</v>
      </c>
      <c r="O939" s="3">
        <v>0</v>
      </c>
      <c r="P939" s="3">
        <v>0</v>
      </c>
      <c r="Q939" s="3">
        <v>0</v>
      </c>
      <c r="R939" s="3">
        <v>-25300</v>
      </c>
      <c r="S939" s="3">
        <v>0</v>
      </c>
      <c r="T939" s="3">
        <v>0</v>
      </c>
      <c r="U939" s="3">
        <v>0</v>
      </c>
      <c r="V939" s="3">
        <v>2008</v>
      </c>
      <c r="W939" s="3">
        <v>10913900</v>
      </c>
      <c r="X939" s="3">
        <v>39101000</v>
      </c>
      <c r="Y939" s="3">
        <v>28187100</v>
      </c>
      <c r="Z939" s="3">
        <v>34600600</v>
      </c>
      <c r="AA939" s="3">
        <v>4500400</v>
      </c>
      <c r="AB939" s="3">
        <v>13</v>
      </c>
    </row>
    <row r="940" spans="1:28" x14ac:dyDescent="0.35">
      <c r="A940">
        <v>2022</v>
      </c>
      <c r="B940" t="str">
        <f t="shared" si="121"/>
        <v>49</v>
      </c>
      <c r="C940" t="s">
        <v>105</v>
      </c>
      <c r="D940" t="s">
        <v>35</v>
      </c>
      <c r="E940" t="str">
        <f t="shared" si="123"/>
        <v>281</v>
      </c>
      <c r="F940" t="s">
        <v>341</v>
      </c>
      <c r="G940" t="str">
        <f>"008"</f>
        <v>008</v>
      </c>
      <c r="H940" t="str">
        <f t="shared" si="122"/>
        <v>5607</v>
      </c>
      <c r="I940" s="3">
        <v>17603700</v>
      </c>
      <c r="J940" s="3">
        <v>76.5</v>
      </c>
      <c r="K940" s="3">
        <v>23011400</v>
      </c>
      <c r="L940" s="3">
        <v>0</v>
      </c>
      <c r="M940" s="3">
        <v>23011400</v>
      </c>
      <c r="N940" s="3">
        <v>13418400</v>
      </c>
      <c r="O940" s="3">
        <v>13418400</v>
      </c>
      <c r="P940" s="3">
        <v>2252000</v>
      </c>
      <c r="Q940" s="3">
        <v>2252000</v>
      </c>
      <c r="R940" s="3">
        <v>-12000</v>
      </c>
      <c r="S940" s="3">
        <v>0</v>
      </c>
      <c r="T940" s="3">
        <v>0</v>
      </c>
      <c r="U940" s="3">
        <v>0</v>
      </c>
      <c r="V940" s="3">
        <v>2010</v>
      </c>
      <c r="W940" s="3">
        <v>19785300</v>
      </c>
      <c r="X940" s="3">
        <v>38669800</v>
      </c>
      <c r="Y940" s="3">
        <v>18884500</v>
      </c>
      <c r="Z940" s="3">
        <v>29573200</v>
      </c>
      <c r="AA940" s="3">
        <v>9096600</v>
      </c>
      <c r="AB940" s="3">
        <v>31</v>
      </c>
    </row>
    <row r="941" spans="1:28" x14ac:dyDescent="0.35">
      <c r="A941">
        <v>2022</v>
      </c>
      <c r="B941" t="str">
        <f t="shared" si="121"/>
        <v>49</v>
      </c>
      <c r="C941" t="s">
        <v>105</v>
      </c>
      <c r="D941" t="s">
        <v>35</v>
      </c>
      <c r="E941" t="str">
        <f t="shared" si="123"/>
        <v>281</v>
      </c>
      <c r="F941" t="s">
        <v>341</v>
      </c>
      <c r="G941" t="str">
        <f>"009"</f>
        <v>009</v>
      </c>
      <c r="H941" t="str">
        <f t="shared" si="122"/>
        <v>5607</v>
      </c>
      <c r="I941" s="3">
        <v>175972900</v>
      </c>
      <c r="J941" s="3">
        <v>76.5</v>
      </c>
      <c r="K941" s="3">
        <v>230029900</v>
      </c>
      <c r="L941" s="3">
        <v>0</v>
      </c>
      <c r="M941" s="3">
        <v>230029900</v>
      </c>
      <c r="N941" s="3">
        <v>22153500</v>
      </c>
      <c r="O941" s="3">
        <v>22153500</v>
      </c>
      <c r="P941" s="3">
        <v>2442800</v>
      </c>
      <c r="Q941" s="3">
        <v>2442800</v>
      </c>
      <c r="R941" s="3">
        <v>-126100</v>
      </c>
      <c r="S941" s="3">
        <v>0</v>
      </c>
      <c r="T941" s="3">
        <v>0</v>
      </c>
      <c r="U941" s="3">
        <v>0</v>
      </c>
      <c r="V941" s="3">
        <v>2013</v>
      </c>
      <c r="W941" s="3">
        <v>58229400</v>
      </c>
      <c r="X941" s="3">
        <v>254500100</v>
      </c>
      <c r="Y941" s="3">
        <v>196270700</v>
      </c>
      <c r="Z941" s="3">
        <v>197387100</v>
      </c>
      <c r="AA941" s="3">
        <v>57113000</v>
      </c>
      <c r="AB941" s="3">
        <v>29</v>
      </c>
    </row>
    <row r="942" spans="1:28" x14ac:dyDescent="0.35">
      <c r="A942">
        <v>2022</v>
      </c>
      <c r="B942" t="str">
        <f t="shared" si="121"/>
        <v>49</v>
      </c>
      <c r="C942" t="s">
        <v>105</v>
      </c>
      <c r="D942" t="s">
        <v>35</v>
      </c>
      <c r="E942" t="str">
        <f t="shared" si="123"/>
        <v>281</v>
      </c>
      <c r="F942" t="s">
        <v>341</v>
      </c>
      <c r="G942" t="str">
        <f>"010"</f>
        <v>010</v>
      </c>
      <c r="H942" t="str">
        <f t="shared" si="122"/>
        <v>5607</v>
      </c>
      <c r="I942" s="3">
        <v>58571300</v>
      </c>
      <c r="J942" s="3">
        <v>76.5</v>
      </c>
      <c r="K942" s="3">
        <v>76563800</v>
      </c>
      <c r="L942" s="3">
        <v>0</v>
      </c>
      <c r="M942" s="3">
        <v>76563800</v>
      </c>
      <c r="N942" s="3">
        <v>280200</v>
      </c>
      <c r="O942" s="3">
        <v>280200</v>
      </c>
      <c r="P942" s="3">
        <v>20600</v>
      </c>
      <c r="Q942" s="3">
        <v>20600</v>
      </c>
      <c r="R942" s="3">
        <v>-40500</v>
      </c>
      <c r="S942" s="3">
        <v>0</v>
      </c>
      <c r="T942" s="3">
        <v>0</v>
      </c>
      <c r="U942" s="3">
        <v>0</v>
      </c>
      <c r="V942" s="3">
        <v>2019</v>
      </c>
      <c r="W942" s="3">
        <v>49132300</v>
      </c>
      <c r="X942" s="3">
        <v>76824100</v>
      </c>
      <c r="Y942" s="3">
        <v>27691800</v>
      </c>
      <c r="Z942" s="3">
        <v>56216400</v>
      </c>
      <c r="AA942" s="3">
        <v>20607700</v>
      </c>
      <c r="AB942" s="3">
        <v>37</v>
      </c>
    </row>
    <row r="943" spans="1:28" x14ac:dyDescent="0.35">
      <c r="A943">
        <v>2022</v>
      </c>
      <c r="B943" t="str">
        <f t="shared" si="121"/>
        <v>49</v>
      </c>
      <c r="C943" t="s">
        <v>105</v>
      </c>
      <c r="D943" t="s">
        <v>35</v>
      </c>
      <c r="E943" t="str">
        <f t="shared" si="123"/>
        <v>281</v>
      </c>
      <c r="F943" t="s">
        <v>341</v>
      </c>
      <c r="G943" t="str">
        <f>"011"</f>
        <v>011</v>
      </c>
      <c r="H943" t="str">
        <f t="shared" si="122"/>
        <v>5607</v>
      </c>
      <c r="I943" s="3">
        <v>20901500</v>
      </c>
      <c r="J943" s="3">
        <v>76.5</v>
      </c>
      <c r="K943" s="3">
        <v>27322200</v>
      </c>
      <c r="L943" s="3">
        <v>0</v>
      </c>
      <c r="M943" s="3">
        <v>27322200</v>
      </c>
      <c r="N943" s="3">
        <v>217800</v>
      </c>
      <c r="O943" s="3">
        <v>217800</v>
      </c>
      <c r="P943" s="3">
        <v>5300</v>
      </c>
      <c r="Q943" s="3">
        <v>5300</v>
      </c>
      <c r="R943" s="3">
        <v>-17500</v>
      </c>
      <c r="S943" s="3">
        <v>0</v>
      </c>
      <c r="T943" s="3">
        <v>0</v>
      </c>
      <c r="U943" s="3">
        <v>0</v>
      </c>
      <c r="V943" s="3">
        <v>2020</v>
      </c>
      <c r="W943" s="3">
        <v>24116400</v>
      </c>
      <c r="X943" s="3">
        <v>27527800</v>
      </c>
      <c r="Y943" s="3">
        <v>3411400</v>
      </c>
      <c r="Z943" s="3">
        <v>24999500</v>
      </c>
      <c r="AA943" s="3">
        <v>2528300</v>
      </c>
      <c r="AB943" s="3">
        <v>10</v>
      </c>
    </row>
    <row r="944" spans="1:28" x14ac:dyDescent="0.35">
      <c r="A944">
        <v>2022</v>
      </c>
      <c r="B944" t="str">
        <f t="shared" si="121"/>
        <v>49</v>
      </c>
      <c r="C944" t="s">
        <v>105</v>
      </c>
      <c r="D944" t="s">
        <v>35</v>
      </c>
      <c r="E944" t="str">
        <f t="shared" si="123"/>
        <v>281</v>
      </c>
      <c r="F944" t="s">
        <v>341</v>
      </c>
      <c r="G944" t="str">
        <f>"012"</f>
        <v>012</v>
      </c>
      <c r="H944" t="str">
        <f t="shared" si="122"/>
        <v>5607</v>
      </c>
      <c r="I944" s="3">
        <v>16368100</v>
      </c>
      <c r="J944" s="3">
        <v>76.5</v>
      </c>
      <c r="K944" s="3">
        <v>21396200</v>
      </c>
      <c r="L944" s="3">
        <v>0</v>
      </c>
      <c r="M944" s="3">
        <v>21396200</v>
      </c>
      <c r="N944" s="3">
        <v>1417100</v>
      </c>
      <c r="O944" s="3">
        <v>1417100</v>
      </c>
      <c r="P944" s="3">
        <v>721700</v>
      </c>
      <c r="Q944" s="3">
        <v>721700</v>
      </c>
      <c r="R944" s="3">
        <v>-13700</v>
      </c>
      <c r="S944" s="3">
        <v>0</v>
      </c>
      <c r="T944" s="3">
        <v>0</v>
      </c>
      <c r="U944" s="3">
        <v>0</v>
      </c>
      <c r="V944" s="3">
        <v>2020</v>
      </c>
      <c r="W944" s="3">
        <v>20492300</v>
      </c>
      <c r="X944" s="3">
        <v>23521300</v>
      </c>
      <c r="Y944" s="3">
        <v>3029000</v>
      </c>
      <c r="Z944" s="3">
        <v>21187000</v>
      </c>
      <c r="AA944" s="3">
        <v>2334300</v>
      </c>
      <c r="AB944" s="3">
        <v>11</v>
      </c>
    </row>
    <row r="945" spans="1:28" x14ac:dyDescent="0.35">
      <c r="A945">
        <v>2022</v>
      </c>
      <c r="B945" t="str">
        <f t="shared" si="121"/>
        <v>49</v>
      </c>
      <c r="C945" t="s">
        <v>105</v>
      </c>
      <c r="D945" t="s">
        <v>35</v>
      </c>
      <c r="E945" t="str">
        <f t="shared" si="123"/>
        <v>281</v>
      </c>
      <c r="F945" t="s">
        <v>341</v>
      </c>
      <c r="G945" t="str">
        <f>"013"</f>
        <v>013</v>
      </c>
      <c r="H945" t="str">
        <f t="shared" si="122"/>
        <v>5607</v>
      </c>
      <c r="I945" s="3">
        <v>5720300</v>
      </c>
      <c r="J945" s="3">
        <v>76.5</v>
      </c>
      <c r="K945" s="3">
        <v>7477500</v>
      </c>
      <c r="L945" s="3">
        <v>0</v>
      </c>
      <c r="M945" s="3">
        <v>7477500</v>
      </c>
      <c r="N945" s="3">
        <v>0</v>
      </c>
      <c r="O945" s="3">
        <v>0</v>
      </c>
      <c r="P945" s="3">
        <v>0</v>
      </c>
      <c r="Q945" s="3">
        <v>0</v>
      </c>
      <c r="R945" s="3">
        <v>-4700</v>
      </c>
      <c r="S945" s="3">
        <v>0</v>
      </c>
      <c r="T945" s="3">
        <v>0</v>
      </c>
      <c r="U945" s="3">
        <v>0</v>
      </c>
      <c r="V945" s="3">
        <v>2020</v>
      </c>
      <c r="W945" s="3">
        <v>6526900</v>
      </c>
      <c r="X945" s="3">
        <v>7472800</v>
      </c>
      <c r="Y945" s="3">
        <v>945900</v>
      </c>
      <c r="Z945" s="3">
        <v>6750100</v>
      </c>
      <c r="AA945" s="3">
        <v>722700</v>
      </c>
      <c r="AB945" s="3">
        <v>11</v>
      </c>
    </row>
    <row r="946" spans="1:28" x14ac:dyDescent="0.35">
      <c r="A946">
        <v>2022</v>
      </c>
      <c r="B946" t="str">
        <f t="shared" ref="B946:B951" si="124">"50"</f>
        <v>50</v>
      </c>
      <c r="C946" t="s">
        <v>342</v>
      </c>
      <c r="D946" t="s">
        <v>33</v>
      </c>
      <c r="E946" t="str">
        <f>"171"</f>
        <v>171</v>
      </c>
      <c r="F946" t="s">
        <v>343</v>
      </c>
      <c r="G946" t="str">
        <f>"003"</f>
        <v>003</v>
      </c>
      <c r="H946" t="str">
        <f>"4571"</f>
        <v>4571</v>
      </c>
      <c r="I946" s="3">
        <v>85500</v>
      </c>
      <c r="J946" s="3">
        <v>79.09</v>
      </c>
      <c r="K946" s="3">
        <v>108100</v>
      </c>
      <c r="L946" s="3">
        <v>0</v>
      </c>
      <c r="M946" s="3">
        <v>108100</v>
      </c>
      <c r="N946" s="3">
        <v>0</v>
      </c>
      <c r="O946" s="3">
        <v>0</v>
      </c>
      <c r="P946" s="3">
        <v>0</v>
      </c>
      <c r="Q946" s="3">
        <v>0</v>
      </c>
      <c r="R946" s="3">
        <v>-100</v>
      </c>
      <c r="S946" s="3">
        <v>0</v>
      </c>
      <c r="T946" s="3">
        <v>0</v>
      </c>
      <c r="U946" s="3">
        <v>0</v>
      </c>
      <c r="V946" s="3">
        <v>2011</v>
      </c>
      <c r="W946" s="3">
        <v>62000</v>
      </c>
      <c r="X946" s="3">
        <v>108000</v>
      </c>
      <c r="Y946" s="3">
        <v>46000</v>
      </c>
      <c r="Z946" s="3">
        <v>87300</v>
      </c>
      <c r="AA946" s="3">
        <v>20700</v>
      </c>
      <c r="AB946" s="3">
        <v>24</v>
      </c>
    </row>
    <row r="947" spans="1:28" x14ac:dyDescent="0.35">
      <c r="A947">
        <v>2022</v>
      </c>
      <c r="B947" t="str">
        <f t="shared" si="124"/>
        <v>50</v>
      </c>
      <c r="C947" t="s">
        <v>342</v>
      </c>
      <c r="D947" t="s">
        <v>35</v>
      </c>
      <c r="E947" t="str">
        <f>"271"</f>
        <v>271</v>
      </c>
      <c r="F947" t="s">
        <v>344</v>
      </c>
      <c r="G947" t="str">
        <f>"003"</f>
        <v>003</v>
      </c>
      <c r="H947" t="str">
        <f>"1071"</f>
        <v>1071</v>
      </c>
      <c r="I947" s="3">
        <v>1127800</v>
      </c>
      <c r="J947" s="3">
        <v>82.17</v>
      </c>
      <c r="K947" s="3">
        <v>1372500</v>
      </c>
      <c r="L947" s="3">
        <v>0</v>
      </c>
      <c r="M947" s="3">
        <v>1372500</v>
      </c>
      <c r="N947" s="3">
        <v>5049800</v>
      </c>
      <c r="O947" s="3">
        <v>5049800</v>
      </c>
      <c r="P947" s="3">
        <v>377700</v>
      </c>
      <c r="Q947" s="3">
        <v>377700</v>
      </c>
      <c r="R947" s="3">
        <v>1600</v>
      </c>
      <c r="S947" s="3">
        <v>0</v>
      </c>
      <c r="T947" s="3">
        <v>0</v>
      </c>
      <c r="U947" s="3">
        <v>330200</v>
      </c>
      <c r="V947" s="3">
        <v>1994</v>
      </c>
      <c r="W947" s="3">
        <v>1351800</v>
      </c>
      <c r="X947" s="3">
        <v>7131800</v>
      </c>
      <c r="Y947" s="3">
        <v>5780000</v>
      </c>
      <c r="Z947" s="3">
        <v>6954500</v>
      </c>
      <c r="AA947" s="3">
        <v>177300</v>
      </c>
      <c r="AB947" s="3">
        <v>3</v>
      </c>
    </row>
    <row r="948" spans="1:28" x14ac:dyDescent="0.35">
      <c r="A948">
        <v>2022</v>
      </c>
      <c r="B948" t="str">
        <f t="shared" si="124"/>
        <v>50</v>
      </c>
      <c r="C948" t="s">
        <v>342</v>
      </c>
      <c r="D948" t="s">
        <v>35</v>
      </c>
      <c r="E948" t="str">
        <f>"271"</f>
        <v>271</v>
      </c>
      <c r="F948" t="s">
        <v>344</v>
      </c>
      <c r="G948" t="str">
        <f>"005"</f>
        <v>005</v>
      </c>
      <c r="H948" t="str">
        <f>"1071"</f>
        <v>1071</v>
      </c>
      <c r="I948" s="3">
        <v>15739400</v>
      </c>
      <c r="J948" s="3">
        <v>82.17</v>
      </c>
      <c r="K948" s="3">
        <v>19154700</v>
      </c>
      <c r="L948" s="3">
        <v>0</v>
      </c>
      <c r="M948" s="3">
        <v>19154700</v>
      </c>
      <c r="N948" s="3">
        <v>2229600</v>
      </c>
      <c r="O948" s="3">
        <v>2229600</v>
      </c>
      <c r="P948" s="3">
        <v>145300</v>
      </c>
      <c r="Q948" s="3">
        <v>145300</v>
      </c>
      <c r="R948" s="3">
        <v>18500</v>
      </c>
      <c r="S948" s="3">
        <v>0</v>
      </c>
      <c r="T948" s="3">
        <v>0</v>
      </c>
      <c r="U948" s="3">
        <v>0</v>
      </c>
      <c r="V948" s="3">
        <v>2019</v>
      </c>
      <c r="W948" s="3">
        <v>14774000</v>
      </c>
      <c r="X948" s="3">
        <v>21548100</v>
      </c>
      <c r="Y948" s="3">
        <v>6774100</v>
      </c>
      <c r="Z948" s="3">
        <v>14389300</v>
      </c>
      <c r="AA948" s="3">
        <v>7158800</v>
      </c>
      <c r="AB948" s="3">
        <v>50</v>
      </c>
    </row>
    <row r="949" spans="1:28" x14ac:dyDescent="0.35">
      <c r="A949">
        <v>2022</v>
      </c>
      <c r="B949" t="str">
        <f t="shared" si="124"/>
        <v>50</v>
      </c>
      <c r="C949" t="s">
        <v>342</v>
      </c>
      <c r="D949" t="s">
        <v>35</v>
      </c>
      <c r="E949" t="str">
        <f>"272"</f>
        <v>272</v>
      </c>
      <c r="F949" t="s">
        <v>345</v>
      </c>
      <c r="G949" t="str">
        <f>"002"</f>
        <v>002</v>
      </c>
      <c r="H949" t="str">
        <f>"4347"</f>
        <v>4347</v>
      </c>
      <c r="I949" s="3">
        <v>142900</v>
      </c>
      <c r="J949" s="3">
        <v>80.12</v>
      </c>
      <c r="K949" s="3">
        <v>178400</v>
      </c>
      <c r="L949" s="3">
        <v>0</v>
      </c>
      <c r="M949" s="3">
        <v>178400</v>
      </c>
      <c r="N949" s="3">
        <v>0</v>
      </c>
      <c r="O949" s="3">
        <v>0</v>
      </c>
      <c r="P949" s="3">
        <v>0</v>
      </c>
      <c r="Q949" s="3">
        <v>0</v>
      </c>
      <c r="R949" s="3">
        <v>400</v>
      </c>
      <c r="S949" s="3">
        <v>0</v>
      </c>
      <c r="T949" s="3">
        <v>0</v>
      </c>
      <c r="U949" s="3">
        <v>0</v>
      </c>
      <c r="V949" s="3">
        <v>1995</v>
      </c>
      <c r="W949" s="3">
        <v>100000</v>
      </c>
      <c r="X949" s="3">
        <v>178800</v>
      </c>
      <c r="Y949" s="3">
        <v>78800</v>
      </c>
      <c r="Z949" s="3">
        <v>149800</v>
      </c>
      <c r="AA949" s="3">
        <v>29000</v>
      </c>
      <c r="AB949" s="3">
        <v>19</v>
      </c>
    </row>
    <row r="950" spans="1:28" x14ac:dyDescent="0.35">
      <c r="A950">
        <v>2022</v>
      </c>
      <c r="B950" t="str">
        <f t="shared" si="124"/>
        <v>50</v>
      </c>
      <c r="C950" t="s">
        <v>342</v>
      </c>
      <c r="D950" t="s">
        <v>35</v>
      </c>
      <c r="E950" t="str">
        <f>"272"</f>
        <v>272</v>
      </c>
      <c r="F950" t="s">
        <v>345</v>
      </c>
      <c r="G950" t="str">
        <f>"003"</f>
        <v>003</v>
      </c>
      <c r="H950" t="str">
        <f>"4347"</f>
        <v>4347</v>
      </c>
      <c r="I950" s="3">
        <v>3983000</v>
      </c>
      <c r="J950" s="3">
        <v>80.12</v>
      </c>
      <c r="K950" s="3">
        <v>4971300</v>
      </c>
      <c r="L950" s="3">
        <v>0</v>
      </c>
      <c r="M950" s="3">
        <v>4971300</v>
      </c>
      <c r="N950" s="3">
        <v>0</v>
      </c>
      <c r="O950" s="3">
        <v>0</v>
      </c>
      <c r="P950" s="3">
        <v>0</v>
      </c>
      <c r="Q950" s="3">
        <v>0</v>
      </c>
      <c r="R950" s="3">
        <v>9900</v>
      </c>
      <c r="S950" s="3">
        <v>0</v>
      </c>
      <c r="T950" s="3">
        <v>0</v>
      </c>
      <c r="U950" s="3">
        <v>0</v>
      </c>
      <c r="V950" s="3">
        <v>1995</v>
      </c>
      <c r="W950" s="3">
        <v>2177100</v>
      </c>
      <c r="X950" s="3">
        <v>4981200</v>
      </c>
      <c r="Y950" s="3">
        <v>2804100</v>
      </c>
      <c r="Z950" s="3">
        <v>3906100</v>
      </c>
      <c r="AA950" s="3">
        <v>1075100</v>
      </c>
      <c r="AB950" s="3">
        <v>28</v>
      </c>
    </row>
    <row r="951" spans="1:28" x14ac:dyDescent="0.35">
      <c r="A951">
        <v>2022</v>
      </c>
      <c r="B951" t="str">
        <f t="shared" si="124"/>
        <v>50</v>
      </c>
      <c r="C951" t="s">
        <v>342</v>
      </c>
      <c r="D951" t="s">
        <v>35</v>
      </c>
      <c r="E951" t="str">
        <f>"272"</f>
        <v>272</v>
      </c>
      <c r="F951" t="s">
        <v>345</v>
      </c>
      <c r="G951" t="str">
        <f>"004"</f>
        <v>004</v>
      </c>
      <c r="H951" t="str">
        <f>"4347"</f>
        <v>4347</v>
      </c>
      <c r="I951" s="3">
        <v>5777800</v>
      </c>
      <c r="J951" s="3">
        <v>80.12</v>
      </c>
      <c r="K951" s="3">
        <v>7211400</v>
      </c>
      <c r="L951" s="3">
        <v>0</v>
      </c>
      <c r="M951" s="3">
        <v>7211400</v>
      </c>
      <c r="N951" s="3">
        <v>8005700</v>
      </c>
      <c r="O951" s="3">
        <v>8005700</v>
      </c>
      <c r="P951" s="3">
        <v>597100</v>
      </c>
      <c r="Q951" s="3">
        <v>597100</v>
      </c>
      <c r="R951" s="3">
        <v>15300</v>
      </c>
      <c r="S951" s="3">
        <v>0</v>
      </c>
      <c r="T951" s="3">
        <v>0</v>
      </c>
      <c r="U951" s="3">
        <v>0</v>
      </c>
      <c r="V951" s="3">
        <v>1995</v>
      </c>
      <c r="W951" s="3">
        <v>753500</v>
      </c>
      <c r="X951" s="3">
        <v>15829500</v>
      </c>
      <c r="Y951" s="3">
        <v>15076000</v>
      </c>
      <c r="Z951" s="3">
        <v>15532700</v>
      </c>
      <c r="AA951" s="3">
        <v>296800</v>
      </c>
      <c r="AB951" s="3">
        <v>2</v>
      </c>
    </row>
    <row r="952" spans="1:28" x14ac:dyDescent="0.35">
      <c r="A952">
        <v>2022</v>
      </c>
      <c r="B952" t="str">
        <f t="shared" ref="B952:B989" si="125">"51"</f>
        <v>51</v>
      </c>
      <c r="C952" t="s">
        <v>346</v>
      </c>
      <c r="D952" t="s">
        <v>33</v>
      </c>
      <c r="E952" t="str">
        <f>"104"</f>
        <v>104</v>
      </c>
      <c r="F952" t="s">
        <v>347</v>
      </c>
      <c r="G952" t="str">
        <f>"001"</f>
        <v>001</v>
      </c>
      <c r="H952" t="str">
        <f t="shared" ref="H952:H962" si="126">"4620"</f>
        <v>4620</v>
      </c>
      <c r="I952" s="3">
        <v>1861900</v>
      </c>
      <c r="J952" s="3">
        <v>100</v>
      </c>
      <c r="K952" s="3">
        <v>1861900</v>
      </c>
      <c r="L952" s="3">
        <v>0</v>
      </c>
      <c r="M952" s="3">
        <v>1861900</v>
      </c>
      <c r="N952" s="3">
        <v>0</v>
      </c>
      <c r="O952" s="3">
        <v>0</v>
      </c>
      <c r="P952" s="3">
        <v>0</v>
      </c>
      <c r="Q952" s="3">
        <v>0</v>
      </c>
      <c r="R952" s="3">
        <v>53100</v>
      </c>
      <c r="S952" s="3">
        <v>0</v>
      </c>
      <c r="T952" s="3">
        <v>0</v>
      </c>
      <c r="U952" s="3">
        <v>5677000</v>
      </c>
      <c r="V952" s="3">
        <v>2007</v>
      </c>
      <c r="W952" s="3">
        <v>1831800</v>
      </c>
      <c r="X952" s="3">
        <v>7592000</v>
      </c>
      <c r="Y952" s="3">
        <v>5760200</v>
      </c>
      <c r="Z952" s="3">
        <v>7315900</v>
      </c>
      <c r="AA952" s="3">
        <v>276100</v>
      </c>
      <c r="AB952" s="3">
        <v>4</v>
      </c>
    </row>
    <row r="953" spans="1:28" x14ac:dyDescent="0.35">
      <c r="A953">
        <v>2022</v>
      </c>
      <c r="B953" t="str">
        <f t="shared" si="125"/>
        <v>51</v>
      </c>
      <c r="C953" t="s">
        <v>346</v>
      </c>
      <c r="D953" t="s">
        <v>33</v>
      </c>
      <c r="E953" t="str">
        <f>"104"</f>
        <v>104</v>
      </c>
      <c r="F953" t="s">
        <v>347</v>
      </c>
      <c r="G953" t="str">
        <f>"003"</f>
        <v>003</v>
      </c>
      <c r="H953" t="str">
        <f t="shared" si="126"/>
        <v>4620</v>
      </c>
      <c r="I953" s="3">
        <v>21788800</v>
      </c>
      <c r="J953" s="3">
        <v>100</v>
      </c>
      <c r="K953" s="3">
        <v>21788800</v>
      </c>
      <c r="L953" s="3">
        <v>0</v>
      </c>
      <c r="M953" s="3">
        <v>21788800</v>
      </c>
      <c r="N953" s="3">
        <v>22112600</v>
      </c>
      <c r="O953" s="3">
        <v>22112600</v>
      </c>
      <c r="P953" s="3">
        <v>2519500</v>
      </c>
      <c r="Q953" s="3">
        <v>2519500</v>
      </c>
      <c r="R953" s="3">
        <v>-326700</v>
      </c>
      <c r="S953" s="3">
        <v>0</v>
      </c>
      <c r="T953" s="3">
        <v>0</v>
      </c>
      <c r="U953" s="3">
        <v>0</v>
      </c>
      <c r="V953" s="3">
        <v>2011</v>
      </c>
      <c r="W953" s="3">
        <v>28632700</v>
      </c>
      <c r="X953" s="3">
        <v>46094200</v>
      </c>
      <c r="Y953" s="3">
        <v>17461500</v>
      </c>
      <c r="Z953" s="3">
        <v>41292100</v>
      </c>
      <c r="AA953" s="3">
        <v>4802100</v>
      </c>
      <c r="AB953" s="3">
        <v>12</v>
      </c>
    </row>
    <row r="954" spans="1:28" x14ac:dyDescent="0.35">
      <c r="A954">
        <v>2022</v>
      </c>
      <c r="B954" t="str">
        <f t="shared" si="125"/>
        <v>51</v>
      </c>
      <c r="C954" t="s">
        <v>346</v>
      </c>
      <c r="D954" t="s">
        <v>33</v>
      </c>
      <c r="E954" t="str">
        <f>"104"</f>
        <v>104</v>
      </c>
      <c r="F954" t="s">
        <v>347</v>
      </c>
      <c r="G954" t="str">
        <f>"004"</f>
        <v>004</v>
      </c>
      <c r="H954" t="str">
        <f t="shared" si="126"/>
        <v>4620</v>
      </c>
      <c r="I954" s="3">
        <v>56333300</v>
      </c>
      <c r="J954" s="3">
        <v>100</v>
      </c>
      <c r="K954" s="3">
        <v>56333300</v>
      </c>
      <c r="L954" s="3">
        <v>0</v>
      </c>
      <c r="M954" s="3">
        <v>56333300</v>
      </c>
      <c r="N954" s="3">
        <v>9780400</v>
      </c>
      <c r="O954" s="3">
        <v>9780400</v>
      </c>
      <c r="P954" s="3">
        <v>169900</v>
      </c>
      <c r="Q954" s="3">
        <v>169900</v>
      </c>
      <c r="R954" s="3">
        <v>-401800</v>
      </c>
      <c r="S954" s="3">
        <v>0</v>
      </c>
      <c r="T954" s="3">
        <v>0</v>
      </c>
      <c r="U954" s="3">
        <v>0</v>
      </c>
      <c r="V954" s="3">
        <v>2014</v>
      </c>
      <c r="W954" s="3">
        <v>15444200</v>
      </c>
      <c r="X954" s="3">
        <v>65881800</v>
      </c>
      <c r="Y954" s="3">
        <v>50437600</v>
      </c>
      <c r="Z954" s="3">
        <v>40388900</v>
      </c>
      <c r="AA954" s="3">
        <v>25492900</v>
      </c>
      <c r="AB954" s="3">
        <v>63</v>
      </c>
    </row>
    <row r="955" spans="1:28" x14ac:dyDescent="0.35">
      <c r="A955">
        <v>2022</v>
      </c>
      <c r="B955" t="str">
        <f t="shared" si="125"/>
        <v>51</v>
      </c>
      <c r="C955" t="s">
        <v>346</v>
      </c>
      <c r="D955" t="s">
        <v>33</v>
      </c>
      <c r="E955" t="str">
        <f>"104"</f>
        <v>104</v>
      </c>
      <c r="F955" t="s">
        <v>347</v>
      </c>
      <c r="G955" t="str">
        <f>"005"</f>
        <v>005</v>
      </c>
      <c r="H955" t="str">
        <f t="shared" si="126"/>
        <v>4620</v>
      </c>
      <c r="I955" s="3">
        <v>4836500</v>
      </c>
      <c r="J955" s="3">
        <v>100</v>
      </c>
      <c r="K955" s="3">
        <v>4836500</v>
      </c>
      <c r="L955" s="3">
        <v>0</v>
      </c>
      <c r="M955" s="3">
        <v>4836500</v>
      </c>
      <c r="N955" s="3">
        <v>0</v>
      </c>
      <c r="O955" s="3">
        <v>0</v>
      </c>
      <c r="P955" s="3">
        <v>0</v>
      </c>
      <c r="Q955" s="3">
        <v>0</v>
      </c>
      <c r="R955" s="3">
        <v>-38300</v>
      </c>
      <c r="S955" s="3">
        <v>0</v>
      </c>
      <c r="T955" s="3">
        <v>0</v>
      </c>
      <c r="U955" s="3">
        <v>0</v>
      </c>
      <c r="V955" s="3">
        <v>2019</v>
      </c>
      <c r="W955" s="3">
        <v>617200</v>
      </c>
      <c r="X955" s="3">
        <v>4798200</v>
      </c>
      <c r="Y955" s="3">
        <v>4181000</v>
      </c>
      <c r="Z955" s="3">
        <v>2229300</v>
      </c>
      <c r="AA955" s="3">
        <v>2568900</v>
      </c>
      <c r="AB955" s="3">
        <v>115</v>
      </c>
    </row>
    <row r="956" spans="1:28" x14ac:dyDescent="0.35">
      <c r="A956">
        <v>2022</v>
      </c>
      <c r="B956" t="str">
        <f t="shared" si="125"/>
        <v>51</v>
      </c>
      <c r="C956" t="s">
        <v>346</v>
      </c>
      <c r="D956" t="s">
        <v>33</v>
      </c>
      <c r="E956" t="str">
        <f t="shared" ref="E956:E961" si="127">"151"</f>
        <v>151</v>
      </c>
      <c r="F956" t="s">
        <v>348</v>
      </c>
      <c r="G956" t="str">
        <f>"001"</f>
        <v>001</v>
      </c>
      <c r="H956" t="str">
        <f t="shared" si="126"/>
        <v>4620</v>
      </c>
      <c r="I956" s="3">
        <v>120576300</v>
      </c>
      <c r="J956" s="3">
        <v>100</v>
      </c>
      <c r="K956" s="3">
        <v>120576300</v>
      </c>
      <c r="L956" s="3">
        <v>0</v>
      </c>
      <c r="M956" s="3">
        <v>120576300</v>
      </c>
      <c r="N956" s="3">
        <v>33060700</v>
      </c>
      <c r="O956" s="3">
        <v>33060700</v>
      </c>
      <c r="P956" s="3">
        <v>7348700</v>
      </c>
      <c r="Q956" s="3">
        <v>7348700</v>
      </c>
      <c r="R956" s="3">
        <v>-43110600</v>
      </c>
      <c r="S956" s="3">
        <v>0</v>
      </c>
      <c r="T956" s="3">
        <v>0</v>
      </c>
      <c r="U956" s="3">
        <v>2468200</v>
      </c>
      <c r="V956" s="3">
        <v>2006</v>
      </c>
      <c r="W956" s="3">
        <v>4301900</v>
      </c>
      <c r="X956" s="3">
        <v>120343300</v>
      </c>
      <c r="Y956" s="3">
        <v>116041400</v>
      </c>
      <c r="Z956" s="3">
        <v>185925300</v>
      </c>
      <c r="AA956" s="3">
        <v>-65582000</v>
      </c>
      <c r="AB956" s="3">
        <v>-35</v>
      </c>
    </row>
    <row r="957" spans="1:28" x14ac:dyDescent="0.35">
      <c r="A957">
        <v>2022</v>
      </c>
      <c r="B957" t="str">
        <f t="shared" si="125"/>
        <v>51</v>
      </c>
      <c r="C957" t="s">
        <v>346</v>
      </c>
      <c r="D957" t="s">
        <v>33</v>
      </c>
      <c r="E957" t="str">
        <f t="shared" si="127"/>
        <v>151</v>
      </c>
      <c r="F957" t="s">
        <v>348</v>
      </c>
      <c r="G957" t="str">
        <f>"002"</f>
        <v>002</v>
      </c>
      <c r="H957" t="str">
        <f t="shared" si="126"/>
        <v>4620</v>
      </c>
      <c r="I957" s="3">
        <v>191788500</v>
      </c>
      <c r="J957" s="3">
        <v>100</v>
      </c>
      <c r="K957" s="3">
        <v>191788500</v>
      </c>
      <c r="L957" s="3">
        <v>0</v>
      </c>
      <c r="M957" s="3">
        <v>191788500</v>
      </c>
      <c r="N957" s="3">
        <v>38968400</v>
      </c>
      <c r="O957" s="3">
        <v>38968400</v>
      </c>
      <c r="P957" s="3">
        <v>13668300</v>
      </c>
      <c r="Q957" s="3">
        <v>13668300</v>
      </c>
      <c r="R957" s="3">
        <v>4393000</v>
      </c>
      <c r="S957" s="3">
        <v>0</v>
      </c>
      <c r="T957" s="3">
        <v>0</v>
      </c>
      <c r="U957" s="3">
        <v>0</v>
      </c>
      <c r="V957" s="3">
        <v>2007</v>
      </c>
      <c r="W957" s="3">
        <v>103402700</v>
      </c>
      <c r="X957" s="3">
        <v>248818200</v>
      </c>
      <c r="Y957" s="3">
        <v>145415500</v>
      </c>
      <c r="Z957" s="3">
        <v>164159400</v>
      </c>
      <c r="AA957" s="3">
        <v>84658800</v>
      </c>
      <c r="AB957" s="3">
        <v>52</v>
      </c>
    </row>
    <row r="958" spans="1:28" x14ac:dyDescent="0.35">
      <c r="A958">
        <v>2022</v>
      </c>
      <c r="B958" t="str">
        <f t="shared" si="125"/>
        <v>51</v>
      </c>
      <c r="C958" t="s">
        <v>346</v>
      </c>
      <c r="D958" t="s">
        <v>33</v>
      </c>
      <c r="E958" t="str">
        <f t="shared" si="127"/>
        <v>151</v>
      </c>
      <c r="F958" t="s">
        <v>348</v>
      </c>
      <c r="G958" t="str">
        <f>"003"</f>
        <v>003</v>
      </c>
      <c r="H958" t="str">
        <f t="shared" si="126"/>
        <v>4620</v>
      </c>
      <c r="I958" s="3">
        <v>38009800</v>
      </c>
      <c r="J958" s="3">
        <v>100</v>
      </c>
      <c r="K958" s="3">
        <v>38009800</v>
      </c>
      <c r="L958" s="3">
        <v>0</v>
      </c>
      <c r="M958" s="3">
        <v>38009800</v>
      </c>
      <c r="N958" s="3">
        <v>0</v>
      </c>
      <c r="O958" s="3">
        <v>0</v>
      </c>
      <c r="P958" s="3">
        <v>0</v>
      </c>
      <c r="Q958" s="3">
        <v>0</v>
      </c>
      <c r="R958" s="3">
        <v>287600</v>
      </c>
      <c r="S958" s="3">
        <v>0</v>
      </c>
      <c r="T958" s="3">
        <v>0</v>
      </c>
      <c r="U958" s="3">
        <v>0</v>
      </c>
      <c r="V958" s="3">
        <v>2014</v>
      </c>
      <c r="W958" s="3">
        <v>4136200</v>
      </c>
      <c r="X958" s="3">
        <v>38297400</v>
      </c>
      <c r="Y958" s="3">
        <v>34161200</v>
      </c>
      <c r="Z958" s="3">
        <v>32623500</v>
      </c>
      <c r="AA958" s="3">
        <v>5673900</v>
      </c>
      <c r="AB958" s="3">
        <v>17</v>
      </c>
    </row>
    <row r="959" spans="1:28" x14ac:dyDescent="0.35">
      <c r="A959">
        <v>2022</v>
      </c>
      <c r="B959" t="str">
        <f t="shared" si="125"/>
        <v>51</v>
      </c>
      <c r="C959" t="s">
        <v>346</v>
      </c>
      <c r="D959" t="s">
        <v>33</v>
      </c>
      <c r="E959" t="str">
        <f t="shared" si="127"/>
        <v>151</v>
      </c>
      <c r="F959" t="s">
        <v>348</v>
      </c>
      <c r="G959" t="str">
        <f>"004"</f>
        <v>004</v>
      </c>
      <c r="H959" t="str">
        <f t="shared" si="126"/>
        <v>4620</v>
      </c>
      <c r="I959" s="3">
        <v>62358400</v>
      </c>
      <c r="J959" s="3">
        <v>100</v>
      </c>
      <c r="K959" s="3">
        <v>62358400</v>
      </c>
      <c r="L959" s="3">
        <v>0</v>
      </c>
      <c r="M959" s="3">
        <v>62358400</v>
      </c>
      <c r="N959" s="3">
        <v>0</v>
      </c>
      <c r="O959" s="3">
        <v>0</v>
      </c>
      <c r="P959" s="3">
        <v>0</v>
      </c>
      <c r="Q959" s="3">
        <v>0</v>
      </c>
      <c r="R959" s="3">
        <v>513900</v>
      </c>
      <c r="S959" s="3">
        <v>0</v>
      </c>
      <c r="T959" s="3">
        <v>0</v>
      </c>
      <c r="U959" s="3">
        <v>0</v>
      </c>
      <c r="V959" s="3">
        <v>2015</v>
      </c>
      <c r="W959" s="3">
        <v>3587700</v>
      </c>
      <c r="X959" s="3">
        <v>62872300</v>
      </c>
      <c r="Y959" s="3">
        <v>59284600</v>
      </c>
      <c r="Z959" s="3">
        <v>57691000</v>
      </c>
      <c r="AA959" s="3">
        <v>5181300</v>
      </c>
      <c r="AB959" s="3">
        <v>9</v>
      </c>
    </row>
    <row r="960" spans="1:28" x14ac:dyDescent="0.35">
      <c r="A960">
        <v>2022</v>
      </c>
      <c r="B960" t="str">
        <f t="shared" si="125"/>
        <v>51</v>
      </c>
      <c r="C960" t="s">
        <v>346</v>
      </c>
      <c r="D960" t="s">
        <v>33</v>
      </c>
      <c r="E960" t="str">
        <f t="shared" si="127"/>
        <v>151</v>
      </c>
      <c r="F960" t="s">
        <v>348</v>
      </c>
      <c r="G960" t="str">
        <f>"005"</f>
        <v>005</v>
      </c>
      <c r="H960" t="str">
        <f t="shared" si="126"/>
        <v>4620</v>
      </c>
      <c r="I960" s="3">
        <v>549357700</v>
      </c>
      <c r="J960" s="3">
        <v>100</v>
      </c>
      <c r="K960" s="3">
        <v>549357700</v>
      </c>
      <c r="L960" s="3">
        <v>0</v>
      </c>
      <c r="M960" s="3">
        <v>549357700</v>
      </c>
      <c r="N960" s="3">
        <v>0</v>
      </c>
      <c r="O960" s="3">
        <v>0</v>
      </c>
      <c r="P960" s="3">
        <v>4792500</v>
      </c>
      <c r="Q960" s="3">
        <v>4792500</v>
      </c>
      <c r="R960" s="3">
        <v>4534100</v>
      </c>
      <c r="S960" s="3">
        <v>0</v>
      </c>
      <c r="T960" s="3">
        <v>0</v>
      </c>
      <c r="U960" s="3">
        <v>0</v>
      </c>
      <c r="V960" s="3">
        <v>2018</v>
      </c>
      <c r="W960" s="3">
        <v>30231500</v>
      </c>
      <c r="X960" s="3">
        <v>558684300</v>
      </c>
      <c r="Y960" s="3">
        <v>528452800</v>
      </c>
      <c r="Z960" s="3">
        <v>520232800</v>
      </c>
      <c r="AA960" s="3">
        <v>38451500</v>
      </c>
      <c r="AB960" s="3">
        <v>7</v>
      </c>
    </row>
    <row r="961" spans="1:28" x14ac:dyDescent="0.35">
      <c r="A961">
        <v>2022</v>
      </c>
      <c r="B961" t="str">
        <f t="shared" si="125"/>
        <v>51</v>
      </c>
      <c r="C961" t="s">
        <v>346</v>
      </c>
      <c r="D961" t="s">
        <v>33</v>
      </c>
      <c r="E961" t="str">
        <f t="shared" si="127"/>
        <v>151</v>
      </c>
      <c r="F961" t="s">
        <v>348</v>
      </c>
      <c r="G961" t="str">
        <f>"006"</f>
        <v>006</v>
      </c>
      <c r="H961" t="str">
        <f t="shared" si="126"/>
        <v>4620</v>
      </c>
      <c r="I961" s="3">
        <v>4352400</v>
      </c>
      <c r="J961" s="3">
        <v>100</v>
      </c>
      <c r="K961" s="3">
        <v>4352400</v>
      </c>
      <c r="L961" s="3">
        <v>0</v>
      </c>
      <c r="M961" s="3">
        <v>4352400</v>
      </c>
      <c r="N961" s="3">
        <v>0</v>
      </c>
      <c r="O961" s="3">
        <v>0</v>
      </c>
      <c r="P961" s="3">
        <v>0</v>
      </c>
      <c r="Q961" s="3">
        <v>0</v>
      </c>
      <c r="R961" s="3">
        <v>0</v>
      </c>
      <c r="S961" s="3">
        <v>0</v>
      </c>
      <c r="T961" s="3">
        <v>0</v>
      </c>
      <c r="U961" s="3">
        <v>0</v>
      </c>
      <c r="V961" s="3">
        <v>2021</v>
      </c>
      <c r="W961" s="3">
        <v>113500</v>
      </c>
      <c r="X961" s="3">
        <v>4352400</v>
      </c>
      <c r="Y961" s="3">
        <v>4238900</v>
      </c>
      <c r="Z961" s="3">
        <v>113500</v>
      </c>
      <c r="AA961" s="3">
        <v>4238900</v>
      </c>
      <c r="AB961" s="3">
        <v>3735</v>
      </c>
    </row>
    <row r="962" spans="1:28" x14ac:dyDescent="0.35">
      <c r="A962">
        <v>2022</v>
      </c>
      <c r="B962" t="str">
        <f t="shared" si="125"/>
        <v>51</v>
      </c>
      <c r="C962" t="s">
        <v>346</v>
      </c>
      <c r="D962" t="s">
        <v>33</v>
      </c>
      <c r="E962" t="str">
        <f>"181"</f>
        <v>181</v>
      </c>
      <c r="F962" t="s">
        <v>349</v>
      </c>
      <c r="G962" t="str">
        <f>"004"</f>
        <v>004</v>
      </c>
      <c r="H962" t="str">
        <f t="shared" si="126"/>
        <v>4620</v>
      </c>
      <c r="I962" s="3">
        <v>173652900</v>
      </c>
      <c r="J962" s="3">
        <v>100</v>
      </c>
      <c r="K962" s="3">
        <v>173652900</v>
      </c>
      <c r="L962" s="3">
        <v>0</v>
      </c>
      <c r="M962" s="3">
        <v>173652900</v>
      </c>
      <c r="N962" s="3">
        <v>12470800</v>
      </c>
      <c r="O962" s="3">
        <v>12470800</v>
      </c>
      <c r="P962" s="3">
        <v>327000</v>
      </c>
      <c r="Q962" s="3">
        <v>327000</v>
      </c>
      <c r="R962" s="3">
        <v>-1131000</v>
      </c>
      <c r="S962" s="3">
        <v>0</v>
      </c>
      <c r="T962" s="3">
        <v>0</v>
      </c>
      <c r="U962" s="3">
        <v>35277900</v>
      </c>
      <c r="V962" s="3">
        <v>2016</v>
      </c>
      <c r="W962" s="3">
        <v>55323600</v>
      </c>
      <c r="X962" s="3">
        <v>220597600</v>
      </c>
      <c r="Y962" s="3">
        <v>165274000</v>
      </c>
      <c r="Z962" s="3">
        <v>149939500</v>
      </c>
      <c r="AA962" s="3">
        <v>70658100</v>
      </c>
      <c r="AB962" s="3">
        <v>47</v>
      </c>
    </row>
    <row r="963" spans="1:28" x14ac:dyDescent="0.35">
      <c r="A963">
        <v>2022</v>
      </c>
      <c r="B963" t="str">
        <f t="shared" si="125"/>
        <v>51</v>
      </c>
      <c r="C963" t="s">
        <v>346</v>
      </c>
      <c r="D963" t="s">
        <v>33</v>
      </c>
      <c r="E963" t="str">
        <f>"186"</f>
        <v>186</v>
      </c>
      <c r="F963" t="s">
        <v>350</v>
      </c>
      <c r="G963" t="str">
        <f>"004"</f>
        <v>004</v>
      </c>
      <c r="H963" t="str">
        <f>"5859"</f>
        <v>5859</v>
      </c>
      <c r="I963" s="3">
        <v>6625500</v>
      </c>
      <c r="J963" s="3">
        <v>87.54</v>
      </c>
      <c r="K963" s="3">
        <v>7568500</v>
      </c>
      <c r="L963" s="3">
        <v>0</v>
      </c>
      <c r="M963" s="3">
        <v>7568500</v>
      </c>
      <c r="N963" s="3">
        <v>0</v>
      </c>
      <c r="O963" s="3">
        <v>0</v>
      </c>
      <c r="P963" s="3">
        <v>0</v>
      </c>
      <c r="Q963" s="3">
        <v>0</v>
      </c>
      <c r="R963" s="3">
        <v>482900</v>
      </c>
      <c r="S963" s="3">
        <v>0</v>
      </c>
      <c r="T963" s="3">
        <v>0</v>
      </c>
      <c r="U963" s="3">
        <v>36125500</v>
      </c>
      <c r="V963" s="3">
        <v>2006</v>
      </c>
      <c r="W963" s="3">
        <v>31932700</v>
      </c>
      <c r="X963" s="3">
        <v>44176900</v>
      </c>
      <c r="Y963" s="3">
        <v>12244200</v>
      </c>
      <c r="Z963" s="3">
        <v>40885700</v>
      </c>
      <c r="AA963" s="3">
        <v>3291200</v>
      </c>
      <c r="AB963" s="3">
        <v>8</v>
      </c>
    </row>
    <row r="964" spans="1:28" x14ac:dyDescent="0.35">
      <c r="A964">
        <v>2022</v>
      </c>
      <c r="B964" t="str">
        <f t="shared" si="125"/>
        <v>51</v>
      </c>
      <c r="C964" t="s">
        <v>346</v>
      </c>
      <c r="D964" t="s">
        <v>33</v>
      </c>
      <c r="E964" t="str">
        <f>"186"</f>
        <v>186</v>
      </c>
      <c r="F964" t="s">
        <v>350</v>
      </c>
      <c r="G964" t="str">
        <f>"005"</f>
        <v>005</v>
      </c>
      <c r="H964" t="str">
        <f>"5859"</f>
        <v>5859</v>
      </c>
      <c r="I964" s="3">
        <v>11571900</v>
      </c>
      <c r="J964" s="3">
        <v>87.54</v>
      </c>
      <c r="K964" s="3">
        <v>13219000</v>
      </c>
      <c r="L964" s="3">
        <v>0</v>
      </c>
      <c r="M964" s="3">
        <v>13219000</v>
      </c>
      <c r="N964" s="3">
        <v>0</v>
      </c>
      <c r="O964" s="3">
        <v>0</v>
      </c>
      <c r="P964" s="3">
        <v>0</v>
      </c>
      <c r="Q964" s="3">
        <v>0</v>
      </c>
      <c r="R964" s="3">
        <v>125200</v>
      </c>
      <c r="S964" s="3">
        <v>0</v>
      </c>
      <c r="T964" s="3">
        <v>0</v>
      </c>
      <c r="U964" s="3">
        <v>0</v>
      </c>
      <c r="V964" s="3">
        <v>2016</v>
      </c>
      <c r="W964" s="3">
        <v>464700</v>
      </c>
      <c r="X964" s="3">
        <v>13344200</v>
      </c>
      <c r="Y964" s="3">
        <v>12879500</v>
      </c>
      <c r="Z964" s="3">
        <v>10819600</v>
      </c>
      <c r="AA964" s="3">
        <v>2524600</v>
      </c>
      <c r="AB964" s="3">
        <v>23</v>
      </c>
    </row>
    <row r="965" spans="1:28" x14ac:dyDescent="0.35">
      <c r="A965">
        <v>2022</v>
      </c>
      <c r="B965" t="str">
        <f t="shared" si="125"/>
        <v>51</v>
      </c>
      <c r="C965" t="s">
        <v>346</v>
      </c>
      <c r="D965" t="s">
        <v>33</v>
      </c>
      <c r="E965" t="str">
        <f>"186"</f>
        <v>186</v>
      </c>
      <c r="F965" t="s">
        <v>350</v>
      </c>
      <c r="G965" t="str">
        <f>"006"</f>
        <v>006</v>
      </c>
      <c r="H965" t="str">
        <f>"5859"</f>
        <v>5859</v>
      </c>
      <c r="I965" s="3">
        <v>44402000</v>
      </c>
      <c r="J965" s="3">
        <v>87.54</v>
      </c>
      <c r="K965" s="3">
        <v>50722000</v>
      </c>
      <c r="L965" s="3">
        <v>0</v>
      </c>
      <c r="M965" s="3">
        <v>50722000</v>
      </c>
      <c r="N965" s="3">
        <v>516300</v>
      </c>
      <c r="O965" s="3">
        <v>516300</v>
      </c>
      <c r="P965" s="3">
        <v>53300</v>
      </c>
      <c r="Q965" s="3">
        <v>53300</v>
      </c>
      <c r="R965" s="3">
        <v>343900</v>
      </c>
      <c r="S965" s="3">
        <v>0</v>
      </c>
      <c r="T965" s="3">
        <v>0</v>
      </c>
      <c r="U965" s="3">
        <v>0</v>
      </c>
      <c r="V965" s="3">
        <v>2019</v>
      </c>
      <c r="W965" s="3">
        <v>13935400</v>
      </c>
      <c r="X965" s="3">
        <v>51635500</v>
      </c>
      <c r="Y965" s="3">
        <v>37700100</v>
      </c>
      <c r="Z965" s="3">
        <v>27924800</v>
      </c>
      <c r="AA965" s="3">
        <v>23710700</v>
      </c>
      <c r="AB965" s="3">
        <v>85</v>
      </c>
    </row>
    <row r="966" spans="1:28" x14ac:dyDescent="0.35">
      <c r="A966">
        <v>2022</v>
      </c>
      <c r="B966" t="str">
        <f t="shared" si="125"/>
        <v>51</v>
      </c>
      <c r="C966" t="s">
        <v>346</v>
      </c>
      <c r="D966" t="s">
        <v>33</v>
      </c>
      <c r="E966" t="str">
        <f>"186"</f>
        <v>186</v>
      </c>
      <c r="F966" t="s">
        <v>350</v>
      </c>
      <c r="G966" t="str">
        <f>"007"</f>
        <v>007</v>
      </c>
      <c r="H966" t="str">
        <f>"5859"</f>
        <v>5859</v>
      </c>
      <c r="I966" s="3">
        <v>38263500</v>
      </c>
      <c r="J966" s="3">
        <v>87.54</v>
      </c>
      <c r="K966" s="3">
        <v>43709700</v>
      </c>
      <c r="L966" s="3">
        <v>0</v>
      </c>
      <c r="M966" s="3">
        <v>43709700</v>
      </c>
      <c r="N966" s="3">
        <v>0</v>
      </c>
      <c r="O966" s="3">
        <v>0</v>
      </c>
      <c r="P966" s="3">
        <v>0</v>
      </c>
      <c r="Q966" s="3">
        <v>0</v>
      </c>
      <c r="R966" s="3">
        <v>0</v>
      </c>
      <c r="S966" s="3">
        <v>0</v>
      </c>
      <c r="T966" s="3">
        <v>0</v>
      </c>
      <c r="U966" s="3">
        <v>0</v>
      </c>
      <c r="V966" s="3">
        <v>2021</v>
      </c>
      <c r="W966" s="3">
        <v>36328100</v>
      </c>
      <c r="X966" s="3">
        <v>43709700</v>
      </c>
      <c r="Y966" s="3">
        <v>7381600</v>
      </c>
      <c r="Z966" s="3">
        <v>36328100</v>
      </c>
      <c r="AA966" s="3">
        <v>7381600</v>
      </c>
      <c r="AB966" s="3">
        <v>20</v>
      </c>
    </row>
    <row r="967" spans="1:28" x14ac:dyDescent="0.35">
      <c r="A967">
        <v>2022</v>
      </c>
      <c r="B967" t="str">
        <f t="shared" si="125"/>
        <v>51</v>
      </c>
      <c r="C967" t="s">
        <v>346</v>
      </c>
      <c r="D967" t="s">
        <v>33</v>
      </c>
      <c r="E967" t="str">
        <f>"191"</f>
        <v>191</v>
      </c>
      <c r="F967" t="s">
        <v>351</v>
      </c>
      <c r="G967" t="str">
        <f>"002"</f>
        <v>002</v>
      </c>
      <c r="H967" t="str">
        <f>"6113"</f>
        <v>6113</v>
      </c>
      <c r="I967" s="3">
        <v>49569400</v>
      </c>
      <c r="J967" s="3">
        <v>100</v>
      </c>
      <c r="K967" s="3">
        <v>49569400</v>
      </c>
      <c r="L967" s="3">
        <v>0</v>
      </c>
      <c r="M967" s="3">
        <v>49569400</v>
      </c>
      <c r="N967" s="3">
        <v>553400</v>
      </c>
      <c r="O967" s="3">
        <v>553400</v>
      </c>
      <c r="P967" s="3">
        <v>21600</v>
      </c>
      <c r="Q967" s="3">
        <v>21600</v>
      </c>
      <c r="R967" s="3">
        <v>22268300</v>
      </c>
      <c r="S967" s="3">
        <v>0</v>
      </c>
      <c r="T967" s="3">
        <v>0</v>
      </c>
      <c r="U967" s="3">
        <v>6161900</v>
      </c>
      <c r="V967" s="3">
        <v>2000</v>
      </c>
      <c r="W967" s="3">
        <v>13787500</v>
      </c>
      <c r="X967" s="3">
        <v>78574600</v>
      </c>
      <c r="Y967" s="3">
        <v>64787100</v>
      </c>
      <c r="Z967" s="3">
        <v>31712700</v>
      </c>
      <c r="AA967" s="3">
        <v>46861900</v>
      </c>
      <c r="AB967" s="3">
        <v>148</v>
      </c>
    </row>
    <row r="968" spans="1:28" x14ac:dyDescent="0.35">
      <c r="A968">
        <v>2022</v>
      </c>
      <c r="B968" t="str">
        <f t="shared" si="125"/>
        <v>51</v>
      </c>
      <c r="C968" t="s">
        <v>346</v>
      </c>
      <c r="D968" t="s">
        <v>33</v>
      </c>
      <c r="E968" t="str">
        <f>"191"</f>
        <v>191</v>
      </c>
      <c r="F968" t="s">
        <v>351</v>
      </c>
      <c r="G968" t="str">
        <f>"003"</f>
        <v>003</v>
      </c>
      <c r="H968" t="str">
        <f>"6113"</f>
        <v>6113</v>
      </c>
      <c r="I968" s="3">
        <v>39924600</v>
      </c>
      <c r="J968" s="3">
        <v>100</v>
      </c>
      <c r="K968" s="3">
        <v>39924600</v>
      </c>
      <c r="L968" s="3">
        <v>0</v>
      </c>
      <c r="M968" s="3">
        <v>39924600</v>
      </c>
      <c r="N968" s="3">
        <v>0</v>
      </c>
      <c r="O968" s="3">
        <v>0</v>
      </c>
      <c r="P968" s="3">
        <v>0</v>
      </c>
      <c r="Q968" s="3">
        <v>0</v>
      </c>
      <c r="R968" s="3">
        <v>3145300</v>
      </c>
      <c r="S968" s="3">
        <v>0</v>
      </c>
      <c r="T968" s="3">
        <v>0</v>
      </c>
      <c r="U968" s="3">
        <v>0</v>
      </c>
      <c r="V968" s="3">
        <v>2019</v>
      </c>
      <c r="W968" s="3">
        <v>11316600</v>
      </c>
      <c r="X968" s="3">
        <v>43069900</v>
      </c>
      <c r="Y968" s="3">
        <v>31753300</v>
      </c>
      <c r="Z968" s="3">
        <v>21204400</v>
      </c>
      <c r="AA968" s="3">
        <v>21865500</v>
      </c>
      <c r="AB968" s="3">
        <v>103</v>
      </c>
    </row>
    <row r="969" spans="1:28" x14ac:dyDescent="0.35">
      <c r="A969">
        <v>2022</v>
      </c>
      <c r="B969" t="str">
        <f t="shared" si="125"/>
        <v>51</v>
      </c>
      <c r="C969" t="s">
        <v>346</v>
      </c>
      <c r="D969" t="s">
        <v>33</v>
      </c>
      <c r="E969" t="str">
        <f>"191"</f>
        <v>191</v>
      </c>
      <c r="F969" t="s">
        <v>351</v>
      </c>
      <c r="G969" t="str">
        <f>"004"</f>
        <v>004</v>
      </c>
      <c r="H969" t="str">
        <f>"6113"</f>
        <v>6113</v>
      </c>
      <c r="I969" s="3">
        <v>7219000</v>
      </c>
      <c r="J969" s="3">
        <v>100</v>
      </c>
      <c r="K969" s="3">
        <v>7219000</v>
      </c>
      <c r="L969" s="3">
        <v>0</v>
      </c>
      <c r="M969" s="3">
        <v>7219000</v>
      </c>
      <c r="N969" s="3">
        <v>0</v>
      </c>
      <c r="O969" s="3">
        <v>0</v>
      </c>
      <c r="P969" s="3">
        <v>0</v>
      </c>
      <c r="Q969" s="3">
        <v>0</v>
      </c>
      <c r="R969" s="3">
        <v>-654400</v>
      </c>
      <c r="S969" s="3">
        <v>0</v>
      </c>
      <c r="T969" s="3">
        <v>0</v>
      </c>
      <c r="U969" s="3">
        <v>0</v>
      </c>
      <c r="V969" s="3">
        <v>2020</v>
      </c>
      <c r="W969" s="3">
        <v>7150400</v>
      </c>
      <c r="X969" s="3">
        <v>6564600</v>
      </c>
      <c r="Y969" s="3">
        <v>-585800</v>
      </c>
      <c r="Z969" s="3">
        <v>7685900</v>
      </c>
      <c r="AA969" s="3">
        <v>-1121300</v>
      </c>
      <c r="AB969" s="3">
        <v>-15</v>
      </c>
    </row>
    <row r="970" spans="1:28" x14ac:dyDescent="0.35">
      <c r="A970">
        <v>2022</v>
      </c>
      <c r="B970" t="str">
        <f t="shared" si="125"/>
        <v>51</v>
      </c>
      <c r="C970" t="s">
        <v>346</v>
      </c>
      <c r="D970" t="s">
        <v>33</v>
      </c>
      <c r="E970" t="str">
        <f>"194"</f>
        <v>194</v>
      </c>
      <c r="F970" t="s">
        <v>352</v>
      </c>
      <c r="G970" t="str">
        <f>"001"</f>
        <v>001</v>
      </c>
      <c r="H970" t="str">
        <f>"6748"</f>
        <v>6748</v>
      </c>
      <c r="I970" s="3">
        <v>54566900</v>
      </c>
      <c r="J970" s="3">
        <v>86.29</v>
      </c>
      <c r="K970" s="3">
        <v>63236600</v>
      </c>
      <c r="L970" s="3">
        <v>0</v>
      </c>
      <c r="M970" s="3">
        <v>63236600</v>
      </c>
      <c r="N970" s="3">
        <v>0</v>
      </c>
      <c r="O970" s="3">
        <v>0</v>
      </c>
      <c r="P970" s="3">
        <v>14700</v>
      </c>
      <c r="Q970" s="3">
        <v>14700</v>
      </c>
      <c r="R970" s="3">
        <v>1315800</v>
      </c>
      <c r="S970" s="3">
        <v>0</v>
      </c>
      <c r="T970" s="3">
        <v>0</v>
      </c>
      <c r="U970" s="3">
        <v>0</v>
      </c>
      <c r="V970" s="3">
        <v>2019</v>
      </c>
      <c r="W970" s="3">
        <v>6053400</v>
      </c>
      <c r="X970" s="3">
        <v>64567100</v>
      </c>
      <c r="Y970" s="3">
        <v>58513700</v>
      </c>
      <c r="Z970" s="3">
        <v>39680400</v>
      </c>
      <c r="AA970" s="3">
        <v>24886700</v>
      </c>
      <c r="AB970" s="3">
        <v>63</v>
      </c>
    </row>
    <row r="971" spans="1:28" x14ac:dyDescent="0.35">
      <c r="A971">
        <v>2022</v>
      </c>
      <c r="B971" t="str">
        <f t="shared" si="125"/>
        <v>51</v>
      </c>
      <c r="C971" t="s">
        <v>346</v>
      </c>
      <c r="D971" t="s">
        <v>35</v>
      </c>
      <c r="E971" t="str">
        <f t="shared" ref="E971:E989" si="128">"276"</f>
        <v>276</v>
      </c>
      <c r="F971" t="s">
        <v>346</v>
      </c>
      <c r="G971" t="str">
        <f>"009"</f>
        <v>009</v>
      </c>
      <c r="H971" t="str">
        <f t="shared" ref="H971:H989" si="129">"4620"</f>
        <v>4620</v>
      </c>
      <c r="I971" s="3">
        <v>29732200</v>
      </c>
      <c r="J971" s="3">
        <v>100</v>
      </c>
      <c r="K971" s="3">
        <v>29732200</v>
      </c>
      <c r="L971" s="3">
        <v>0</v>
      </c>
      <c r="M971" s="3">
        <v>29732200</v>
      </c>
      <c r="N971" s="3">
        <v>0</v>
      </c>
      <c r="O971" s="3">
        <v>0</v>
      </c>
      <c r="P971" s="3">
        <v>0</v>
      </c>
      <c r="Q971" s="3">
        <v>0</v>
      </c>
      <c r="R971" s="3">
        <v>18400</v>
      </c>
      <c r="S971" s="3">
        <v>0</v>
      </c>
      <c r="T971" s="3">
        <v>0</v>
      </c>
      <c r="U971" s="3">
        <v>0</v>
      </c>
      <c r="V971" s="3">
        <v>2000</v>
      </c>
      <c r="W971" s="3">
        <v>665700</v>
      </c>
      <c r="X971" s="3">
        <v>29750600</v>
      </c>
      <c r="Y971" s="3">
        <v>29084900</v>
      </c>
      <c r="Z971" s="3">
        <v>34267600</v>
      </c>
      <c r="AA971" s="3">
        <v>-4517000</v>
      </c>
      <c r="AB971" s="3">
        <v>-13</v>
      </c>
    </row>
    <row r="972" spans="1:28" x14ac:dyDescent="0.35">
      <c r="A972">
        <v>2022</v>
      </c>
      <c r="B972" t="str">
        <f t="shared" si="125"/>
        <v>51</v>
      </c>
      <c r="C972" t="s">
        <v>346</v>
      </c>
      <c r="D972" t="s">
        <v>35</v>
      </c>
      <c r="E972" t="str">
        <f t="shared" si="128"/>
        <v>276</v>
      </c>
      <c r="F972" t="s">
        <v>346</v>
      </c>
      <c r="G972" t="str">
        <f>"010"</f>
        <v>010</v>
      </c>
      <c r="H972" t="str">
        <f t="shared" si="129"/>
        <v>4620</v>
      </c>
      <c r="I972" s="3">
        <v>143000</v>
      </c>
      <c r="J972" s="3">
        <v>100</v>
      </c>
      <c r="K972" s="3">
        <v>143000</v>
      </c>
      <c r="L972" s="3">
        <v>0</v>
      </c>
      <c r="M972" s="3">
        <v>143000</v>
      </c>
      <c r="N972" s="3">
        <v>1001500</v>
      </c>
      <c r="O972" s="3">
        <v>1001500</v>
      </c>
      <c r="P972" s="3">
        <v>70700</v>
      </c>
      <c r="Q972" s="3">
        <v>70700</v>
      </c>
      <c r="R972" s="3">
        <v>971800</v>
      </c>
      <c r="S972" s="3">
        <v>0</v>
      </c>
      <c r="T972" s="3">
        <v>0</v>
      </c>
      <c r="U972" s="3">
        <v>0</v>
      </c>
      <c r="V972" s="3">
        <v>2003</v>
      </c>
      <c r="W972" s="3">
        <v>1180400</v>
      </c>
      <c r="X972" s="3">
        <v>2187000</v>
      </c>
      <c r="Y972" s="3">
        <v>1006600</v>
      </c>
      <c r="Z972" s="3">
        <v>999100</v>
      </c>
      <c r="AA972" s="3">
        <v>1187900</v>
      </c>
      <c r="AB972" s="3">
        <v>119</v>
      </c>
    </row>
    <row r="973" spans="1:28" x14ac:dyDescent="0.35">
      <c r="A973">
        <v>2022</v>
      </c>
      <c r="B973" t="str">
        <f t="shared" si="125"/>
        <v>51</v>
      </c>
      <c r="C973" t="s">
        <v>346</v>
      </c>
      <c r="D973" t="s">
        <v>35</v>
      </c>
      <c r="E973" t="str">
        <f t="shared" si="128"/>
        <v>276</v>
      </c>
      <c r="F973" t="s">
        <v>346</v>
      </c>
      <c r="G973" t="str">
        <f>"011"</f>
        <v>011</v>
      </c>
      <c r="H973" t="str">
        <f t="shared" si="129"/>
        <v>4620</v>
      </c>
      <c r="I973" s="3">
        <v>5961400</v>
      </c>
      <c r="J973" s="3">
        <v>100</v>
      </c>
      <c r="K973" s="3">
        <v>5961400</v>
      </c>
      <c r="L973" s="3">
        <v>0</v>
      </c>
      <c r="M973" s="3">
        <v>5961400</v>
      </c>
      <c r="N973" s="3">
        <v>0</v>
      </c>
      <c r="O973" s="3">
        <v>0</v>
      </c>
      <c r="P973" s="3">
        <v>0</v>
      </c>
      <c r="Q973" s="3">
        <v>0</v>
      </c>
      <c r="R973" s="3">
        <v>3600</v>
      </c>
      <c r="S973" s="3">
        <v>0</v>
      </c>
      <c r="T973" s="3">
        <v>0</v>
      </c>
      <c r="U973" s="3">
        <v>0</v>
      </c>
      <c r="V973" s="3">
        <v>2005</v>
      </c>
      <c r="W973" s="3">
        <v>3179700</v>
      </c>
      <c r="X973" s="3">
        <v>5965000</v>
      </c>
      <c r="Y973" s="3">
        <v>2785300</v>
      </c>
      <c r="Z973" s="3">
        <v>6792100</v>
      </c>
      <c r="AA973" s="3">
        <v>-827100</v>
      </c>
      <c r="AB973" s="3">
        <v>-12</v>
      </c>
    </row>
    <row r="974" spans="1:28" x14ac:dyDescent="0.35">
      <c r="A974">
        <v>2022</v>
      </c>
      <c r="B974" t="str">
        <f t="shared" si="125"/>
        <v>51</v>
      </c>
      <c r="C974" t="s">
        <v>346</v>
      </c>
      <c r="D974" t="s">
        <v>35</v>
      </c>
      <c r="E974" t="str">
        <f t="shared" si="128"/>
        <v>276</v>
      </c>
      <c r="F974" t="s">
        <v>346</v>
      </c>
      <c r="G974" t="str">
        <f>"012"</f>
        <v>012</v>
      </c>
      <c r="H974" t="str">
        <f t="shared" si="129"/>
        <v>4620</v>
      </c>
      <c r="I974" s="3">
        <v>7180000</v>
      </c>
      <c r="J974" s="3">
        <v>100</v>
      </c>
      <c r="K974" s="3">
        <v>7180000</v>
      </c>
      <c r="L974" s="3">
        <v>0</v>
      </c>
      <c r="M974" s="3">
        <v>7180000</v>
      </c>
      <c r="N974" s="3">
        <v>0</v>
      </c>
      <c r="O974" s="3">
        <v>0</v>
      </c>
      <c r="P974" s="3">
        <v>0</v>
      </c>
      <c r="Q974" s="3">
        <v>0</v>
      </c>
      <c r="R974" s="3">
        <v>4000</v>
      </c>
      <c r="S974" s="3">
        <v>0</v>
      </c>
      <c r="T974" s="3">
        <v>0</v>
      </c>
      <c r="U974" s="3">
        <v>0</v>
      </c>
      <c r="V974" s="3">
        <v>2006</v>
      </c>
      <c r="W974" s="3">
        <v>378000</v>
      </c>
      <c r="X974" s="3">
        <v>7184000</v>
      </c>
      <c r="Y974" s="3">
        <v>6806000</v>
      </c>
      <c r="Z974" s="3">
        <v>7485100</v>
      </c>
      <c r="AA974" s="3">
        <v>-301100</v>
      </c>
      <c r="AB974" s="3">
        <v>-4</v>
      </c>
    </row>
    <row r="975" spans="1:28" x14ac:dyDescent="0.35">
      <c r="A975">
        <v>2022</v>
      </c>
      <c r="B975" t="str">
        <f t="shared" si="125"/>
        <v>51</v>
      </c>
      <c r="C975" t="s">
        <v>346</v>
      </c>
      <c r="D975" t="s">
        <v>35</v>
      </c>
      <c r="E975" t="str">
        <f t="shared" si="128"/>
        <v>276</v>
      </c>
      <c r="F975" t="s">
        <v>346</v>
      </c>
      <c r="G975" t="str">
        <f>"013"</f>
        <v>013</v>
      </c>
      <c r="H975" t="str">
        <f t="shared" si="129"/>
        <v>4620</v>
      </c>
      <c r="I975" s="3">
        <v>10396700</v>
      </c>
      <c r="J975" s="3">
        <v>100</v>
      </c>
      <c r="K975" s="3">
        <v>10396700</v>
      </c>
      <c r="L975" s="3">
        <v>0</v>
      </c>
      <c r="M975" s="3">
        <v>10396700</v>
      </c>
      <c r="N975" s="3">
        <v>0</v>
      </c>
      <c r="O975" s="3">
        <v>0</v>
      </c>
      <c r="P975" s="3">
        <v>0</v>
      </c>
      <c r="Q975" s="3">
        <v>0</v>
      </c>
      <c r="R975" s="3">
        <v>6100</v>
      </c>
      <c r="S975" s="3">
        <v>0</v>
      </c>
      <c r="T975" s="3">
        <v>0</v>
      </c>
      <c r="U975" s="3">
        <v>0</v>
      </c>
      <c r="V975" s="3">
        <v>2006</v>
      </c>
      <c r="W975" s="3">
        <v>312300</v>
      </c>
      <c r="X975" s="3">
        <v>10402800</v>
      </c>
      <c r="Y975" s="3">
        <v>10090500</v>
      </c>
      <c r="Z975" s="3">
        <v>11508700</v>
      </c>
      <c r="AA975" s="3">
        <v>-1105900</v>
      </c>
      <c r="AB975" s="3">
        <v>-10</v>
      </c>
    </row>
    <row r="976" spans="1:28" x14ac:dyDescent="0.35">
      <c r="A976">
        <v>2022</v>
      </c>
      <c r="B976" t="str">
        <f t="shared" si="125"/>
        <v>51</v>
      </c>
      <c r="C976" t="s">
        <v>346</v>
      </c>
      <c r="D976" t="s">
        <v>35</v>
      </c>
      <c r="E976" t="str">
        <f t="shared" si="128"/>
        <v>276</v>
      </c>
      <c r="F976" t="s">
        <v>346</v>
      </c>
      <c r="G976" t="str">
        <f>"014"</f>
        <v>014</v>
      </c>
      <c r="H976" t="str">
        <f t="shared" si="129"/>
        <v>4620</v>
      </c>
      <c r="I976" s="3">
        <v>4692300</v>
      </c>
      <c r="J976" s="3">
        <v>100</v>
      </c>
      <c r="K976" s="3">
        <v>4692300</v>
      </c>
      <c r="L976" s="3">
        <v>0</v>
      </c>
      <c r="M976" s="3">
        <v>4692300</v>
      </c>
      <c r="N976" s="3">
        <v>0</v>
      </c>
      <c r="O976" s="3">
        <v>0</v>
      </c>
      <c r="P976" s="3">
        <v>0</v>
      </c>
      <c r="Q976" s="3">
        <v>0</v>
      </c>
      <c r="R976" s="3">
        <v>2800</v>
      </c>
      <c r="S976" s="3">
        <v>0</v>
      </c>
      <c r="T976" s="3">
        <v>0</v>
      </c>
      <c r="U976" s="3">
        <v>0</v>
      </c>
      <c r="V976" s="3">
        <v>2006</v>
      </c>
      <c r="W976" s="3">
        <v>4103200</v>
      </c>
      <c r="X976" s="3">
        <v>4695100</v>
      </c>
      <c r="Y976" s="3">
        <v>591900</v>
      </c>
      <c r="Z976" s="3">
        <v>5346200</v>
      </c>
      <c r="AA976" s="3">
        <v>-651100</v>
      </c>
      <c r="AB976" s="3">
        <v>-12</v>
      </c>
    </row>
    <row r="977" spans="1:28" x14ac:dyDescent="0.35">
      <c r="A977">
        <v>2022</v>
      </c>
      <c r="B977" t="str">
        <f t="shared" si="125"/>
        <v>51</v>
      </c>
      <c r="C977" t="s">
        <v>346</v>
      </c>
      <c r="D977" t="s">
        <v>35</v>
      </c>
      <c r="E977" t="str">
        <f t="shared" si="128"/>
        <v>276</v>
      </c>
      <c r="F977" t="s">
        <v>346</v>
      </c>
      <c r="G977" t="str">
        <f>"016"</f>
        <v>016</v>
      </c>
      <c r="H977" t="str">
        <f t="shared" si="129"/>
        <v>4620</v>
      </c>
      <c r="I977" s="3">
        <v>153900</v>
      </c>
      <c r="J977" s="3">
        <v>100</v>
      </c>
      <c r="K977" s="3">
        <v>153900</v>
      </c>
      <c r="L977" s="3">
        <v>0</v>
      </c>
      <c r="M977" s="3">
        <v>153900</v>
      </c>
      <c r="N977" s="3">
        <v>9178800</v>
      </c>
      <c r="O977" s="3">
        <v>9178800</v>
      </c>
      <c r="P977" s="3">
        <v>1342700</v>
      </c>
      <c r="Q977" s="3">
        <v>1342700</v>
      </c>
      <c r="R977" s="3">
        <v>-10700</v>
      </c>
      <c r="S977" s="3">
        <v>0</v>
      </c>
      <c r="T977" s="3">
        <v>0</v>
      </c>
      <c r="U977" s="3">
        <v>25746400</v>
      </c>
      <c r="V977" s="3">
        <v>2009</v>
      </c>
      <c r="W977" s="3">
        <v>38217400</v>
      </c>
      <c r="X977" s="3">
        <v>36411100</v>
      </c>
      <c r="Y977" s="3">
        <v>-1806300</v>
      </c>
      <c r="Z977" s="3">
        <v>36204700</v>
      </c>
      <c r="AA977" s="3">
        <v>206400</v>
      </c>
      <c r="AB977" s="3">
        <v>1</v>
      </c>
    </row>
    <row r="978" spans="1:28" x14ac:dyDescent="0.35">
      <c r="A978">
        <v>2022</v>
      </c>
      <c r="B978" t="str">
        <f t="shared" si="125"/>
        <v>51</v>
      </c>
      <c r="C978" t="s">
        <v>346</v>
      </c>
      <c r="D978" t="s">
        <v>35</v>
      </c>
      <c r="E978" t="str">
        <f t="shared" si="128"/>
        <v>276</v>
      </c>
      <c r="F978" t="s">
        <v>346</v>
      </c>
      <c r="G978" t="str">
        <f>"017"</f>
        <v>017</v>
      </c>
      <c r="H978" t="str">
        <f t="shared" si="129"/>
        <v>4620</v>
      </c>
      <c r="I978" s="3">
        <v>398000</v>
      </c>
      <c r="J978" s="3">
        <v>100</v>
      </c>
      <c r="K978" s="3">
        <v>398000</v>
      </c>
      <c r="L978" s="3">
        <v>0</v>
      </c>
      <c r="M978" s="3">
        <v>398000</v>
      </c>
      <c r="N978" s="3">
        <v>0</v>
      </c>
      <c r="O978" s="3">
        <v>0</v>
      </c>
      <c r="P978" s="3">
        <v>0</v>
      </c>
      <c r="Q978" s="3">
        <v>0</v>
      </c>
      <c r="R978" s="3">
        <v>200</v>
      </c>
      <c r="S978" s="3">
        <v>0</v>
      </c>
      <c r="T978" s="3">
        <v>0</v>
      </c>
      <c r="U978" s="3">
        <v>0</v>
      </c>
      <c r="V978" s="3">
        <v>2012</v>
      </c>
      <c r="W978" s="3">
        <v>364900</v>
      </c>
      <c r="X978" s="3">
        <v>398200</v>
      </c>
      <c r="Y978" s="3">
        <v>33300</v>
      </c>
      <c r="Z978" s="3">
        <v>454800</v>
      </c>
      <c r="AA978" s="3">
        <v>-56600</v>
      </c>
      <c r="AB978" s="3">
        <v>-12</v>
      </c>
    </row>
    <row r="979" spans="1:28" x14ac:dyDescent="0.35">
      <c r="A979">
        <v>2022</v>
      </c>
      <c r="B979" t="str">
        <f t="shared" si="125"/>
        <v>51</v>
      </c>
      <c r="C979" t="s">
        <v>346</v>
      </c>
      <c r="D979" t="s">
        <v>35</v>
      </c>
      <c r="E979" t="str">
        <f t="shared" si="128"/>
        <v>276</v>
      </c>
      <c r="F979" t="s">
        <v>346</v>
      </c>
      <c r="G979" t="str">
        <f>"018"</f>
        <v>018</v>
      </c>
      <c r="H979" t="str">
        <f t="shared" si="129"/>
        <v>4620</v>
      </c>
      <c r="I979" s="3">
        <v>3255900</v>
      </c>
      <c r="J979" s="3">
        <v>100</v>
      </c>
      <c r="K979" s="3">
        <v>3255900</v>
      </c>
      <c r="L979" s="3">
        <v>0</v>
      </c>
      <c r="M979" s="3">
        <v>3255900</v>
      </c>
      <c r="N979" s="3">
        <v>369400</v>
      </c>
      <c r="O979" s="3">
        <v>369400</v>
      </c>
      <c r="P979" s="3">
        <v>20700</v>
      </c>
      <c r="Q979" s="3">
        <v>20700</v>
      </c>
      <c r="R979" s="3">
        <v>1900</v>
      </c>
      <c r="S979" s="3">
        <v>0</v>
      </c>
      <c r="T979" s="3">
        <v>0</v>
      </c>
      <c r="U979" s="3">
        <v>0</v>
      </c>
      <c r="V979" s="3">
        <v>2014</v>
      </c>
      <c r="W979" s="3">
        <v>3045500</v>
      </c>
      <c r="X979" s="3">
        <v>3647900</v>
      </c>
      <c r="Y979" s="3">
        <v>602400</v>
      </c>
      <c r="Z979" s="3">
        <v>3982700</v>
      </c>
      <c r="AA979" s="3">
        <v>-334800</v>
      </c>
      <c r="AB979" s="3">
        <v>-8</v>
      </c>
    </row>
    <row r="980" spans="1:28" x14ac:dyDescent="0.35">
      <c r="A980">
        <v>2022</v>
      </c>
      <c r="B980" t="str">
        <f t="shared" si="125"/>
        <v>51</v>
      </c>
      <c r="C980" t="s">
        <v>346</v>
      </c>
      <c r="D980" t="s">
        <v>35</v>
      </c>
      <c r="E980" t="str">
        <f t="shared" si="128"/>
        <v>276</v>
      </c>
      <c r="F980" t="s">
        <v>346</v>
      </c>
      <c r="G980" t="str">
        <f>"019"</f>
        <v>019</v>
      </c>
      <c r="H980" t="str">
        <f t="shared" si="129"/>
        <v>4620</v>
      </c>
      <c r="I980" s="3">
        <v>34541400</v>
      </c>
      <c r="J980" s="3">
        <v>100</v>
      </c>
      <c r="K980" s="3">
        <v>34541400</v>
      </c>
      <c r="L980" s="3">
        <v>0</v>
      </c>
      <c r="M980" s="3">
        <v>34541400</v>
      </c>
      <c r="N980" s="3">
        <v>41254500</v>
      </c>
      <c r="O980" s="3">
        <v>41254500</v>
      </c>
      <c r="P980" s="3">
        <v>1604000</v>
      </c>
      <c r="Q980" s="3">
        <v>1604000</v>
      </c>
      <c r="R980" s="3">
        <v>20000</v>
      </c>
      <c r="S980" s="3">
        <v>-186400</v>
      </c>
      <c r="T980" s="3">
        <v>0</v>
      </c>
      <c r="U980" s="3">
        <v>0</v>
      </c>
      <c r="V980" s="3">
        <v>2016</v>
      </c>
      <c r="W980" s="3">
        <v>38194400</v>
      </c>
      <c r="X980" s="3">
        <v>77233500</v>
      </c>
      <c r="Y980" s="3">
        <v>39039100</v>
      </c>
      <c r="Z980" s="3">
        <v>55795100</v>
      </c>
      <c r="AA980" s="3">
        <v>21438400</v>
      </c>
      <c r="AB980" s="3">
        <v>38</v>
      </c>
    </row>
    <row r="981" spans="1:28" x14ac:dyDescent="0.35">
      <c r="A981">
        <v>2022</v>
      </c>
      <c r="B981" t="str">
        <f t="shared" si="125"/>
        <v>51</v>
      </c>
      <c r="C981" t="s">
        <v>346</v>
      </c>
      <c r="D981" t="s">
        <v>35</v>
      </c>
      <c r="E981" t="str">
        <f t="shared" si="128"/>
        <v>276</v>
      </c>
      <c r="F981" t="s">
        <v>346</v>
      </c>
      <c r="G981" t="str">
        <f>"020"</f>
        <v>020</v>
      </c>
      <c r="H981" t="str">
        <f t="shared" si="129"/>
        <v>4620</v>
      </c>
      <c r="I981" s="3">
        <v>55432200</v>
      </c>
      <c r="J981" s="3">
        <v>100</v>
      </c>
      <c r="K981" s="3">
        <v>55432200</v>
      </c>
      <c r="L981" s="3">
        <v>0</v>
      </c>
      <c r="M981" s="3">
        <v>55432200</v>
      </c>
      <c r="N981" s="3">
        <v>0</v>
      </c>
      <c r="O981" s="3">
        <v>0</v>
      </c>
      <c r="P981" s="3">
        <v>0</v>
      </c>
      <c r="Q981" s="3">
        <v>0</v>
      </c>
      <c r="R981" s="3">
        <v>5789300</v>
      </c>
      <c r="S981" s="3">
        <v>0</v>
      </c>
      <c r="T981" s="3">
        <v>0</v>
      </c>
      <c r="U981" s="3">
        <v>0</v>
      </c>
      <c r="V981" s="3">
        <v>2017</v>
      </c>
      <c r="W981" s="3">
        <v>59970000</v>
      </c>
      <c r="X981" s="3">
        <v>61221500</v>
      </c>
      <c r="Y981" s="3">
        <v>1251500</v>
      </c>
      <c r="Z981" s="3">
        <v>55198400</v>
      </c>
      <c r="AA981" s="3">
        <v>6023100</v>
      </c>
      <c r="AB981" s="3">
        <v>11</v>
      </c>
    </row>
    <row r="982" spans="1:28" x14ac:dyDescent="0.35">
      <c r="A982">
        <v>2022</v>
      </c>
      <c r="B982" t="str">
        <f t="shared" si="125"/>
        <v>51</v>
      </c>
      <c r="C982" t="s">
        <v>346</v>
      </c>
      <c r="D982" t="s">
        <v>35</v>
      </c>
      <c r="E982" t="str">
        <f t="shared" si="128"/>
        <v>276</v>
      </c>
      <c r="F982" t="s">
        <v>346</v>
      </c>
      <c r="G982" t="str">
        <f>"021"</f>
        <v>021</v>
      </c>
      <c r="H982" t="str">
        <f t="shared" si="129"/>
        <v>4620</v>
      </c>
      <c r="I982" s="3">
        <v>0</v>
      </c>
      <c r="J982" s="3">
        <v>100</v>
      </c>
      <c r="K982" s="3">
        <v>0</v>
      </c>
      <c r="L982" s="3">
        <v>0</v>
      </c>
      <c r="M982" s="3">
        <v>0</v>
      </c>
      <c r="N982" s="3">
        <v>0</v>
      </c>
      <c r="O982" s="3">
        <v>0</v>
      </c>
      <c r="P982" s="3">
        <v>0</v>
      </c>
      <c r="Q982" s="3">
        <v>0</v>
      </c>
      <c r="R982" s="3">
        <v>0</v>
      </c>
      <c r="S982" s="3">
        <v>0</v>
      </c>
      <c r="T982" s="3">
        <v>0</v>
      </c>
      <c r="U982" s="3">
        <v>0</v>
      </c>
      <c r="V982" s="3">
        <v>2019</v>
      </c>
      <c r="W982" s="3">
        <v>0</v>
      </c>
      <c r="X982" s="3">
        <v>0</v>
      </c>
      <c r="Y982" s="3">
        <v>0</v>
      </c>
      <c r="Z982" s="3">
        <v>0</v>
      </c>
      <c r="AA982" s="3">
        <v>0</v>
      </c>
      <c r="AB982" s="3">
        <v>0</v>
      </c>
    </row>
    <row r="983" spans="1:28" x14ac:dyDescent="0.35">
      <c r="A983">
        <v>2022</v>
      </c>
      <c r="B983" t="str">
        <f t="shared" si="125"/>
        <v>51</v>
      </c>
      <c r="C983" t="s">
        <v>346</v>
      </c>
      <c r="D983" t="s">
        <v>35</v>
      </c>
      <c r="E983" t="str">
        <f t="shared" si="128"/>
        <v>276</v>
      </c>
      <c r="F983" t="s">
        <v>346</v>
      </c>
      <c r="G983" t="str">
        <f>"022"</f>
        <v>022</v>
      </c>
      <c r="H983" t="str">
        <f t="shared" si="129"/>
        <v>4620</v>
      </c>
      <c r="I983" s="3">
        <v>354959400</v>
      </c>
      <c r="J983" s="3">
        <v>100</v>
      </c>
      <c r="K983" s="3">
        <v>354959400</v>
      </c>
      <c r="L983" s="3">
        <v>0</v>
      </c>
      <c r="M983" s="3">
        <v>354959400</v>
      </c>
      <c r="N983" s="3">
        <v>16219700</v>
      </c>
      <c r="O983" s="3">
        <v>16219700</v>
      </c>
      <c r="P983" s="3">
        <v>1311200</v>
      </c>
      <c r="Q983" s="3">
        <v>1311200</v>
      </c>
      <c r="R983" s="3">
        <v>-15137700</v>
      </c>
      <c r="S983" s="3">
        <v>0</v>
      </c>
      <c r="T983" s="3">
        <v>0</v>
      </c>
      <c r="U983" s="3">
        <v>0</v>
      </c>
      <c r="V983" s="3">
        <v>2019</v>
      </c>
      <c r="W983" s="3">
        <v>330022900</v>
      </c>
      <c r="X983" s="3">
        <v>357352600</v>
      </c>
      <c r="Y983" s="3">
        <v>27329700</v>
      </c>
      <c r="Z983" s="3">
        <v>404023200</v>
      </c>
      <c r="AA983" s="3">
        <v>-46670600</v>
      </c>
      <c r="AB983" s="3">
        <v>-12</v>
      </c>
    </row>
    <row r="984" spans="1:28" x14ac:dyDescent="0.35">
      <c r="A984">
        <v>2022</v>
      </c>
      <c r="B984" t="str">
        <f t="shared" si="125"/>
        <v>51</v>
      </c>
      <c r="C984" t="s">
        <v>346</v>
      </c>
      <c r="D984" t="s">
        <v>35</v>
      </c>
      <c r="E984" t="str">
        <f t="shared" si="128"/>
        <v>276</v>
      </c>
      <c r="F984" t="s">
        <v>346</v>
      </c>
      <c r="G984" t="str">
        <f>"023"</f>
        <v>023</v>
      </c>
      <c r="H984" t="str">
        <f t="shared" si="129"/>
        <v>4620</v>
      </c>
      <c r="I984" s="3">
        <v>114381700</v>
      </c>
      <c r="J984" s="3">
        <v>100</v>
      </c>
      <c r="K984" s="3">
        <v>114381700</v>
      </c>
      <c r="L984" s="3">
        <v>0</v>
      </c>
      <c r="M984" s="3">
        <v>114381700</v>
      </c>
      <c r="N984" s="3">
        <v>0</v>
      </c>
      <c r="O984" s="3">
        <v>0</v>
      </c>
      <c r="P984" s="3">
        <v>0</v>
      </c>
      <c r="Q984" s="3">
        <v>0</v>
      </c>
      <c r="R984" s="3">
        <v>104600</v>
      </c>
      <c r="S984" s="3">
        <v>0</v>
      </c>
      <c r="T984" s="3">
        <v>0</v>
      </c>
      <c r="U984" s="3">
        <v>0</v>
      </c>
      <c r="V984" s="3">
        <v>2019</v>
      </c>
      <c r="W984" s="3">
        <v>105603300</v>
      </c>
      <c r="X984" s="3">
        <v>114486300</v>
      </c>
      <c r="Y984" s="3">
        <v>8883000</v>
      </c>
      <c r="Z984" s="3">
        <v>122865800</v>
      </c>
      <c r="AA984" s="3">
        <v>-8379500</v>
      </c>
      <c r="AB984" s="3">
        <v>-7</v>
      </c>
    </row>
    <row r="985" spans="1:28" x14ac:dyDescent="0.35">
      <c r="A985">
        <v>2022</v>
      </c>
      <c r="B985" t="str">
        <f t="shared" si="125"/>
        <v>51</v>
      </c>
      <c r="C985" t="s">
        <v>346</v>
      </c>
      <c r="D985" t="s">
        <v>35</v>
      </c>
      <c r="E985" t="str">
        <f t="shared" si="128"/>
        <v>276</v>
      </c>
      <c r="F985" t="s">
        <v>346</v>
      </c>
      <c r="G985" t="str">
        <f>"024"</f>
        <v>024</v>
      </c>
      <c r="H985" t="str">
        <f t="shared" si="129"/>
        <v>4620</v>
      </c>
      <c r="I985" s="3">
        <v>36300</v>
      </c>
      <c r="J985" s="3">
        <v>100</v>
      </c>
      <c r="K985" s="3">
        <v>36300</v>
      </c>
      <c r="L985" s="3">
        <v>0</v>
      </c>
      <c r="M985" s="3">
        <v>36300</v>
      </c>
      <c r="N985" s="3">
        <v>0</v>
      </c>
      <c r="O985" s="3">
        <v>0</v>
      </c>
      <c r="P985" s="3">
        <v>0</v>
      </c>
      <c r="Q985" s="3">
        <v>0</v>
      </c>
      <c r="R985" s="3">
        <v>0</v>
      </c>
      <c r="S985" s="3">
        <v>0</v>
      </c>
      <c r="T985" s="3">
        <v>0</v>
      </c>
      <c r="U985" s="3">
        <v>0</v>
      </c>
      <c r="V985" s="3">
        <v>2020</v>
      </c>
      <c r="W985" s="3">
        <v>50600</v>
      </c>
      <c r="X985" s="3">
        <v>36300</v>
      </c>
      <c r="Y985" s="3">
        <v>-14300</v>
      </c>
      <c r="Z985" s="3">
        <v>0</v>
      </c>
      <c r="AA985" s="3">
        <v>36300</v>
      </c>
      <c r="AB985" s="3">
        <v>100</v>
      </c>
    </row>
    <row r="986" spans="1:28" x14ac:dyDescent="0.35">
      <c r="A986">
        <v>2022</v>
      </c>
      <c r="B986" t="str">
        <f t="shared" si="125"/>
        <v>51</v>
      </c>
      <c r="C986" t="s">
        <v>346</v>
      </c>
      <c r="D986" t="s">
        <v>35</v>
      </c>
      <c r="E986" t="str">
        <f t="shared" si="128"/>
        <v>276</v>
      </c>
      <c r="F986" t="s">
        <v>346</v>
      </c>
      <c r="G986" t="str">
        <f>"025"</f>
        <v>025</v>
      </c>
      <c r="H986" t="str">
        <f t="shared" si="129"/>
        <v>4620</v>
      </c>
      <c r="I986" s="3">
        <v>10895100</v>
      </c>
      <c r="J986" s="3">
        <v>100</v>
      </c>
      <c r="K986" s="3">
        <v>10895100</v>
      </c>
      <c r="L986" s="3">
        <v>0</v>
      </c>
      <c r="M986" s="3">
        <v>10895100</v>
      </c>
      <c r="N986" s="3">
        <v>506000</v>
      </c>
      <c r="O986" s="3">
        <v>506000</v>
      </c>
      <c r="P986" s="3">
        <v>22800</v>
      </c>
      <c r="Q986" s="3">
        <v>22800</v>
      </c>
      <c r="R986" s="3">
        <v>10152800</v>
      </c>
      <c r="S986" s="3">
        <v>0</v>
      </c>
      <c r="T986" s="3">
        <v>0</v>
      </c>
      <c r="U986" s="3">
        <v>0</v>
      </c>
      <c r="V986" s="3">
        <v>2020</v>
      </c>
      <c r="W986" s="3">
        <v>6116700</v>
      </c>
      <c r="X986" s="3">
        <v>21576700</v>
      </c>
      <c r="Y986" s="3">
        <v>15460000</v>
      </c>
      <c r="Z986" s="3">
        <v>480900</v>
      </c>
      <c r="AA986" s="3">
        <v>21095800</v>
      </c>
      <c r="AB986" s="3">
        <v>4387</v>
      </c>
    </row>
    <row r="987" spans="1:28" x14ac:dyDescent="0.35">
      <c r="A987">
        <v>2022</v>
      </c>
      <c r="B987" t="str">
        <f t="shared" si="125"/>
        <v>51</v>
      </c>
      <c r="C987" t="s">
        <v>346</v>
      </c>
      <c r="D987" t="s">
        <v>35</v>
      </c>
      <c r="E987" t="str">
        <f t="shared" si="128"/>
        <v>276</v>
      </c>
      <c r="F987" t="s">
        <v>346</v>
      </c>
      <c r="G987" t="str">
        <f>"026"</f>
        <v>026</v>
      </c>
      <c r="H987" t="str">
        <f t="shared" si="129"/>
        <v>4620</v>
      </c>
      <c r="I987" s="3">
        <v>3322900</v>
      </c>
      <c r="J987" s="3">
        <v>100</v>
      </c>
      <c r="K987" s="3">
        <v>3322900</v>
      </c>
      <c r="L987" s="3">
        <v>0</v>
      </c>
      <c r="M987" s="3">
        <v>3322900</v>
      </c>
      <c r="N987" s="3">
        <v>0</v>
      </c>
      <c r="O987" s="3">
        <v>0</v>
      </c>
      <c r="P987" s="3">
        <v>0</v>
      </c>
      <c r="Q987" s="3">
        <v>0</v>
      </c>
      <c r="R987" s="3">
        <v>0</v>
      </c>
      <c r="S987" s="3">
        <v>0</v>
      </c>
      <c r="T987" s="3">
        <v>0</v>
      </c>
      <c r="U987" s="3">
        <v>0</v>
      </c>
      <c r="V987" s="3">
        <v>2021</v>
      </c>
      <c r="W987" s="3">
        <v>3612000</v>
      </c>
      <c r="X987" s="3">
        <v>3322900</v>
      </c>
      <c r="Y987" s="3">
        <v>-289100</v>
      </c>
      <c r="Z987" s="3">
        <v>3612000</v>
      </c>
      <c r="AA987" s="3">
        <v>-289100</v>
      </c>
      <c r="AB987" s="3">
        <v>-8</v>
      </c>
    </row>
    <row r="988" spans="1:28" x14ac:dyDescent="0.35">
      <c r="A988">
        <v>2022</v>
      </c>
      <c r="B988" t="str">
        <f t="shared" si="125"/>
        <v>51</v>
      </c>
      <c r="C988" t="s">
        <v>346</v>
      </c>
      <c r="D988" t="s">
        <v>35</v>
      </c>
      <c r="E988" t="str">
        <f t="shared" si="128"/>
        <v>276</v>
      </c>
      <c r="F988" t="s">
        <v>346</v>
      </c>
      <c r="G988" t="str">
        <f>"027"</f>
        <v>027</v>
      </c>
      <c r="H988" t="str">
        <f t="shared" si="129"/>
        <v>4620</v>
      </c>
      <c r="I988" s="3">
        <v>240065600</v>
      </c>
      <c r="J988" s="3">
        <v>100</v>
      </c>
      <c r="K988" s="3">
        <v>240065600</v>
      </c>
      <c r="L988" s="3">
        <v>0</v>
      </c>
      <c r="M988" s="3">
        <v>240065600</v>
      </c>
      <c r="N988" s="3">
        <v>154700</v>
      </c>
      <c r="O988" s="3">
        <v>154700</v>
      </c>
      <c r="P988" s="3">
        <v>7300</v>
      </c>
      <c r="Q988" s="3">
        <v>7300</v>
      </c>
      <c r="R988" s="3">
        <v>0</v>
      </c>
      <c r="S988" s="3">
        <v>0</v>
      </c>
      <c r="T988" s="3">
        <v>0</v>
      </c>
      <c r="U988" s="3">
        <v>0</v>
      </c>
      <c r="V988" s="3">
        <v>2021</v>
      </c>
      <c r="W988" s="3">
        <v>246073100</v>
      </c>
      <c r="X988" s="3">
        <v>240227600</v>
      </c>
      <c r="Y988" s="3">
        <v>-5845500</v>
      </c>
      <c r="Z988" s="3">
        <v>246073100</v>
      </c>
      <c r="AA988" s="3">
        <v>-5845500</v>
      </c>
      <c r="AB988" s="3">
        <v>-2</v>
      </c>
    </row>
    <row r="989" spans="1:28" x14ac:dyDescent="0.35">
      <c r="A989">
        <v>2022</v>
      </c>
      <c r="B989" t="str">
        <f t="shared" si="125"/>
        <v>51</v>
      </c>
      <c r="C989" t="s">
        <v>346</v>
      </c>
      <c r="D989" t="s">
        <v>35</v>
      </c>
      <c r="E989" t="str">
        <f t="shared" si="128"/>
        <v>276</v>
      </c>
      <c r="F989" t="s">
        <v>346</v>
      </c>
      <c r="G989" t="str">
        <f>"028"</f>
        <v>028</v>
      </c>
      <c r="H989" t="str">
        <f t="shared" si="129"/>
        <v>4620</v>
      </c>
      <c r="I989" s="3">
        <v>111688500</v>
      </c>
      <c r="J989" s="3">
        <v>100</v>
      </c>
      <c r="K989" s="3">
        <v>111688500</v>
      </c>
      <c r="L989" s="3">
        <v>0</v>
      </c>
      <c r="M989" s="3">
        <v>111688500</v>
      </c>
      <c r="N989" s="3">
        <v>0</v>
      </c>
      <c r="O989" s="3">
        <v>0</v>
      </c>
      <c r="P989" s="3">
        <v>0</v>
      </c>
      <c r="Q989" s="3">
        <v>0</v>
      </c>
      <c r="R989" s="3">
        <v>0</v>
      </c>
      <c r="S989" s="3">
        <v>0</v>
      </c>
      <c r="T989" s="3">
        <v>0</v>
      </c>
      <c r="U989" s="3">
        <v>0</v>
      </c>
      <c r="V989" s="3">
        <v>2021</v>
      </c>
      <c r="W989" s="3">
        <v>112560500</v>
      </c>
      <c r="X989" s="3">
        <v>111688500</v>
      </c>
      <c r="Y989" s="3">
        <v>-872000</v>
      </c>
      <c r="Z989" s="3">
        <v>112560500</v>
      </c>
      <c r="AA989" s="3">
        <v>-872000</v>
      </c>
      <c r="AB989" s="3">
        <v>-1</v>
      </c>
    </row>
    <row r="990" spans="1:28" x14ac:dyDescent="0.35">
      <c r="A990">
        <v>2022</v>
      </c>
      <c r="B990" t="str">
        <f>"52"</f>
        <v>52</v>
      </c>
      <c r="C990" t="s">
        <v>353</v>
      </c>
      <c r="D990" t="s">
        <v>33</v>
      </c>
      <c r="E990" t="str">
        <f>"186"</f>
        <v>186</v>
      </c>
      <c r="F990" t="s">
        <v>354</v>
      </c>
      <c r="G990" t="str">
        <f>"003"</f>
        <v>003</v>
      </c>
      <c r="H990" t="str">
        <f>"5960"</f>
        <v>5960</v>
      </c>
      <c r="I990" s="3">
        <v>1311700</v>
      </c>
      <c r="J990" s="3">
        <v>100</v>
      </c>
      <c r="K990" s="3">
        <v>1311700</v>
      </c>
      <c r="L990" s="3">
        <v>0</v>
      </c>
      <c r="M990" s="3">
        <v>1311700</v>
      </c>
      <c r="N990" s="3">
        <v>38300</v>
      </c>
      <c r="O990" s="3">
        <v>38300</v>
      </c>
      <c r="P990" s="3">
        <v>100</v>
      </c>
      <c r="Q990" s="3">
        <v>100</v>
      </c>
      <c r="R990" s="3">
        <v>-2700</v>
      </c>
      <c r="S990" s="3">
        <v>0</v>
      </c>
      <c r="T990" s="3">
        <v>0</v>
      </c>
      <c r="U990" s="3">
        <v>0</v>
      </c>
      <c r="V990" s="3">
        <v>1995</v>
      </c>
      <c r="W990" s="3">
        <v>660900</v>
      </c>
      <c r="X990" s="3">
        <v>1347400</v>
      </c>
      <c r="Y990" s="3">
        <v>686500</v>
      </c>
      <c r="Z990" s="3">
        <v>1308500</v>
      </c>
      <c r="AA990" s="3">
        <v>38900</v>
      </c>
      <c r="AB990" s="3">
        <v>3</v>
      </c>
    </row>
    <row r="991" spans="1:28" x14ac:dyDescent="0.35">
      <c r="A991">
        <v>2022</v>
      </c>
      <c r="B991" t="str">
        <f>"52"</f>
        <v>52</v>
      </c>
      <c r="C991" t="s">
        <v>353</v>
      </c>
      <c r="D991" t="s">
        <v>33</v>
      </c>
      <c r="E991" t="str">
        <f>"186"</f>
        <v>186</v>
      </c>
      <c r="F991" t="s">
        <v>354</v>
      </c>
      <c r="G991" t="str">
        <f>"006"</f>
        <v>006</v>
      </c>
      <c r="H991" t="str">
        <f>"5960"</f>
        <v>5960</v>
      </c>
      <c r="I991" s="3">
        <v>775700</v>
      </c>
      <c r="J991" s="3">
        <v>100</v>
      </c>
      <c r="K991" s="3">
        <v>775700</v>
      </c>
      <c r="L991" s="3">
        <v>0</v>
      </c>
      <c r="M991" s="3">
        <v>775700</v>
      </c>
      <c r="N991" s="3">
        <v>0</v>
      </c>
      <c r="O991" s="3">
        <v>0</v>
      </c>
      <c r="P991" s="3">
        <v>0</v>
      </c>
      <c r="Q991" s="3">
        <v>0</v>
      </c>
      <c r="R991" s="3">
        <v>-1500</v>
      </c>
      <c r="S991" s="3">
        <v>0</v>
      </c>
      <c r="T991" s="3">
        <v>0</v>
      </c>
      <c r="U991" s="3">
        <v>0</v>
      </c>
      <c r="V991" s="3">
        <v>2019</v>
      </c>
      <c r="W991" s="3">
        <v>586000</v>
      </c>
      <c r="X991" s="3">
        <v>774200</v>
      </c>
      <c r="Y991" s="3">
        <v>188200</v>
      </c>
      <c r="Z991" s="3">
        <v>707500</v>
      </c>
      <c r="AA991" s="3">
        <v>66700</v>
      </c>
      <c r="AB991" s="3">
        <v>9</v>
      </c>
    </row>
    <row r="992" spans="1:28" x14ac:dyDescent="0.35">
      <c r="A992">
        <v>2022</v>
      </c>
      <c r="B992" t="str">
        <f>"52"</f>
        <v>52</v>
      </c>
      <c r="C992" t="s">
        <v>353</v>
      </c>
      <c r="D992" t="s">
        <v>35</v>
      </c>
      <c r="E992" t="str">
        <f>"276"</f>
        <v>276</v>
      </c>
      <c r="F992" t="s">
        <v>355</v>
      </c>
      <c r="G992" t="str">
        <f>"006"</f>
        <v>006</v>
      </c>
      <c r="H992" t="str">
        <f>"4851"</f>
        <v>4851</v>
      </c>
      <c r="I992" s="3">
        <v>4112200</v>
      </c>
      <c r="J992" s="3">
        <v>74.75</v>
      </c>
      <c r="K992" s="3">
        <v>5501300</v>
      </c>
      <c r="L992" s="3">
        <v>0</v>
      </c>
      <c r="M992" s="3">
        <v>5501300</v>
      </c>
      <c r="N992" s="3">
        <v>0</v>
      </c>
      <c r="O992" s="3">
        <v>0</v>
      </c>
      <c r="P992" s="3">
        <v>0</v>
      </c>
      <c r="Q992" s="3">
        <v>0</v>
      </c>
      <c r="R992" s="3">
        <v>-1900</v>
      </c>
      <c r="S992" s="3">
        <v>0</v>
      </c>
      <c r="T992" s="3">
        <v>0</v>
      </c>
      <c r="U992" s="3">
        <v>0</v>
      </c>
      <c r="V992" s="3">
        <v>2017</v>
      </c>
      <c r="W992" s="3">
        <v>28300</v>
      </c>
      <c r="X992" s="3">
        <v>5499400</v>
      </c>
      <c r="Y992" s="3">
        <v>5471100</v>
      </c>
      <c r="Z992" s="3">
        <v>5097700</v>
      </c>
      <c r="AA992" s="3">
        <v>401700</v>
      </c>
      <c r="AB992" s="3">
        <v>8</v>
      </c>
    </row>
    <row r="993" spans="1:28" x14ac:dyDescent="0.35">
      <c r="A993">
        <v>2022</v>
      </c>
      <c r="B993" t="str">
        <f t="shared" ref="B993:B1026" si="130">"53"</f>
        <v>53</v>
      </c>
      <c r="C993" t="s">
        <v>356</v>
      </c>
      <c r="D993" t="s">
        <v>33</v>
      </c>
      <c r="E993" t="str">
        <f>"126"</f>
        <v>126</v>
      </c>
      <c r="F993" t="s">
        <v>357</v>
      </c>
      <c r="G993" t="str">
        <f>"001"</f>
        <v>001</v>
      </c>
      <c r="H993" t="str">
        <f>"4151"</f>
        <v>4151</v>
      </c>
      <c r="I993" s="3">
        <v>14144800</v>
      </c>
      <c r="J993" s="3">
        <v>85.28</v>
      </c>
      <c r="K993" s="3">
        <v>16586300</v>
      </c>
      <c r="L993" s="3">
        <v>0</v>
      </c>
      <c r="M993" s="3">
        <v>16586300</v>
      </c>
      <c r="N993" s="3">
        <v>402800</v>
      </c>
      <c r="O993" s="3">
        <v>402800</v>
      </c>
      <c r="P993" s="3">
        <v>88100</v>
      </c>
      <c r="Q993" s="3">
        <v>88100</v>
      </c>
      <c r="R993" s="3">
        <v>1248600</v>
      </c>
      <c r="S993" s="3">
        <v>0</v>
      </c>
      <c r="T993" s="3">
        <v>0</v>
      </c>
      <c r="U993" s="3">
        <v>0</v>
      </c>
      <c r="V993" s="3">
        <v>2000</v>
      </c>
      <c r="W993" s="3">
        <v>1235300</v>
      </c>
      <c r="X993" s="3">
        <v>18325800</v>
      </c>
      <c r="Y993" s="3">
        <v>17090500</v>
      </c>
      <c r="Z993" s="3">
        <v>13402200</v>
      </c>
      <c r="AA993" s="3">
        <v>4923600</v>
      </c>
      <c r="AB993" s="3">
        <v>37</v>
      </c>
    </row>
    <row r="994" spans="1:28" x14ac:dyDescent="0.35">
      <c r="A994">
        <v>2022</v>
      </c>
      <c r="B994" t="str">
        <f t="shared" si="130"/>
        <v>53</v>
      </c>
      <c r="C994" t="s">
        <v>356</v>
      </c>
      <c r="D994" t="s">
        <v>33</v>
      </c>
      <c r="E994" t="str">
        <f>"165"</f>
        <v>165</v>
      </c>
      <c r="F994" t="s">
        <v>358</v>
      </c>
      <c r="G994" t="str">
        <f>"003"</f>
        <v>003</v>
      </c>
      <c r="H994" t="str">
        <f>"4151"</f>
        <v>4151</v>
      </c>
      <c r="I994" s="3">
        <v>7411700</v>
      </c>
      <c r="J994" s="3">
        <v>65.14</v>
      </c>
      <c r="K994" s="3">
        <v>11378100</v>
      </c>
      <c r="L994" s="3">
        <v>0</v>
      </c>
      <c r="M994" s="3">
        <v>11378100</v>
      </c>
      <c r="N994" s="3">
        <v>0</v>
      </c>
      <c r="O994" s="3">
        <v>0</v>
      </c>
      <c r="P994" s="3">
        <v>0</v>
      </c>
      <c r="Q994" s="3">
        <v>0</v>
      </c>
      <c r="R994" s="3">
        <v>-7400</v>
      </c>
      <c r="S994" s="3">
        <v>0</v>
      </c>
      <c r="T994" s="3">
        <v>0</v>
      </c>
      <c r="U994" s="3">
        <v>0</v>
      </c>
      <c r="V994" s="3">
        <v>2000</v>
      </c>
      <c r="W994" s="3">
        <v>512700</v>
      </c>
      <c r="X994" s="3">
        <v>11370700</v>
      </c>
      <c r="Y994" s="3">
        <v>10858000</v>
      </c>
      <c r="Z994" s="3">
        <v>9471000</v>
      </c>
      <c r="AA994" s="3">
        <v>1899700</v>
      </c>
      <c r="AB994" s="3">
        <v>20</v>
      </c>
    </row>
    <row r="995" spans="1:28" x14ac:dyDescent="0.35">
      <c r="A995">
        <v>2022</v>
      </c>
      <c r="B995" t="str">
        <f t="shared" si="130"/>
        <v>53</v>
      </c>
      <c r="C995" t="s">
        <v>356</v>
      </c>
      <c r="D995" t="s">
        <v>35</v>
      </c>
      <c r="E995" t="str">
        <f>"206"</f>
        <v>206</v>
      </c>
      <c r="F995" t="s">
        <v>359</v>
      </c>
      <c r="G995" t="str">
        <f>"008"</f>
        <v>008</v>
      </c>
      <c r="H995" t="str">
        <f>"0413"</f>
        <v>0413</v>
      </c>
      <c r="I995" s="3">
        <v>7324400</v>
      </c>
      <c r="J995" s="3">
        <v>100</v>
      </c>
      <c r="K995" s="3">
        <v>7324400</v>
      </c>
      <c r="L995" s="3">
        <v>0</v>
      </c>
      <c r="M995" s="3">
        <v>7324400</v>
      </c>
      <c r="N995" s="3">
        <v>15423700</v>
      </c>
      <c r="O995" s="3">
        <v>15423700</v>
      </c>
      <c r="P995" s="3">
        <v>941800</v>
      </c>
      <c r="Q995" s="3">
        <v>941800</v>
      </c>
      <c r="R995" s="3">
        <v>-98600</v>
      </c>
      <c r="S995" s="3">
        <v>0</v>
      </c>
      <c r="T995" s="3">
        <v>0</v>
      </c>
      <c r="U995" s="3">
        <v>0</v>
      </c>
      <c r="V995" s="3">
        <v>1995</v>
      </c>
      <c r="W995" s="3">
        <v>1646300</v>
      </c>
      <c r="X995" s="3">
        <v>23591300</v>
      </c>
      <c r="Y995" s="3">
        <v>21945000</v>
      </c>
      <c r="Z995" s="3">
        <v>24043600</v>
      </c>
      <c r="AA995" s="3">
        <v>-452300</v>
      </c>
      <c r="AB995" s="3">
        <v>-2</v>
      </c>
    </row>
    <row r="996" spans="1:28" x14ac:dyDescent="0.35">
      <c r="A996">
        <v>2022</v>
      </c>
      <c r="B996" t="str">
        <f t="shared" si="130"/>
        <v>53</v>
      </c>
      <c r="C996" t="s">
        <v>356</v>
      </c>
      <c r="D996" t="s">
        <v>35</v>
      </c>
      <c r="E996" t="str">
        <f>"206"</f>
        <v>206</v>
      </c>
      <c r="F996" t="s">
        <v>359</v>
      </c>
      <c r="G996" t="str">
        <f>"009"</f>
        <v>009</v>
      </c>
      <c r="H996" t="str">
        <f>"0413"</f>
        <v>0413</v>
      </c>
      <c r="I996" s="3">
        <v>7986300</v>
      </c>
      <c r="J996" s="3">
        <v>100</v>
      </c>
      <c r="K996" s="3">
        <v>7986300</v>
      </c>
      <c r="L996" s="3">
        <v>0</v>
      </c>
      <c r="M996" s="3">
        <v>7986300</v>
      </c>
      <c r="N996" s="3">
        <v>0</v>
      </c>
      <c r="O996" s="3">
        <v>0</v>
      </c>
      <c r="P996" s="3">
        <v>0</v>
      </c>
      <c r="Q996" s="3">
        <v>0</v>
      </c>
      <c r="R996" s="3">
        <v>-112300</v>
      </c>
      <c r="S996" s="3">
        <v>0</v>
      </c>
      <c r="T996" s="3">
        <v>0</v>
      </c>
      <c r="U996" s="3">
        <v>0</v>
      </c>
      <c r="V996" s="3">
        <v>1998</v>
      </c>
      <c r="W996" s="3">
        <v>3666300</v>
      </c>
      <c r="X996" s="3">
        <v>7874000</v>
      </c>
      <c r="Y996" s="3">
        <v>4207700</v>
      </c>
      <c r="Z996" s="3">
        <v>9449400</v>
      </c>
      <c r="AA996" s="3">
        <v>-1575400</v>
      </c>
      <c r="AB996" s="3">
        <v>-17</v>
      </c>
    </row>
    <row r="997" spans="1:28" x14ac:dyDescent="0.35">
      <c r="A997">
        <v>2022</v>
      </c>
      <c r="B997" t="str">
        <f t="shared" si="130"/>
        <v>53</v>
      </c>
      <c r="C997" t="s">
        <v>356</v>
      </c>
      <c r="D997" t="s">
        <v>35</v>
      </c>
      <c r="E997" t="str">
        <f>"206"</f>
        <v>206</v>
      </c>
      <c r="F997" t="s">
        <v>359</v>
      </c>
      <c r="G997" t="str">
        <f>"011"</f>
        <v>011</v>
      </c>
      <c r="H997" t="str">
        <f>"0413"</f>
        <v>0413</v>
      </c>
      <c r="I997" s="3">
        <v>105500</v>
      </c>
      <c r="J997" s="3">
        <v>100</v>
      </c>
      <c r="K997" s="3">
        <v>105500</v>
      </c>
      <c r="L997" s="3">
        <v>0</v>
      </c>
      <c r="M997" s="3">
        <v>105500</v>
      </c>
      <c r="N997" s="3">
        <v>10549600</v>
      </c>
      <c r="O997" s="3">
        <v>10549600</v>
      </c>
      <c r="P997" s="3">
        <v>875500</v>
      </c>
      <c r="Q997" s="3">
        <v>875500</v>
      </c>
      <c r="R997" s="3">
        <v>-1400</v>
      </c>
      <c r="S997" s="3">
        <v>0</v>
      </c>
      <c r="T997" s="3">
        <v>0</v>
      </c>
      <c r="U997" s="3">
        <v>0</v>
      </c>
      <c r="V997" s="3">
        <v>2002</v>
      </c>
      <c r="W997" s="3">
        <v>1963200</v>
      </c>
      <c r="X997" s="3">
        <v>11529200</v>
      </c>
      <c r="Y997" s="3">
        <v>9566000</v>
      </c>
      <c r="Z997" s="3">
        <v>10244400</v>
      </c>
      <c r="AA997" s="3">
        <v>1284800</v>
      </c>
      <c r="AB997" s="3">
        <v>13</v>
      </c>
    </row>
    <row r="998" spans="1:28" x14ac:dyDescent="0.35">
      <c r="A998">
        <v>2022</v>
      </c>
      <c r="B998" t="str">
        <f t="shared" si="130"/>
        <v>53</v>
      </c>
      <c r="C998" t="s">
        <v>356</v>
      </c>
      <c r="D998" t="s">
        <v>35</v>
      </c>
      <c r="E998" t="str">
        <f>"206"</f>
        <v>206</v>
      </c>
      <c r="F998" t="s">
        <v>359</v>
      </c>
      <c r="G998" t="str">
        <f>"013"</f>
        <v>013</v>
      </c>
      <c r="H998" t="str">
        <f>"0413"</f>
        <v>0413</v>
      </c>
      <c r="I998" s="3">
        <v>60820300</v>
      </c>
      <c r="J998" s="3">
        <v>100</v>
      </c>
      <c r="K998" s="3">
        <v>60820300</v>
      </c>
      <c r="L998" s="3">
        <v>0</v>
      </c>
      <c r="M998" s="3">
        <v>60820300</v>
      </c>
      <c r="N998" s="3">
        <v>0</v>
      </c>
      <c r="O998" s="3">
        <v>0</v>
      </c>
      <c r="P998" s="3">
        <v>0</v>
      </c>
      <c r="Q998" s="3">
        <v>0</v>
      </c>
      <c r="R998" s="3">
        <v>-866500</v>
      </c>
      <c r="S998" s="3">
        <v>0</v>
      </c>
      <c r="T998" s="3">
        <v>0</v>
      </c>
      <c r="U998" s="3">
        <v>0</v>
      </c>
      <c r="V998" s="3">
        <v>2005</v>
      </c>
      <c r="W998" s="3">
        <v>23854500</v>
      </c>
      <c r="X998" s="3">
        <v>59953800</v>
      </c>
      <c r="Y998" s="3">
        <v>36099300</v>
      </c>
      <c r="Z998" s="3">
        <v>72976700</v>
      </c>
      <c r="AA998" s="3">
        <v>-13022900</v>
      </c>
      <c r="AB998" s="3">
        <v>-18</v>
      </c>
    </row>
    <row r="999" spans="1:28" x14ac:dyDescent="0.35">
      <c r="A999">
        <v>2022</v>
      </c>
      <c r="B999" t="str">
        <f t="shared" si="130"/>
        <v>53</v>
      </c>
      <c r="C999" t="s">
        <v>356</v>
      </c>
      <c r="D999" t="s">
        <v>35</v>
      </c>
      <c r="E999" t="str">
        <f>"206"</f>
        <v>206</v>
      </c>
      <c r="F999" t="s">
        <v>359</v>
      </c>
      <c r="G999" t="str">
        <f>"014"</f>
        <v>014</v>
      </c>
      <c r="H999" t="str">
        <f>"0413"</f>
        <v>0413</v>
      </c>
      <c r="I999" s="3">
        <v>14328900</v>
      </c>
      <c r="J999" s="3">
        <v>100</v>
      </c>
      <c r="K999" s="3">
        <v>14328900</v>
      </c>
      <c r="L999" s="3">
        <v>0</v>
      </c>
      <c r="M999" s="3">
        <v>14328900</v>
      </c>
      <c r="N999" s="3">
        <v>2623900</v>
      </c>
      <c r="O999" s="3">
        <v>2623900</v>
      </c>
      <c r="P999" s="3">
        <v>298000</v>
      </c>
      <c r="Q999" s="3">
        <v>298000</v>
      </c>
      <c r="R999" s="3">
        <v>-172700</v>
      </c>
      <c r="S999" s="3">
        <v>0</v>
      </c>
      <c r="T999" s="3">
        <v>0</v>
      </c>
      <c r="U999" s="3">
        <v>0</v>
      </c>
      <c r="V999" s="3">
        <v>2007</v>
      </c>
      <c r="W999" s="3">
        <v>10510700</v>
      </c>
      <c r="X999" s="3">
        <v>17078100</v>
      </c>
      <c r="Y999" s="3">
        <v>6567400</v>
      </c>
      <c r="Z999" s="3">
        <v>17182000</v>
      </c>
      <c r="AA999" s="3">
        <v>-103900</v>
      </c>
      <c r="AB999" s="3">
        <v>-1</v>
      </c>
    </row>
    <row r="1000" spans="1:28" x14ac:dyDescent="0.35">
      <c r="A1000">
        <v>2022</v>
      </c>
      <c r="B1000" t="str">
        <f t="shared" si="130"/>
        <v>53</v>
      </c>
      <c r="C1000" t="s">
        <v>356</v>
      </c>
      <c r="D1000" t="s">
        <v>35</v>
      </c>
      <c r="E1000" t="str">
        <f>"210"</f>
        <v>210</v>
      </c>
      <c r="F1000" t="s">
        <v>186</v>
      </c>
      <c r="G1000" t="str">
        <f>"006"</f>
        <v>006</v>
      </c>
      <c r="H1000" t="str">
        <f>"0700"</f>
        <v>0700</v>
      </c>
      <c r="I1000" s="3">
        <v>3202200</v>
      </c>
      <c r="J1000" s="3">
        <v>100</v>
      </c>
      <c r="K1000" s="3">
        <v>3202200</v>
      </c>
      <c r="L1000" s="3">
        <v>0</v>
      </c>
      <c r="M1000" s="3">
        <v>3202200</v>
      </c>
      <c r="N1000" s="3">
        <v>0</v>
      </c>
      <c r="O1000" s="3">
        <v>0</v>
      </c>
      <c r="P1000" s="3">
        <v>0</v>
      </c>
      <c r="Q1000" s="3">
        <v>0</v>
      </c>
      <c r="R1000" s="3">
        <v>-4100</v>
      </c>
      <c r="S1000" s="3">
        <v>0</v>
      </c>
      <c r="T1000" s="3">
        <v>0</v>
      </c>
      <c r="U1000" s="3">
        <v>0</v>
      </c>
      <c r="V1000" s="3">
        <v>2006</v>
      </c>
      <c r="W1000" s="3">
        <v>102100</v>
      </c>
      <c r="X1000" s="3">
        <v>3198100</v>
      </c>
      <c r="Y1000" s="3">
        <v>3096000</v>
      </c>
      <c r="Z1000" s="3">
        <v>2862800</v>
      </c>
      <c r="AA1000" s="3">
        <v>335300</v>
      </c>
      <c r="AB1000" s="3">
        <v>12</v>
      </c>
    </row>
    <row r="1001" spans="1:28" x14ac:dyDescent="0.35">
      <c r="A1001">
        <v>2022</v>
      </c>
      <c r="B1001" t="str">
        <f t="shared" si="130"/>
        <v>53</v>
      </c>
      <c r="C1001" t="s">
        <v>356</v>
      </c>
      <c r="D1001" t="s">
        <v>35</v>
      </c>
      <c r="E1001" t="str">
        <f>"221"</f>
        <v>221</v>
      </c>
      <c r="F1001" t="s">
        <v>360</v>
      </c>
      <c r="G1001" t="str">
        <f>"006"</f>
        <v>006</v>
      </c>
      <c r="H1001" t="str">
        <f>"1568"</f>
        <v>1568</v>
      </c>
      <c r="I1001" s="3">
        <v>33507700</v>
      </c>
      <c r="J1001" s="3">
        <v>100</v>
      </c>
      <c r="K1001" s="3">
        <v>33507700</v>
      </c>
      <c r="L1001" s="3">
        <v>0</v>
      </c>
      <c r="M1001" s="3">
        <v>33507700</v>
      </c>
      <c r="N1001" s="3">
        <v>558700</v>
      </c>
      <c r="O1001" s="3">
        <v>558700</v>
      </c>
      <c r="P1001" s="3">
        <v>16400</v>
      </c>
      <c r="Q1001" s="3">
        <v>16400</v>
      </c>
      <c r="R1001" s="3">
        <v>520800</v>
      </c>
      <c r="S1001" s="3">
        <v>0</v>
      </c>
      <c r="T1001" s="3">
        <v>0</v>
      </c>
      <c r="U1001" s="3">
        <v>0</v>
      </c>
      <c r="V1001" s="3">
        <v>2000</v>
      </c>
      <c r="W1001" s="3">
        <v>11017800</v>
      </c>
      <c r="X1001" s="3">
        <v>34603600</v>
      </c>
      <c r="Y1001" s="3">
        <v>23585800</v>
      </c>
      <c r="Z1001" s="3">
        <v>30380800</v>
      </c>
      <c r="AA1001" s="3">
        <v>4222800</v>
      </c>
      <c r="AB1001" s="3">
        <v>14</v>
      </c>
    </row>
    <row r="1002" spans="1:28" x14ac:dyDescent="0.35">
      <c r="A1002">
        <v>2022</v>
      </c>
      <c r="B1002" t="str">
        <f t="shared" si="130"/>
        <v>53</v>
      </c>
      <c r="C1002" t="s">
        <v>356</v>
      </c>
      <c r="D1002" t="s">
        <v>35</v>
      </c>
      <c r="E1002" t="str">
        <f>"221"</f>
        <v>221</v>
      </c>
      <c r="F1002" t="s">
        <v>360</v>
      </c>
      <c r="G1002" t="str">
        <f>"007"</f>
        <v>007</v>
      </c>
      <c r="H1002" t="str">
        <f>"1568"</f>
        <v>1568</v>
      </c>
      <c r="I1002" s="3">
        <v>39200</v>
      </c>
      <c r="J1002" s="3">
        <v>100</v>
      </c>
      <c r="K1002" s="3">
        <v>39200</v>
      </c>
      <c r="L1002" s="3">
        <v>0</v>
      </c>
      <c r="M1002" s="3">
        <v>39200</v>
      </c>
      <c r="N1002" s="3">
        <v>2662700</v>
      </c>
      <c r="O1002" s="3">
        <v>2662700</v>
      </c>
      <c r="P1002" s="3">
        <v>43000</v>
      </c>
      <c r="Q1002" s="3">
        <v>43000</v>
      </c>
      <c r="R1002" s="3">
        <v>700</v>
      </c>
      <c r="S1002" s="3">
        <v>-519800</v>
      </c>
      <c r="T1002" s="3">
        <v>0</v>
      </c>
      <c r="U1002" s="3">
        <v>0</v>
      </c>
      <c r="V1002" s="3">
        <v>2000</v>
      </c>
      <c r="W1002" s="3">
        <v>650100</v>
      </c>
      <c r="X1002" s="3">
        <v>2225800</v>
      </c>
      <c r="Y1002" s="3">
        <v>1575700</v>
      </c>
      <c r="Z1002" s="3">
        <v>2901300</v>
      </c>
      <c r="AA1002" s="3">
        <v>-675500</v>
      </c>
      <c r="AB1002" s="3">
        <v>-23</v>
      </c>
    </row>
    <row r="1003" spans="1:28" x14ac:dyDescent="0.35">
      <c r="A1003">
        <v>2022</v>
      </c>
      <c r="B1003" t="str">
        <f t="shared" si="130"/>
        <v>53</v>
      </c>
      <c r="C1003" t="s">
        <v>356</v>
      </c>
      <c r="D1003" t="s">
        <v>35</v>
      </c>
      <c r="E1003" t="str">
        <f>"221"</f>
        <v>221</v>
      </c>
      <c r="F1003" t="s">
        <v>360</v>
      </c>
      <c r="G1003" t="str">
        <f>"008"</f>
        <v>008</v>
      </c>
      <c r="H1003" t="str">
        <f>"1568"</f>
        <v>1568</v>
      </c>
      <c r="I1003" s="3">
        <v>3185400</v>
      </c>
      <c r="J1003" s="3">
        <v>100</v>
      </c>
      <c r="K1003" s="3">
        <v>3185400</v>
      </c>
      <c r="L1003" s="3">
        <v>0</v>
      </c>
      <c r="M1003" s="3">
        <v>3185400</v>
      </c>
      <c r="N1003" s="3">
        <v>3400500</v>
      </c>
      <c r="O1003" s="3">
        <v>3400500</v>
      </c>
      <c r="P1003" s="3">
        <v>121500</v>
      </c>
      <c r="Q1003" s="3">
        <v>121500</v>
      </c>
      <c r="R1003" s="3">
        <v>178300</v>
      </c>
      <c r="S1003" s="3">
        <v>0</v>
      </c>
      <c r="T1003" s="3">
        <v>0</v>
      </c>
      <c r="U1003" s="3">
        <v>7655700</v>
      </c>
      <c r="V1003" s="3">
        <v>2005</v>
      </c>
      <c r="W1003" s="3">
        <v>7337900</v>
      </c>
      <c r="X1003" s="3">
        <v>14541400</v>
      </c>
      <c r="Y1003" s="3">
        <v>7203500</v>
      </c>
      <c r="Z1003" s="3">
        <v>13642700</v>
      </c>
      <c r="AA1003" s="3">
        <v>898700</v>
      </c>
      <c r="AB1003" s="3">
        <v>7</v>
      </c>
    </row>
    <row r="1004" spans="1:28" x14ac:dyDescent="0.35">
      <c r="A1004">
        <v>2022</v>
      </c>
      <c r="B1004" t="str">
        <f t="shared" si="130"/>
        <v>53</v>
      </c>
      <c r="C1004" t="s">
        <v>356</v>
      </c>
      <c r="D1004" t="s">
        <v>35</v>
      </c>
      <c r="E1004" t="str">
        <f>"221"</f>
        <v>221</v>
      </c>
      <c r="F1004" t="s">
        <v>360</v>
      </c>
      <c r="G1004" t="str">
        <f>"009"</f>
        <v>009</v>
      </c>
      <c r="H1004" t="str">
        <f>"1568"</f>
        <v>1568</v>
      </c>
      <c r="I1004" s="3">
        <v>8632300</v>
      </c>
      <c r="J1004" s="3">
        <v>100</v>
      </c>
      <c r="K1004" s="3">
        <v>8632300</v>
      </c>
      <c r="L1004" s="3">
        <v>0</v>
      </c>
      <c r="M1004" s="3">
        <v>8632300</v>
      </c>
      <c r="N1004" s="3">
        <v>1969200</v>
      </c>
      <c r="O1004" s="3">
        <v>1969200</v>
      </c>
      <c r="P1004" s="3">
        <v>525900</v>
      </c>
      <c r="Q1004" s="3">
        <v>525900</v>
      </c>
      <c r="R1004" s="3">
        <v>0</v>
      </c>
      <c r="S1004" s="3">
        <v>0</v>
      </c>
      <c r="T1004" s="3">
        <v>0</v>
      </c>
      <c r="U1004" s="3">
        <v>0</v>
      </c>
      <c r="V1004" s="3">
        <v>2021</v>
      </c>
      <c r="W1004" s="3">
        <v>10744000</v>
      </c>
      <c r="X1004" s="3">
        <v>11127400</v>
      </c>
      <c r="Y1004" s="3">
        <v>383400</v>
      </c>
      <c r="Z1004" s="3">
        <v>10744000</v>
      </c>
      <c r="AA1004" s="3">
        <v>383400</v>
      </c>
      <c r="AB1004" s="3">
        <v>4</v>
      </c>
    </row>
    <row r="1005" spans="1:28" x14ac:dyDescent="0.35">
      <c r="A1005">
        <v>2022</v>
      </c>
      <c r="B1005" t="str">
        <f t="shared" si="130"/>
        <v>53</v>
      </c>
      <c r="C1005" t="s">
        <v>356</v>
      </c>
      <c r="D1005" t="s">
        <v>35</v>
      </c>
      <c r="E1005" t="str">
        <f>"222"</f>
        <v>222</v>
      </c>
      <c r="F1005" t="s">
        <v>361</v>
      </c>
      <c r="G1005" t="str">
        <f>"005"</f>
        <v>005</v>
      </c>
      <c r="H1005" t="str">
        <f>"1694"</f>
        <v>1694</v>
      </c>
      <c r="I1005" s="3">
        <v>21167700</v>
      </c>
      <c r="J1005" s="3">
        <v>100</v>
      </c>
      <c r="K1005" s="3">
        <v>21167700</v>
      </c>
      <c r="L1005" s="3">
        <v>0</v>
      </c>
      <c r="M1005" s="3">
        <v>21167700</v>
      </c>
      <c r="N1005" s="3">
        <v>121400</v>
      </c>
      <c r="O1005" s="3">
        <v>121400</v>
      </c>
      <c r="P1005" s="3">
        <v>1129800</v>
      </c>
      <c r="Q1005" s="3">
        <v>1129800</v>
      </c>
      <c r="R1005" s="3">
        <v>-2400</v>
      </c>
      <c r="S1005" s="3">
        <v>0</v>
      </c>
      <c r="T1005" s="3">
        <v>0</v>
      </c>
      <c r="U1005" s="3">
        <v>0</v>
      </c>
      <c r="V1005" s="3">
        <v>2004</v>
      </c>
      <c r="W1005" s="3">
        <v>11299100</v>
      </c>
      <c r="X1005" s="3">
        <v>22416500</v>
      </c>
      <c r="Y1005" s="3">
        <v>11117400</v>
      </c>
      <c r="Z1005" s="3">
        <v>23741500</v>
      </c>
      <c r="AA1005" s="3">
        <v>-1325000</v>
      </c>
      <c r="AB1005" s="3">
        <v>-6</v>
      </c>
    </row>
    <row r="1006" spans="1:28" x14ac:dyDescent="0.35">
      <c r="A1006">
        <v>2022</v>
      </c>
      <c r="B1006" t="str">
        <f t="shared" si="130"/>
        <v>53</v>
      </c>
      <c r="C1006" t="s">
        <v>356</v>
      </c>
      <c r="D1006" t="s">
        <v>35</v>
      </c>
      <c r="E1006" t="str">
        <f>"222"</f>
        <v>222</v>
      </c>
      <c r="F1006" t="s">
        <v>361</v>
      </c>
      <c r="G1006" t="str">
        <f>"006"</f>
        <v>006</v>
      </c>
      <c r="H1006" t="str">
        <f>"1694"</f>
        <v>1694</v>
      </c>
      <c r="I1006" s="3">
        <v>6920800</v>
      </c>
      <c r="J1006" s="3">
        <v>100</v>
      </c>
      <c r="K1006" s="3">
        <v>6920800</v>
      </c>
      <c r="L1006" s="3">
        <v>0</v>
      </c>
      <c r="M1006" s="3">
        <v>6920800</v>
      </c>
      <c r="N1006" s="3">
        <v>0</v>
      </c>
      <c r="O1006" s="3">
        <v>0</v>
      </c>
      <c r="P1006" s="3">
        <v>0</v>
      </c>
      <c r="Q1006" s="3">
        <v>0</v>
      </c>
      <c r="R1006" s="3">
        <v>-8100</v>
      </c>
      <c r="S1006" s="3">
        <v>0</v>
      </c>
      <c r="T1006" s="3">
        <v>0</v>
      </c>
      <c r="U1006" s="3">
        <v>500</v>
      </c>
      <c r="V1006" s="3">
        <v>2006</v>
      </c>
      <c r="W1006" s="3">
        <v>1927800</v>
      </c>
      <c r="X1006" s="3">
        <v>6913200</v>
      </c>
      <c r="Y1006" s="3">
        <v>4985400</v>
      </c>
      <c r="Z1006" s="3">
        <v>7643800</v>
      </c>
      <c r="AA1006" s="3">
        <v>-730600</v>
      </c>
      <c r="AB1006" s="3">
        <v>-10</v>
      </c>
    </row>
    <row r="1007" spans="1:28" x14ac:dyDescent="0.35">
      <c r="A1007">
        <v>2022</v>
      </c>
      <c r="B1007" t="str">
        <f t="shared" si="130"/>
        <v>53</v>
      </c>
      <c r="C1007" t="s">
        <v>356</v>
      </c>
      <c r="D1007" t="s">
        <v>35</v>
      </c>
      <c r="E1007" t="str">
        <f>"222"</f>
        <v>222</v>
      </c>
      <c r="F1007" t="s">
        <v>361</v>
      </c>
      <c r="G1007" t="str">
        <f>"007"</f>
        <v>007</v>
      </c>
      <c r="H1007" t="str">
        <f>"1694"</f>
        <v>1694</v>
      </c>
      <c r="I1007" s="3">
        <v>14987600</v>
      </c>
      <c r="J1007" s="3">
        <v>100</v>
      </c>
      <c r="K1007" s="3">
        <v>14987600</v>
      </c>
      <c r="L1007" s="3">
        <v>0</v>
      </c>
      <c r="M1007" s="3">
        <v>14987600</v>
      </c>
      <c r="N1007" s="3">
        <v>0</v>
      </c>
      <c r="O1007" s="3">
        <v>0</v>
      </c>
      <c r="P1007" s="3">
        <v>0</v>
      </c>
      <c r="Q1007" s="3">
        <v>0</v>
      </c>
      <c r="R1007" s="3">
        <v>-17700</v>
      </c>
      <c r="S1007" s="3">
        <v>0</v>
      </c>
      <c r="T1007" s="3">
        <v>0</v>
      </c>
      <c r="U1007" s="3">
        <v>0</v>
      </c>
      <c r="V1007" s="3">
        <v>2007</v>
      </c>
      <c r="W1007" s="3">
        <v>6101700</v>
      </c>
      <c r="X1007" s="3">
        <v>14969900</v>
      </c>
      <c r="Y1007" s="3">
        <v>8868200</v>
      </c>
      <c r="Z1007" s="3">
        <v>16509100</v>
      </c>
      <c r="AA1007" s="3">
        <v>-1539200</v>
      </c>
      <c r="AB1007" s="3">
        <v>-9</v>
      </c>
    </row>
    <row r="1008" spans="1:28" x14ac:dyDescent="0.35">
      <c r="A1008">
        <v>2022</v>
      </c>
      <c r="B1008" t="str">
        <f t="shared" si="130"/>
        <v>53</v>
      </c>
      <c r="C1008" t="s">
        <v>356</v>
      </c>
      <c r="D1008" t="s">
        <v>35</v>
      </c>
      <c r="E1008" t="str">
        <f>"222"</f>
        <v>222</v>
      </c>
      <c r="F1008" t="s">
        <v>361</v>
      </c>
      <c r="G1008" t="str">
        <f>"008"</f>
        <v>008</v>
      </c>
      <c r="H1008" t="str">
        <f>"1694"</f>
        <v>1694</v>
      </c>
      <c r="I1008" s="3">
        <v>5103000</v>
      </c>
      <c r="J1008" s="3">
        <v>100</v>
      </c>
      <c r="K1008" s="3">
        <v>5103000</v>
      </c>
      <c r="L1008" s="3">
        <v>0</v>
      </c>
      <c r="M1008" s="3">
        <v>5103000</v>
      </c>
      <c r="N1008" s="3">
        <v>0</v>
      </c>
      <c r="O1008" s="3">
        <v>0</v>
      </c>
      <c r="P1008" s="3">
        <v>0</v>
      </c>
      <c r="Q1008" s="3">
        <v>0</v>
      </c>
      <c r="R1008" s="3">
        <v>-5900</v>
      </c>
      <c r="S1008" s="3">
        <v>0</v>
      </c>
      <c r="T1008" s="3">
        <v>0</v>
      </c>
      <c r="U1008" s="3">
        <v>0</v>
      </c>
      <c r="V1008" s="3">
        <v>2008</v>
      </c>
      <c r="W1008" s="3">
        <v>2695300</v>
      </c>
      <c r="X1008" s="3">
        <v>5097100</v>
      </c>
      <c r="Y1008" s="3">
        <v>2401800</v>
      </c>
      <c r="Z1008" s="3">
        <v>5501900</v>
      </c>
      <c r="AA1008" s="3">
        <v>-404800</v>
      </c>
      <c r="AB1008" s="3">
        <v>-7</v>
      </c>
    </row>
    <row r="1009" spans="1:28" x14ac:dyDescent="0.35">
      <c r="A1009">
        <v>2022</v>
      </c>
      <c r="B1009" t="str">
        <f t="shared" si="130"/>
        <v>53</v>
      </c>
      <c r="C1009" t="s">
        <v>356</v>
      </c>
      <c r="D1009" t="s">
        <v>35</v>
      </c>
      <c r="E1009" t="str">
        <f>"222"</f>
        <v>222</v>
      </c>
      <c r="F1009" t="s">
        <v>361</v>
      </c>
      <c r="G1009" t="str">
        <f>"009"</f>
        <v>009</v>
      </c>
      <c r="H1009" t="str">
        <f>"1694"</f>
        <v>1694</v>
      </c>
      <c r="I1009" s="3">
        <v>2193000</v>
      </c>
      <c r="J1009" s="3">
        <v>100</v>
      </c>
      <c r="K1009" s="3">
        <v>2193000</v>
      </c>
      <c r="L1009" s="3">
        <v>0</v>
      </c>
      <c r="M1009" s="3">
        <v>2193000</v>
      </c>
      <c r="N1009" s="3">
        <v>0</v>
      </c>
      <c r="O1009" s="3">
        <v>0</v>
      </c>
      <c r="P1009" s="3">
        <v>0</v>
      </c>
      <c r="Q1009" s="3">
        <v>0</v>
      </c>
      <c r="R1009" s="3">
        <v>-2500</v>
      </c>
      <c r="S1009" s="3">
        <v>0</v>
      </c>
      <c r="T1009" s="3">
        <v>0</v>
      </c>
      <c r="U1009" s="3">
        <v>0</v>
      </c>
      <c r="V1009" s="3">
        <v>2018</v>
      </c>
      <c r="W1009" s="3">
        <v>500</v>
      </c>
      <c r="X1009" s="3">
        <v>2190500</v>
      </c>
      <c r="Y1009" s="3">
        <v>2190000</v>
      </c>
      <c r="Z1009" s="3">
        <v>2361800</v>
      </c>
      <c r="AA1009" s="3">
        <v>-171300</v>
      </c>
      <c r="AB1009" s="3">
        <v>-7</v>
      </c>
    </row>
    <row r="1010" spans="1:28" x14ac:dyDescent="0.35">
      <c r="A1010">
        <v>2022</v>
      </c>
      <c r="B1010" t="str">
        <f t="shared" si="130"/>
        <v>53</v>
      </c>
      <c r="C1010" t="s">
        <v>356</v>
      </c>
      <c r="D1010" t="s">
        <v>35</v>
      </c>
      <c r="E1010" t="str">
        <f t="shared" ref="E1010:E1021" si="131">"241"</f>
        <v>241</v>
      </c>
      <c r="F1010" t="s">
        <v>362</v>
      </c>
      <c r="G1010" t="str">
        <f>"017"</f>
        <v>017</v>
      </c>
      <c r="H1010" t="str">
        <f>"2695"</f>
        <v>2695</v>
      </c>
      <c r="I1010" s="3">
        <v>0</v>
      </c>
      <c r="J1010" s="3">
        <v>72.73</v>
      </c>
      <c r="K1010" s="3">
        <v>0</v>
      </c>
      <c r="L1010" s="3">
        <v>0</v>
      </c>
      <c r="M1010" s="3">
        <v>0</v>
      </c>
      <c r="N1010" s="3">
        <v>0</v>
      </c>
      <c r="O1010" s="3">
        <v>0</v>
      </c>
      <c r="P1010" s="3">
        <v>0</v>
      </c>
      <c r="Q1010" s="3">
        <v>0</v>
      </c>
      <c r="R1010" s="3">
        <v>0</v>
      </c>
      <c r="S1010" s="3">
        <v>0</v>
      </c>
      <c r="T1010" s="3">
        <v>0</v>
      </c>
      <c r="U1010" s="3">
        <v>3043700</v>
      </c>
      <c r="V1010" s="3">
        <v>1997</v>
      </c>
      <c r="W1010" s="3">
        <v>1407500</v>
      </c>
      <c r="X1010" s="3">
        <v>3043700</v>
      </c>
      <c r="Y1010" s="3">
        <v>1636200</v>
      </c>
      <c r="Z1010" s="3">
        <v>3043700</v>
      </c>
      <c r="AA1010" s="3">
        <v>0</v>
      </c>
      <c r="AB1010" s="3">
        <v>0</v>
      </c>
    </row>
    <row r="1011" spans="1:28" x14ac:dyDescent="0.35">
      <c r="A1011">
        <v>2022</v>
      </c>
      <c r="B1011" t="str">
        <f t="shared" si="130"/>
        <v>53</v>
      </c>
      <c r="C1011" t="s">
        <v>356</v>
      </c>
      <c r="D1011" t="s">
        <v>35</v>
      </c>
      <c r="E1011" t="str">
        <f t="shared" si="131"/>
        <v>241</v>
      </c>
      <c r="F1011" t="s">
        <v>362</v>
      </c>
      <c r="G1011" t="str">
        <f>"023"</f>
        <v>023</v>
      </c>
      <c r="H1011" t="str">
        <f>"2695"</f>
        <v>2695</v>
      </c>
      <c r="I1011" s="3">
        <v>0</v>
      </c>
      <c r="J1011" s="3">
        <v>72.73</v>
      </c>
      <c r="K1011" s="3">
        <v>0</v>
      </c>
      <c r="L1011" s="3">
        <v>0</v>
      </c>
      <c r="M1011" s="3">
        <v>0</v>
      </c>
      <c r="N1011" s="3">
        <v>0</v>
      </c>
      <c r="O1011" s="3">
        <v>0</v>
      </c>
      <c r="P1011" s="3">
        <v>0</v>
      </c>
      <c r="Q1011" s="3">
        <v>0</v>
      </c>
      <c r="R1011" s="3">
        <v>0</v>
      </c>
      <c r="S1011" s="3">
        <v>0</v>
      </c>
      <c r="T1011" s="3">
        <v>0</v>
      </c>
      <c r="U1011" s="3">
        <v>7650700</v>
      </c>
      <c r="V1011" s="3">
        <v>2002</v>
      </c>
      <c r="W1011" s="3">
        <v>4973700</v>
      </c>
      <c r="X1011" s="3">
        <v>7650700</v>
      </c>
      <c r="Y1011" s="3">
        <v>2677000</v>
      </c>
      <c r="Z1011" s="3">
        <v>7650700</v>
      </c>
      <c r="AA1011" s="3">
        <v>0</v>
      </c>
      <c r="AB1011" s="3">
        <v>0</v>
      </c>
    </row>
    <row r="1012" spans="1:28" x14ac:dyDescent="0.35">
      <c r="A1012">
        <v>2022</v>
      </c>
      <c r="B1012" t="str">
        <f t="shared" si="130"/>
        <v>53</v>
      </c>
      <c r="C1012" t="s">
        <v>356</v>
      </c>
      <c r="D1012" t="s">
        <v>35</v>
      </c>
      <c r="E1012" t="str">
        <f t="shared" si="131"/>
        <v>241</v>
      </c>
      <c r="F1012" t="s">
        <v>362</v>
      </c>
      <c r="G1012" t="str">
        <f>"025"</f>
        <v>025</v>
      </c>
      <c r="H1012" t="str">
        <f>"3612"</f>
        <v>3612</v>
      </c>
      <c r="I1012" s="3">
        <v>0</v>
      </c>
      <c r="J1012" s="3">
        <v>72.73</v>
      </c>
      <c r="K1012" s="3">
        <v>0</v>
      </c>
      <c r="L1012" s="3">
        <v>0</v>
      </c>
      <c r="M1012" s="3">
        <v>0</v>
      </c>
      <c r="N1012" s="3">
        <v>14131100</v>
      </c>
      <c r="O1012" s="3">
        <v>14131100</v>
      </c>
      <c r="P1012" s="3">
        <v>661700</v>
      </c>
      <c r="Q1012" s="3">
        <v>661700</v>
      </c>
      <c r="R1012" s="3">
        <v>0</v>
      </c>
      <c r="S1012" s="3">
        <v>0</v>
      </c>
      <c r="T1012" s="3">
        <v>0</v>
      </c>
      <c r="U1012" s="3">
        <v>0</v>
      </c>
      <c r="V1012" s="3">
        <v>2003</v>
      </c>
      <c r="W1012" s="3">
        <v>12900</v>
      </c>
      <c r="X1012" s="3">
        <v>14792800</v>
      </c>
      <c r="Y1012" s="3">
        <v>14779900</v>
      </c>
      <c r="Z1012" s="3">
        <v>14484200</v>
      </c>
      <c r="AA1012" s="3">
        <v>308600</v>
      </c>
      <c r="AB1012" s="3">
        <v>2</v>
      </c>
    </row>
    <row r="1013" spans="1:28" x14ac:dyDescent="0.35">
      <c r="A1013">
        <v>2022</v>
      </c>
      <c r="B1013" t="str">
        <f t="shared" si="130"/>
        <v>53</v>
      </c>
      <c r="C1013" t="s">
        <v>356</v>
      </c>
      <c r="D1013" t="s">
        <v>35</v>
      </c>
      <c r="E1013" t="str">
        <f t="shared" si="131"/>
        <v>241</v>
      </c>
      <c r="F1013" t="s">
        <v>362</v>
      </c>
      <c r="G1013" t="str">
        <f>"026"</f>
        <v>026</v>
      </c>
      <c r="H1013" t="str">
        <f t="shared" ref="H1013:H1021" si="132">"2695"</f>
        <v>2695</v>
      </c>
      <c r="I1013" s="3">
        <v>15259000</v>
      </c>
      <c r="J1013" s="3">
        <v>72.73</v>
      </c>
      <c r="K1013" s="3">
        <v>20980300</v>
      </c>
      <c r="L1013" s="3">
        <v>0</v>
      </c>
      <c r="M1013" s="3">
        <v>20980300</v>
      </c>
      <c r="N1013" s="3">
        <v>33819900</v>
      </c>
      <c r="O1013" s="3">
        <v>33819900</v>
      </c>
      <c r="P1013" s="3">
        <v>3986100</v>
      </c>
      <c r="Q1013" s="3">
        <v>3986100</v>
      </c>
      <c r="R1013" s="3">
        <v>-8400</v>
      </c>
      <c r="S1013" s="3">
        <v>0</v>
      </c>
      <c r="T1013" s="3">
        <v>0</v>
      </c>
      <c r="U1013" s="3">
        <v>0</v>
      </c>
      <c r="V1013" s="3">
        <v>2004</v>
      </c>
      <c r="W1013" s="3">
        <v>33643100</v>
      </c>
      <c r="X1013" s="3">
        <v>58777900</v>
      </c>
      <c r="Y1013" s="3">
        <v>25134800</v>
      </c>
      <c r="Z1013" s="3">
        <v>53894600</v>
      </c>
      <c r="AA1013" s="3">
        <v>4883300</v>
      </c>
      <c r="AB1013" s="3">
        <v>9</v>
      </c>
    </row>
    <row r="1014" spans="1:28" x14ac:dyDescent="0.35">
      <c r="A1014">
        <v>2022</v>
      </c>
      <c r="B1014" t="str">
        <f t="shared" si="130"/>
        <v>53</v>
      </c>
      <c r="C1014" t="s">
        <v>356</v>
      </c>
      <c r="D1014" t="s">
        <v>35</v>
      </c>
      <c r="E1014" t="str">
        <f t="shared" si="131"/>
        <v>241</v>
      </c>
      <c r="F1014" t="s">
        <v>362</v>
      </c>
      <c r="G1014" t="str">
        <f>"027"</f>
        <v>027</v>
      </c>
      <c r="H1014" t="str">
        <f t="shared" si="132"/>
        <v>2695</v>
      </c>
      <c r="I1014" s="3">
        <v>225200</v>
      </c>
      <c r="J1014" s="3">
        <v>72.73</v>
      </c>
      <c r="K1014" s="3">
        <v>309600</v>
      </c>
      <c r="L1014" s="3">
        <v>0</v>
      </c>
      <c r="M1014" s="3">
        <v>309600</v>
      </c>
      <c r="N1014" s="3">
        <v>0</v>
      </c>
      <c r="O1014" s="3">
        <v>0</v>
      </c>
      <c r="P1014" s="3">
        <v>0</v>
      </c>
      <c r="Q1014" s="3">
        <v>0</v>
      </c>
      <c r="R1014" s="3">
        <v>-100</v>
      </c>
      <c r="S1014" s="3">
        <v>0</v>
      </c>
      <c r="T1014" s="3">
        <v>0</v>
      </c>
      <c r="U1014" s="3">
        <v>4113800</v>
      </c>
      <c r="V1014" s="3">
        <v>2003</v>
      </c>
      <c r="W1014" s="3">
        <v>4064800</v>
      </c>
      <c r="X1014" s="3">
        <v>4423300</v>
      </c>
      <c r="Y1014" s="3">
        <v>358500</v>
      </c>
      <c r="Z1014" s="3">
        <v>4379300</v>
      </c>
      <c r="AA1014" s="3">
        <v>44000</v>
      </c>
      <c r="AB1014" s="3">
        <v>1</v>
      </c>
    </row>
    <row r="1015" spans="1:28" x14ac:dyDescent="0.35">
      <c r="A1015">
        <v>2022</v>
      </c>
      <c r="B1015" t="str">
        <f t="shared" si="130"/>
        <v>53</v>
      </c>
      <c r="C1015" t="s">
        <v>356</v>
      </c>
      <c r="D1015" t="s">
        <v>35</v>
      </c>
      <c r="E1015" t="str">
        <f t="shared" si="131"/>
        <v>241</v>
      </c>
      <c r="F1015" t="s">
        <v>362</v>
      </c>
      <c r="G1015" t="str">
        <f>"028"</f>
        <v>028</v>
      </c>
      <c r="H1015" t="str">
        <f t="shared" si="132"/>
        <v>2695</v>
      </c>
      <c r="I1015" s="3">
        <v>2333300</v>
      </c>
      <c r="J1015" s="3">
        <v>72.73</v>
      </c>
      <c r="K1015" s="3">
        <v>3208200</v>
      </c>
      <c r="L1015" s="3">
        <v>0</v>
      </c>
      <c r="M1015" s="3">
        <v>3208200</v>
      </c>
      <c r="N1015" s="3">
        <v>0</v>
      </c>
      <c r="O1015" s="3">
        <v>0</v>
      </c>
      <c r="P1015" s="3">
        <v>0</v>
      </c>
      <c r="Q1015" s="3">
        <v>0</v>
      </c>
      <c r="R1015" s="3">
        <v>-1400</v>
      </c>
      <c r="S1015" s="3">
        <v>0</v>
      </c>
      <c r="T1015" s="3">
        <v>0</v>
      </c>
      <c r="U1015" s="3">
        <v>0</v>
      </c>
      <c r="V1015" s="3">
        <v>2006</v>
      </c>
      <c r="W1015" s="3">
        <v>2471400</v>
      </c>
      <c r="X1015" s="3">
        <v>3206800</v>
      </c>
      <c r="Y1015" s="3">
        <v>735400</v>
      </c>
      <c r="Z1015" s="3">
        <v>2878000</v>
      </c>
      <c r="AA1015" s="3">
        <v>328800</v>
      </c>
      <c r="AB1015" s="3">
        <v>11</v>
      </c>
    </row>
    <row r="1016" spans="1:28" x14ac:dyDescent="0.35">
      <c r="A1016">
        <v>2022</v>
      </c>
      <c r="B1016" t="str">
        <f t="shared" si="130"/>
        <v>53</v>
      </c>
      <c r="C1016" t="s">
        <v>356</v>
      </c>
      <c r="D1016" t="s">
        <v>35</v>
      </c>
      <c r="E1016" t="str">
        <f t="shared" si="131"/>
        <v>241</v>
      </c>
      <c r="F1016" t="s">
        <v>362</v>
      </c>
      <c r="G1016" t="str">
        <f>"032"</f>
        <v>032</v>
      </c>
      <c r="H1016" t="str">
        <f t="shared" si="132"/>
        <v>2695</v>
      </c>
      <c r="I1016" s="3">
        <v>139904400</v>
      </c>
      <c r="J1016" s="3">
        <v>72.73</v>
      </c>
      <c r="K1016" s="3">
        <v>192361300</v>
      </c>
      <c r="L1016" s="3">
        <v>0</v>
      </c>
      <c r="M1016" s="3">
        <v>192361300</v>
      </c>
      <c r="N1016" s="3">
        <v>36679500</v>
      </c>
      <c r="O1016" s="3">
        <v>36679500</v>
      </c>
      <c r="P1016" s="3">
        <v>3242400</v>
      </c>
      <c r="Q1016" s="3">
        <v>3242400</v>
      </c>
      <c r="R1016" s="3">
        <v>-72200</v>
      </c>
      <c r="S1016" s="3">
        <v>0</v>
      </c>
      <c r="T1016" s="3">
        <v>0</v>
      </c>
      <c r="U1016" s="3">
        <v>0</v>
      </c>
      <c r="V1016" s="3">
        <v>2008</v>
      </c>
      <c r="W1016" s="3">
        <v>81272100</v>
      </c>
      <c r="X1016" s="3">
        <v>232211000</v>
      </c>
      <c r="Y1016" s="3">
        <v>150938900</v>
      </c>
      <c r="Z1016" s="3">
        <v>186818800</v>
      </c>
      <c r="AA1016" s="3">
        <v>45392200</v>
      </c>
      <c r="AB1016" s="3">
        <v>24</v>
      </c>
    </row>
    <row r="1017" spans="1:28" x14ac:dyDescent="0.35">
      <c r="A1017">
        <v>2022</v>
      </c>
      <c r="B1017" t="str">
        <f t="shared" si="130"/>
        <v>53</v>
      </c>
      <c r="C1017" t="s">
        <v>356</v>
      </c>
      <c r="D1017" t="s">
        <v>35</v>
      </c>
      <c r="E1017" t="str">
        <f t="shared" si="131"/>
        <v>241</v>
      </c>
      <c r="F1017" t="s">
        <v>362</v>
      </c>
      <c r="G1017" t="str">
        <f>"033"</f>
        <v>033</v>
      </c>
      <c r="H1017" t="str">
        <f t="shared" si="132"/>
        <v>2695</v>
      </c>
      <c r="I1017" s="3">
        <v>19333800</v>
      </c>
      <c r="J1017" s="3">
        <v>72.73</v>
      </c>
      <c r="K1017" s="3">
        <v>26583000</v>
      </c>
      <c r="L1017" s="3">
        <v>0</v>
      </c>
      <c r="M1017" s="3">
        <v>26583000</v>
      </c>
      <c r="N1017" s="3">
        <v>0</v>
      </c>
      <c r="O1017" s="3">
        <v>0</v>
      </c>
      <c r="P1017" s="3">
        <v>0</v>
      </c>
      <c r="Q1017" s="3">
        <v>0</v>
      </c>
      <c r="R1017" s="3">
        <v>-10700</v>
      </c>
      <c r="S1017" s="3">
        <v>0</v>
      </c>
      <c r="T1017" s="3">
        <v>0</v>
      </c>
      <c r="U1017" s="3">
        <v>417100</v>
      </c>
      <c r="V1017" s="3">
        <v>2008</v>
      </c>
      <c r="W1017" s="3">
        <v>7048500</v>
      </c>
      <c r="X1017" s="3">
        <v>26989400</v>
      </c>
      <c r="Y1017" s="3">
        <v>19940900</v>
      </c>
      <c r="Z1017" s="3">
        <v>23230000</v>
      </c>
      <c r="AA1017" s="3">
        <v>3759400</v>
      </c>
      <c r="AB1017" s="3">
        <v>16</v>
      </c>
    </row>
    <row r="1018" spans="1:28" x14ac:dyDescent="0.35">
      <c r="A1018">
        <v>2022</v>
      </c>
      <c r="B1018" t="str">
        <f t="shared" si="130"/>
        <v>53</v>
      </c>
      <c r="C1018" t="s">
        <v>356</v>
      </c>
      <c r="D1018" t="s">
        <v>35</v>
      </c>
      <c r="E1018" t="str">
        <f t="shared" si="131"/>
        <v>241</v>
      </c>
      <c r="F1018" t="s">
        <v>362</v>
      </c>
      <c r="G1018" t="str">
        <f>"035"</f>
        <v>035</v>
      </c>
      <c r="H1018" t="str">
        <f t="shared" si="132"/>
        <v>2695</v>
      </c>
      <c r="I1018" s="3">
        <v>113454900</v>
      </c>
      <c r="J1018" s="3">
        <v>72.73</v>
      </c>
      <c r="K1018" s="3">
        <v>155994600</v>
      </c>
      <c r="L1018" s="3">
        <v>0</v>
      </c>
      <c r="M1018" s="3">
        <v>155994600</v>
      </c>
      <c r="N1018" s="3">
        <v>8261800</v>
      </c>
      <c r="O1018" s="3">
        <v>8261800</v>
      </c>
      <c r="P1018" s="3">
        <v>458500</v>
      </c>
      <c r="Q1018" s="3">
        <v>458500</v>
      </c>
      <c r="R1018" s="3">
        <v>-50400</v>
      </c>
      <c r="S1018" s="3">
        <v>0</v>
      </c>
      <c r="T1018" s="3">
        <v>0</v>
      </c>
      <c r="U1018" s="3">
        <v>0</v>
      </c>
      <c r="V1018" s="3">
        <v>2011</v>
      </c>
      <c r="W1018" s="3">
        <v>28377800</v>
      </c>
      <c r="X1018" s="3">
        <v>164664500</v>
      </c>
      <c r="Y1018" s="3">
        <v>136286700</v>
      </c>
      <c r="Z1018" s="3">
        <v>115750800</v>
      </c>
      <c r="AA1018" s="3">
        <v>48913700</v>
      </c>
      <c r="AB1018" s="3">
        <v>42</v>
      </c>
    </row>
    <row r="1019" spans="1:28" x14ac:dyDescent="0.35">
      <c r="A1019">
        <v>2022</v>
      </c>
      <c r="B1019" t="str">
        <f t="shared" si="130"/>
        <v>53</v>
      </c>
      <c r="C1019" t="s">
        <v>356</v>
      </c>
      <c r="D1019" t="s">
        <v>35</v>
      </c>
      <c r="E1019" t="str">
        <f t="shared" si="131"/>
        <v>241</v>
      </c>
      <c r="F1019" t="s">
        <v>362</v>
      </c>
      <c r="G1019" t="str">
        <f>"036"</f>
        <v>036</v>
      </c>
      <c r="H1019" t="str">
        <f t="shared" si="132"/>
        <v>2695</v>
      </c>
      <c r="I1019" s="3">
        <v>94990400</v>
      </c>
      <c r="J1019" s="3">
        <v>72.73</v>
      </c>
      <c r="K1019" s="3">
        <v>130606900</v>
      </c>
      <c r="L1019" s="3">
        <v>0</v>
      </c>
      <c r="M1019" s="3">
        <v>130606900</v>
      </c>
      <c r="N1019" s="3">
        <v>3036600</v>
      </c>
      <c r="O1019" s="3">
        <v>3036600</v>
      </c>
      <c r="P1019" s="3">
        <v>569500</v>
      </c>
      <c r="Q1019" s="3">
        <v>569500</v>
      </c>
      <c r="R1019" s="3">
        <v>-52100</v>
      </c>
      <c r="S1019" s="3">
        <v>0</v>
      </c>
      <c r="T1019" s="3">
        <v>0</v>
      </c>
      <c r="U1019" s="3">
        <v>0</v>
      </c>
      <c r="V1019" s="3">
        <v>2016</v>
      </c>
      <c r="W1019" s="3">
        <v>89009600</v>
      </c>
      <c r="X1019" s="3">
        <v>134160900</v>
      </c>
      <c r="Y1019" s="3">
        <v>45151300</v>
      </c>
      <c r="Z1019" s="3">
        <v>114032600</v>
      </c>
      <c r="AA1019" s="3">
        <v>20128300</v>
      </c>
      <c r="AB1019" s="3">
        <v>18</v>
      </c>
    </row>
    <row r="1020" spans="1:28" x14ac:dyDescent="0.35">
      <c r="A1020">
        <v>2022</v>
      </c>
      <c r="B1020" t="str">
        <f t="shared" si="130"/>
        <v>53</v>
      </c>
      <c r="C1020" t="s">
        <v>356</v>
      </c>
      <c r="D1020" t="s">
        <v>35</v>
      </c>
      <c r="E1020" t="str">
        <f t="shared" si="131"/>
        <v>241</v>
      </c>
      <c r="F1020" t="s">
        <v>362</v>
      </c>
      <c r="G1020" t="str">
        <f>"037"</f>
        <v>037</v>
      </c>
      <c r="H1020" t="str">
        <f t="shared" si="132"/>
        <v>2695</v>
      </c>
      <c r="I1020" s="3">
        <v>21949900</v>
      </c>
      <c r="J1020" s="3">
        <v>72.73</v>
      </c>
      <c r="K1020" s="3">
        <v>30180000</v>
      </c>
      <c r="L1020" s="3">
        <v>0</v>
      </c>
      <c r="M1020" s="3">
        <v>30180000</v>
      </c>
      <c r="N1020" s="3">
        <v>0</v>
      </c>
      <c r="O1020" s="3">
        <v>0</v>
      </c>
      <c r="P1020" s="3">
        <v>0</v>
      </c>
      <c r="Q1020" s="3">
        <v>0</v>
      </c>
      <c r="R1020" s="3">
        <v>-12400</v>
      </c>
      <c r="S1020" s="3">
        <v>0</v>
      </c>
      <c r="T1020" s="3">
        <v>0</v>
      </c>
      <c r="U1020" s="3">
        <v>0</v>
      </c>
      <c r="V1020" s="3">
        <v>2017</v>
      </c>
      <c r="W1020" s="3">
        <v>7260400</v>
      </c>
      <c r="X1020" s="3">
        <v>30167600</v>
      </c>
      <c r="Y1020" s="3">
        <v>22907200</v>
      </c>
      <c r="Z1020" s="3">
        <v>26422800</v>
      </c>
      <c r="AA1020" s="3">
        <v>3744800</v>
      </c>
      <c r="AB1020" s="3">
        <v>14</v>
      </c>
    </row>
    <row r="1021" spans="1:28" x14ac:dyDescent="0.35">
      <c r="A1021">
        <v>2022</v>
      </c>
      <c r="B1021" t="str">
        <f t="shared" si="130"/>
        <v>53</v>
      </c>
      <c r="C1021" t="s">
        <v>356</v>
      </c>
      <c r="D1021" t="s">
        <v>35</v>
      </c>
      <c r="E1021" t="str">
        <f t="shared" si="131"/>
        <v>241</v>
      </c>
      <c r="F1021" t="s">
        <v>362</v>
      </c>
      <c r="G1021" t="str">
        <f>"038"</f>
        <v>038</v>
      </c>
      <c r="H1021" t="str">
        <f t="shared" si="132"/>
        <v>2695</v>
      </c>
      <c r="I1021" s="3">
        <v>28151000</v>
      </c>
      <c r="J1021" s="3">
        <v>72.73</v>
      </c>
      <c r="K1021" s="3">
        <v>38706200</v>
      </c>
      <c r="L1021" s="3">
        <v>0</v>
      </c>
      <c r="M1021" s="3">
        <v>38706200</v>
      </c>
      <c r="N1021" s="3">
        <v>0</v>
      </c>
      <c r="O1021" s="3">
        <v>0</v>
      </c>
      <c r="P1021" s="3">
        <v>0</v>
      </c>
      <c r="Q1021" s="3">
        <v>0</v>
      </c>
      <c r="R1021" s="3">
        <v>-15400</v>
      </c>
      <c r="S1021" s="3">
        <v>0</v>
      </c>
      <c r="T1021" s="3">
        <v>0</v>
      </c>
      <c r="U1021" s="3">
        <v>0</v>
      </c>
      <c r="V1021" s="3">
        <v>2020</v>
      </c>
      <c r="W1021" s="3">
        <v>18425800</v>
      </c>
      <c r="X1021" s="3">
        <v>38690800</v>
      </c>
      <c r="Y1021" s="3">
        <v>20265000</v>
      </c>
      <c r="Z1021" s="3">
        <v>32917300</v>
      </c>
      <c r="AA1021" s="3">
        <v>5773500</v>
      </c>
      <c r="AB1021" s="3">
        <v>18</v>
      </c>
    </row>
    <row r="1022" spans="1:28" x14ac:dyDescent="0.35">
      <c r="A1022">
        <v>2022</v>
      </c>
      <c r="B1022" t="str">
        <f t="shared" si="130"/>
        <v>53</v>
      </c>
      <c r="C1022" t="s">
        <v>356</v>
      </c>
      <c r="D1022" t="s">
        <v>35</v>
      </c>
      <c r="E1022" t="str">
        <f>"257"</f>
        <v>257</v>
      </c>
      <c r="F1022" t="s">
        <v>363</v>
      </c>
      <c r="G1022" t="str">
        <f>"006"</f>
        <v>006</v>
      </c>
      <c r="H1022" t="str">
        <f>"3612"</f>
        <v>3612</v>
      </c>
      <c r="I1022" s="3">
        <v>14645200</v>
      </c>
      <c r="J1022" s="3">
        <v>86.79</v>
      </c>
      <c r="K1022" s="3">
        <v>16874300</v>
      </c>
      <c r="L1022" s="3">
        <v>0</v>
      </c>
      <c r="M1022" s="3">
        <v>16874300</v>
      </c>
      <c r="N1022" s="3">
        <v>11220800</v>
      </c>
      <c r="O1022" s="3">
        <v>11220800</v>
      </c>
      <c r="P1022" s="3">
        <v>2629300</v>
      </c>
      <c r="Q1022" s="3">
        <v>2629300</v>
      </c>
      <c r="R1022" s="3">
        <v>416200</v>
      </c>
      <c r="S1022" s="3">
        <v>-323200</v>
      </c>
      <c r="T1022" s="3">
        <v>0</v>
      </c>
      <c r="U1022" s="3">
        <v>8276900</v>
      </c>
      <c r="V1022" s="3">
        <v>2003</v>
      </c>
      <c r="W1022" s="3">
        <v>1968700</v>
      </c>
      <c r="X1022" s="3">
        <v>39094300</v>
      </c>
      <c r="Y1022" s="3">
        <v>37125600</v>
      </c>
      <c r="Z1022" s="3">
        <v>47109100</v>
      </c>
      <c r="AA1022" s="3">
        <v>-8014800</v>
      </c>
      <c r="AB1022" s="3">
        <v>-17</v>
      </c>
    </row>
    <row r="1023" spans="1:28" x14ac:dyDescent="0.35">
      <c r="A1023">
        <v>2022</v>
      </c>
      <c r="B1023" t="str">
        <f t="shared" si="130"/>
        <v>53</v>
      </c>
      <c r="C1023" t="s">
        <v>356</v>
      </c>
      <c r="D1023" t="s">
        <v>35</v>
      </c>
      <c r="E1023" t="str">
        <f>"257"</f>
        <v>257</v>
      </c>
      <c r="F1023" t="s">
        <v>363</v>
      </c>
      <c r="G1023" t="str">
        <f>"007"</f>
        <v>007</v>
      </c>
      <c r="H1023" t="str">
        <f>"3612"</f>
        <v>3612</v>
      </c>
      <c r="I1023" s="3">
        <v>15294500</v>
      </c>
      <c r="J1023" s="3">
        <v>86.79</v>
      </c>
      <c r="K1023" s="3">
        <v>17622400</v>
      </c>
      <c r="L1023" s="3">
        <v>0</v>
      </c>
      <c r="M1023" s="3">
        <v>17622400</v>
      </c>
      <c r="N1023" s="3">
        <v>0</v>
      </c>
      <c r="O1023" s="3">
        <v>0</v>
      </c>
      <c r="P1023" s="3">
        <v>0</v>
      </c>
      <c r="Q1023" s="3">
        <v>0</v>
      </c>
      <c r="R1023" s="3">
        <v>360500</v>
      </c>
      <c r="S1023" s="3">
        <v>0</v>
      </c>
      <c r="T1023" s="3">
        <v>0</v>
      </c>
      <c r="U1023" s="3">
        <v>0</v>
      </c>
      <c r="V1023" s="3">
        <v>2004</v>
      </c>
      <c r="W1023" s="3">
        <v>8567500</v>
      </c>
      <c r="X1023" s="3">
        <v>17982900</v>
      </c>
      <c r="Y1023" s="3">
        <v>9415400</v>
      </c>
      <c r="Z1023" s="3">
        <v>14881400</v>
      </c>
      <c r="AA1023" s="3">
        <v>3101500</v>
      </c>
      <c r="AB1023" s="3">
        <v>21</v>
      </c>
    </row>
    <row r="1024" spans="1:28" x14ac:dyDescent="0.35">
      <c r="A1024">
        <v>2022</v>
      </c>
      <c r="B1024" t="str">
        <f t="shared" si="130"/>
        <v>53</v>
      </c>
      <c r="C1024" t="s">
        <v>356</v>
      </c>
      <c r="D1024" t="s">
        <v>35</v>
      </c>
      <c r="E1024" t="str">
        <f>"257"</f>
        <v>257</v>
      </c>
      <c r="F1024" t="s">
        <v>363</v>
      </c>
      <c r="G1024" t="str">
        <f>"009"</f>
        <v>009</v>
      </c>
      <c r="H1024" t="str">
        <f>"3612"</f>
        <v>3612</v>
      </c>
      <c r="I1024" s="3">
        <v>0</v>
      </c>
      <c r="J1024" s="3">
        <v>86.79</v>
      </c>
      <c r="K1024" s="3">
        <v>0</v>
      </c>
      <c r="L1024" s="3">
        <v>0</v>
      </c>
      <c r="M1024" s="3">
        <v>0</v>
      </c>
      <c r="N1024" s="3">
        <v>8390200</v>
      </c>
      <c r="O1024" s="3">
        <v>8390200</v>
      </c>
      <c r="P1024" s="3">
        <v>515900</v>
      </c>
      <c r="Q1024" s="3">
        <v>515900</v>
      </c>
      <c r="R1024" s="3">
        <v>116100</v>
      </c>
      <c r="S1024" s="3">
        <v>0</v>
      </c>
      <c r="T1024" s="3">
        <v>0</v>
      </c>
      <c r="U1024" s="3">
        <v>236600</v>
      </c>
      <c r="V1024" s="3">
        <v>2016</v>
      </c>
      <c r="W1024" s="3">
        <v>174700</v>
      </c>
      <c r="X1024" s="3">
        <v>9258800</v>
      </c>
      <c r="Y1024" s="3">
        <v>9084100</v>
      </c>
      <c r="Z1024" s="3">
        <v>9150900</v>
      </c>
      <c r="AA1024" s="3">
        <v>107900</v>
      </c>
      <c r="AB1024" s="3">
        <v>1</v>
      </c>
    </row>
    <row r="1025" spans="1:28" x14ac:dyDescent="0.35">
      <c r="A1025">
        <v>2022</v>
      </c>
      <c r="B1025" t="str">
        <f t="shared" si="130"/>
        <v>53</v>
      </c>
      <c r="C1025" t="s">
        <v>356</v>
      </c>
      <c r="D1025" t="s">
        <v>35</v>
      </c>
      <c r="E1025" t="str">
        <f>"257"</f>
        <v>257</v>
      </c>
      <c r="F1025" t="s">
        <v>363</v>
      </c>
      <c r="G1025" t="str">
        <f>"010"</f>
        <v>010</v>
      </c>
      <c r="H1025" t="str">
        <f>"3612"</f>
        <v>3612</v>
      </c>
      <c r="I1025" s="3">
        <v>17975000</v>
      </c>
      <c r="J1025" s="3">
        <v>86.79</v>
      </c>
      <c r="K1025" s="3">
        <v>20710900</v>
      </c>
      <c r="L1025" s="3">
        <v>0</v>
      </c>
      <c r="M1025" s="3">
        <v>20710900</v>
      </c>
      <c r="N1025" s="3">
        <v>4170700</v>
      </c>
      <c r="O1025" s="3">
        <v>4170700</v>
      </c>
      <c r="P1025" s="3">
        <v>663200</v>
      </c>
      <c r="Q1025" s="3">
        <v>663200</v>
      </c>
      <c r="R1025" s="3">
        <v>398100</v>
      </c>
      <c r="S1025" s="3">
        <v>0</v>
      </c>
      <c r="T1025" s="3">
        <v>0</v>
      </c>
      <c r="U1025" s="3">
        <v>0</v>
      </c>
      <c r="V1025" s="3">
        <v>2018</v>
      </c>
      <c r="W1025" s="3">
        <v>20754200</v>
      </c>
      <c r="X1025" s="3">
        <v>25942900</v>
      </c>
      <c r="Y1025" s="3">
        <v>5188700</v>
      </c>
      <c r="Z1025" s="3">
        <v>23188700</v>
      </c>
      <c r="AA1025" s="3">
        <v>2754200</v>
      </c>
      <c r="AB1025" s="3">
        <v>12</v>
      </c>
    </row>
    <row r="1026" spans="1:28" x14ac:dyDescent="0.35">
      <c r="A1026">
        <v>2022</v>
      </c>
      <c r="B1026" t="str">
        <f t="shared" si="130"/>
        <v>53</v>
      </c>
      <c r="C1026" t="s">
        <v>356</v>
      </c>
      <c r="D1026" t="s">
        <v>35</v>
      </c>
      <c r="E1026" t="str">
        <f>"257"</f>
        <v>257</v>
      </c>
      <c r="F1026" t="s">
        <v>363</v>
      </c>
      <c r="G1026" t="str">
        <f>"011"</f>
        <v>011</v>
      </c>
      <c r="H1026" t="str">
        <f>"3612"</f>
        <v>3612</v>
      </c>
      <c r="I1026" s="3">
        <v>7506400</v>
      </c>
      <c r="J1026" s="3">
        <v>86.79</v>
      </c>
      <c r="K1026" s="3">
        <v>8648900</v>
      </c>
      <c r="L1026" s="3">
        <v>0</v>
      </c>
      <c r="M1026" s="3">
        <v>8648900</v>
      </c>
      <c r="N1026" s="3">
        <v>7581200</v>
      </c>
      <c r="O1026" s="3">
        <v>7581200</v>
      </c>
      <c r="P1026" s="3">
        <v>69700</v>
      </c>
      <c r="Q1026" s="3">
        <v>69700</v>
      </c>
      <c r="R1026" s="3">
        <v>0</v>
      </c>
      <c r="S1026" s="3">
        <v>0</v>
      </c>
      <c r="T1026" s="3">
        <v>0</v>
      </c>
      <c r="U1026" s="3">
        <v>0</v>
      </c>
      <c r="V1026" s="3">
        <v>2021</v>
      </c>
      <c r="W1026" s="3">
        <v>8376900</v>
      </c>
      <c r="X1026" s="3">
        <v>16299800</v>
      </c>
      <c r="Y1026" s="3">
        <v>7922900</v>
      </c>
      <c r="Z1026" s="3">
        <v>8376900</v>
      </c>
      <c r="AA1026" s="3">
        <v>7922900</v>
      </c>
      <c r="AB1026" s="3">
        <v>95</v>
      </c>
    </row>
    <row r="1027" spans="1:28" x14ac:dyDescent="0.35">
      <c r="A1027">
        <v>2022</v>
      </c>
      <c r="B1027" t="str">
        <f t="shared" ref="B1027:B1038" si="133">"54"</f>
        <v>54</v>
      </c>
      <c r="C1027" t="s">
        <v>364</v>
      </c>
      <c r="D1027" t="s">
        <v>33</v>
      </c>
      <c r="E1027" t="str">
        <f>"106"</f>
        <v>106</v>
      </c>
      <c r="F1027" t="s">
        <v>365</v>
      </c>
      <c r="G1027" t="str">
        <f>"002"</f>
        <v>002</v>
      </c>
      <c r="H1027" t="str">
        <f>"0735"</f>
        <v>0735</v>
      </c>
      <c r="I1027" s="3">
        <v>1663000</v>
      </c>
      <c r="J1027" s="3">
        <v>85.1</v>
      </c>
      <c r="K1027" s="3">
        <v>1954200</v>
      </c>
      <c r="L1027" s="3">
        <v>0</v>
      </c>
      <c r="M1027" s="3">
        <v>1954200</v>
      </c>
      <c r="N1027" s="3">
        <v>0</v>
      </c>
      <c r="O1027" s="3">
        <v>0</v>
      </c>
      <c r="P1027" s="3">
        <v>0</v>
      </c>
      <c r="Q1027" s="3">
        <v>0</v>
      </c>
      <c r="R1027" s="3">
        <v>-482800</v>
      </c>
      <c r="S1027" s="3">
        <v>0</v>
      </c>
      <c r="T1027" s="3">
        <v>0</v>
      </c>
      <c r="U1027" s="3">
        <v>0</v>
      </c>
      <c r="V1027" s="3">
        <v>2002</v>
      </c>
      <c r="W1027" s="3">
        <v>1272400</v>
      </c>
      <c r="X1027" s="3">
        <v>1471400</v>
      </c>
      <c r="Y1027" s="3">
        <v>199000</v>
      </c>
      <c r="Z1027" s="3">
        <v>2173400</v>
      </c>
      <c r="AA1027" s="3">
        <v>-702000</v>
      </c>
      <c r="AB1027" s="3">
        <v>-32</v>
      </c>
    </row>
    <row r="1028" spans="1:28" x14ac:dyDescent="0.35">
      <c r="A1028">
        <v>2022</v>
      </c>
      <c r="B1028" t="str">
        <f t="shared" si="133"/>
        <v>54</v>
      </c>
      <c r="C1028" t="s">
        <v>364</v>
      </c>
      <c r="D1028" t="s">
        <v>33</v>
      </c>
      <c r="E1028" t="str">
        <f>"136"</f>
        <v>136</v>
      </c>
      <c r="F1028" t="s">
        <v>366</v>
      </c>
      <c r="G1028" t="str">
        <f>"003"</f>
        <v>003</v>
      </c>
      <c r="H1028" t="str">
        <f>"5757"</f>
        <v>5757</v>
      </c>
      <c r="I1028" s="3">
        <v>615500</v>
      </c>
      <c r="J1028" s="3">
        <v>96.88</v>
      </c>
      <c r="K1028" s="3">
        <v>635300</v>
      </c>
      <c r="L1028" s="3">
        <v>0</v>
      </c>
      <c r="M1028" s="3">
        <v>635300</v>
      </c>
      <c r="N1028" s="3">
        <v>0</v>
      </c>
      <c r="O1028" s="3">
        <v>0</v>
      </c>
      <c r="P1028" s="3">
        <v>0</v>
      </c>
      <c r="Q1028" s="3">
        <v>0</v>
      </c>
      <c r="R1028" s="3">
        <v>-100</v>
      </c>
      <c r="S1028" s="3">
        <v>0</v>
      </c>
      <c r="T1028" s="3">
        <v>0</v>
      </c>
      <c r="U1028" s="3">
        <v>0</v>
      </c>
      <c r="V1028" s="3">
        <v>2010</v>
      </c>
      <c r="W1028" s="3">
        <v>96600</v>
      </c>
      <c r="X1028" s="3">
        <v>635200</v>
      </c>
      <c r="Y1028" s="3">
        <v>538600</v>
      </c>
      <c r="Z1028" s="3">
        <v>555100</v>
      </c>
      <c r="AA1028" s="3">
        <v>80100</v>
      </c>
      <c r="AB1028" s="3">
        <v>14</v>
      </c>
    </row>
    <row r="1029" spans="1:28" x14ac:dyDescent="0.35">
      <c r="A1029">
        <v>2022</v>
      </c>
      <c r="B1029" t="str">
        <f t="shared" si="133"/>
        <v>54</v>
      </c>
      <c r="C1029" t="s">
        <v>364</v>
      </c>
      <c r="D1029" t="s">
        <v>33</v>
      </c>
      <c r="E1029" t="str">
        <f>"191"</f>
        <v>191</v>
      </c>
      <c r="F1029" t="s">
        <v>367</v>
      </c>
      <c r="G1029" t="str">
        <f>"001"</f>
        <v>001</v>
      </c>
      <c r="H1029" t="str">
        <f>"1080"</f>
        <v>1080</v>
      </c>
      <c r="I1029" s="3">
        <v>1168500</v>
      </c>
      <c r="J1029" s="3">
        <v>80</v>
      </c>
      <c r="K1029" s="3">
        <v>1460600</v>
      </c>
      <c r="L1029" s="3">
        <v>0</v>
      </c>
      <c r="M1029" s="3">
        <v>1460600</v>
      </c>
      <c r="N1029" s="3">
        <v>9364900</v>
      </c>
      <c r="O1029" s="3">
        <v>9364900</v>
      </c>
      <c r="P1029" s="3">
        <v>3846400</v>
      </c>
      <c r="Q1029" s="3">
        <v>3846400</v>
      </c>
      <c r="R1029" s="3">
        <v>87600</v>
      </c>
      <c r="S1029" s="3">
        <v>0</v>
      </c>
      <c r="T1029" s="3">
        <v>0</v>
      </c>
      <c r="U1029" s="3">
        <v>0</v>
      </c>
      <c r="V1029" s="3">
        <v>2013</v>
      </c>
      <c r="W1029" s="3">
        <v>728700</v>
      </c>
      <c r="X1029" s="3">
        <v>14759500</v>
      </c>
      <c r="Y1029" s="3">
        <v>14030800</v>
      </c>
      <c r="Z1029" s="3">
        <v>12329100</v>
      </c>
      <c r="AA1029" s="3">
        <v>2430400</v>
      </c>
      <c r="AB1029" s="3">
        <v>20</v>
      </c>
    </row>
    <row r="1030" spans="1:28" x14ac:dyDescent="0.35">
      <c r="A1030">
        <v>2022</v>
      </c>
      <c r="B1030" t="str">
        <f t="shared" si="133"/>
        <v>54</v>
      </c>
      <c r="C1030" t="s">
        <v>364</v>
      </c>
      <c r="D1030" t="s">
        <v>35</v>
      </c>
      <c r="E1030" t="str">
        <f t="shared" ref="E1030:E1038" si="134">"246"</f>
        <v>246</v>
      </c>
      <c r="F1030" t="s">
        <v>368</v>
      </c>
      <c r="G1030" t="str">
        <f>"008"</f>
        <v>008</v>
      </c>
      <c r="H1030" t="str">
        <f t="shared" ref="H1030:H1038" si="135">"2856"</f>
        <v>2856</v>
      </c>
      <c r="I1030" s="3">
        <v>4755600</v>
      </c>
      <c r="J1030" s="3">
        <v>84.24</v>
      </c>
      <c r="K1030" s="3">
        <v>5645300</v>
      </c>
      <c r="L1030" s="3">
        <v>0</v>
      </c>
      <c r="M1030" s="3">
        <v>5645300</v>
      </c>
      <c r="N1030" s="3">
        <v>0</v>
      </c>
      <c r="O1030" s="3">
        <v>0</v>
      </c>
      <c r="P1030" s="3">
        <v>0</v>
      </c>
      <c r="Q1030" s="3">
        <v>0</v>
      </c>
      <c r="R1030" s="3">
        <v>-5700</v>
      </c>
      <c r="S1030" s="3">
        <v>0</v>
      </c>
      <c r="T1030" s="3">
        <v>0</v>
      </c>
      <c r="U1030" s="3">
        <v>0</v>
      </c>
      <c r="V1030" s="3">
        <v>2003</v>
      </c>
      <c r="W1030" s="3">
        <v>860000</v>
      </c>
      <c r="X1030" s="3">
        <v>5639600</v>
      </c>
      <c r="Y1030" s="3">
        <v>4779600</v>
      </c>
      <c r="Z1030" s="3">
        <v>5189100</v>
      </c>
      <c r="AA1030" s="3">
        <v>450500</v>
      </c>
      <c r="AB1030" s="3">
        <v>9</v>
      </c>
    </row>
    <row r="1031" spans="1:28" x14ac:dyDescent="0.35">
      <c r="A1031">
        <v>2022</v>
      </c>
      <c r="B1031" t="str">
        <f t="shared" si="133"/>
        <v>54</v>
      </c>
      <c r="C1031" t="s">
        <v>364</v>
      </c>
      <c r="D1031" t="s">
        <v>35</v>
      </c>
      <c r="E1031" t="str">
        <f t="shared" si="134"/>
        <v>246</v>
      </c>
      <c r="F1031" t="s">
        <v>368</v>
      </c>
      <c r="G1031" t="str">
        <f>"009"</f>
        <v>009</v>
      </c>
      <c r="H1031" t="str">
        <f t="shared" si="135"/>
        <v>2856</v>
      </c>
      <c r="I1031" s="3">
        <v>6577800</v>
      </c>
      <c r="J1031" s="3">
        <v>84.24</v>
      </c>
      <c r="K1031" s="3">
        <v>7808400</v>
      </c>
      <c r="L1031" s="3">
        <v>0</v>
      </c>
      <c r="M1031" s="3">
        <v>7808400</v>
      </c>
      <c r="N1031" s="3">
        <v>0</v>
      </c>
      <c r="O1031" s="3">
        <v>0</v>
      </c>
      <c r="P1031" s="3">
        <v>0</v>
      </c>
      <c r="Q1031" s="3">
        <v>0</v>
      </c>
      <c r="R1031" s="3">
        <v>-7800</v>
      </c>
      <c r="S1031" s="3">
        <v>0</v>
      </c>
      <c r="T1031" s="3">
        <v>0</v>
      </c>
      <c r="U1031" s="3">
        <v>97500</v>
      </c>
      <c r="V1031" s="3">
        <v>2006</v>
      </c>
      <c r="W1031" s="3">
        <v>482300</v>
      </c>
      <c r="X1031" s="3">
        <v>7898100</v>
      </c>
      <c r="Y1031" s="3">
        <v>7415800</v>
      </c>
      <c r="Z1031" s="3">
        <v>7136200</v>
      </c>
      <c r="AA1031" s="3">
        <v>761900</v>
      </c>
      <c r="AB1031" s="3">
        <v>11</v>
      </c>
    </row>
    <row r="1032" spans="1:28" x14ac:dyDescent="0.35">
      <c r="A1032">
        <v>2022</v>
      </c>
      <c r="B1032" t="str">
        <f t="shared" si="133"/>
        <v>54</v>
      </c>
      <c r="C1032" t="s">
        <v>364</v>
      </c>
      <c r="D1032" t="s">
        <v>35</v>
      </c>
      <c r="E1032" t="str">
        <f t="shared" si="134"/>
        <v>246</v>
      </c>
      <c r="F1032" t="s">
        <v>368</v>
      </c>
      <c r="G1032" t="str">
        <f>"010"</f>
        <v>010</v>
      </c>
      <c r="H1032" t="str">
        <f t="shared" si="135"/>
        <v>2856</v>
      </c>
      <c r="I1032" s="3">
        <v>37500</v>
      </c>
      <c r="J1032" s="3">
        <v>84.24</v>
      </c>
      <c r="K1032" s="3">
        <v>44500</v>
      </c>
      <c r="L1032" s="3">
        <v>0</v>
      </c>
      <c r="M1032" s="3">
        <v>44500</v>
      </c>
      <c r="N1032" s="3">
        <v>165000</v>
      </c>
      <c r="O1032" s="3">
        <v>165000</v>
      </c>
      <c r="P1032" s="3">
        <v>0</v>
      </c>
      <c r="Q1032" s="3">
        <v>0</v>
      </c>
      <c r="R1032" s="3">
        <v>-200</v>
      </c>
      <c r="S1032" s="3">
        <v>0</v>
      </c>
      <c r="T1032" s="3">
        <v>0</v>
      </c>
      <c r="U1032" s="3">
        <v>1810400</v>
      </c>
      <c r="V1032" s="3">
        <v>2007</v>
      </c>
      <c r="W1032" s="3">
        <v>403500</v>
      </c>
      <c r="X1032" s="3">
        <v>2019700</v>
      </c>
      <c r="Y1032" s="3">
        <v>1616200</v>
      </c>
      <c r="Z1032" s="3">
        <v>2010300</v>
      </c>
      <c r="AA1032" s="3">
        <v>9400</v>
      </c>
      <c r="AB1032" s="3">
        <v>0</v>
      </c>
    </row>
    <row r="1033" spans="1:28" x14ac:dyDescent="0.35">
      <c r="A1033">
        <v>2022</v>
      </c>
      <c r="B1033" t="str">
        <f t="shared" si="133"/>
        <v>54</v>
      </c>
      <c r="C1033" t="s">
        <v>364</v>
      </c>
      <c r="D1033" t="s">
        <v>35</v>
      </c>
      <c r="E1033" t="str">
        <f t="shared" si="134"/>
        <v>246</v>
      </c>
      <c r="F1033" t="s">
        <v>368</v>
      </c>
      <c r="G1033" t="str">
        <f>"011"</f>
        <v>011</v>
      </c>
      <c r="H1033" t="str">
        <f t="shared" si="135"/>
        <v>2856</v>
      </c>
      <c r="I1033" s="3">
        <v>6523900</v>
      </c>
      <c r="J1033" s="3">
        <v>84.24</v>
      </c>
      <c r="K1033" s="3">
        <v>7744400</v>
      </c>
      <c r="L1033" s="3">
        <v>0</v>
      </c>
      <c r="M1033" s="3">
        <v>7744400</v>
      </c>
      <c r="N1033" s="3">
        <v>0</v>
      </c>
      <c r="O1033" s="3">
        <v>0</v>
      </c>
      <c r="P1033" s="3">
        <v>0</v>
      </c>
      <c r="Q1033" s="3">
        <v>0</v>
      </c>
      <c r="R1033" s="3">
        <v>-7600</v>
      </c>
      <c r="S1033" s="3">
        <v>0</v>
      </c>
      <c r="T1033" s="3">
        <v>0</v>
      </c>
      <c r="U1033" s="3">
        <v>0</v>
      </c>
      <c r="V1033" s="3">
        <v>2011</v>
      </c>
      <c r="W1033" s="3">
        <v>30200</v>
      </c>
      <c r="X1033" s="3">
        <v>7736800</v>
      </c>
      <c r="Y1033" s="3">
        <v>7706600</v>
      </c>
      <c r="Z1033" s="3">
        <v>7028000</v>
      </c>
      <c r="AA1033" s="3">
        <v>708800</v>
      </c>
      <c r="AB1033" s="3">
        <v>10</v>
      </c>
    </row>
    <row r="1034" spans="1:28" x14ac:dyDescent="0.35">
      <c r="A1034">
        <v>2022</v>
      </c>
      <c r="B1034" t="str">
        <f t="shared" si="133"/>
        <v>54</v>
      </c>
      <c r="C1034" t="s">
        <v>364</v>
      </c>
      <c r="D1034" t="s">
        <v>35</v>
      </c>
      <c r="E1034" t="str">
        <f t="shared" si="134"/>
        <v>246</v>
      </c>
      <c r="F1034" t="s">
        <v>368</v>
      </c>
      <c r="G1034" t="str">
        <f>"012"</f>
        <v>012</v>
      </c>
      <c r="H1034" t="str">
        <f t="shared" si="135"/>
        <v>2856</v>
      </c>
      <c r="I1034" s="3">
        <v>0</v>
      </c>
      <c r="J1034" s="3">
        <v>84.24</v>
      </c>
      <c r="K1034" s="3">
        <v>0</v>
      </c>
      <c r="L1034" s="3">
        <v>0</v>
      </c>
      <c r="M1034" s="3">
        <v>0</v>
      </c>
      <c r="N1034" s="3">
        <v>0</v>
      </c>
      <c r="O1034" s="3">
        <v>0</v>
      </c>
      <c r="P1034" s="3">
        <v>0</v>
      </c>
      <c r="Q1034" s="3">
        <v>0</v>
      </c>
      <c r="R1034" s="3">
        <v>0</v>
      </c>
      <c r="S1034" s="3">
        <v>0</v>
      </c>
      <c r="T1034" s="3">
        <v>0</v>
      </c>
      <c r="U1034" s="3">
        <v>0</v>
      </c>
      <c r="V1034" s="3">
        <v>2020</v>
      </c>
      <c r="W1034" s="3">
        <v>0</v>
      </c>
      <c r="X1034" s="3">
        <v>0</v>
      </c>
      <c r="Y1034" s="3">
        <v>0</v>
      </c>
      <c r="Z1034" s="3">
        <v>0</v>
      </c>
      <c r="AA1034" s="3">
        <v>0</v>
      </c>
      <c r="AB1034" s="3">
        <v>0</v>
      </c>
    </row>
    <row r="1035" spans="1:28" x14ac:dyDescent="0.35">
      <c r="A1035">
        <v>2022</v>
      </c>
      <c r="B1035" t="str">
        <f t="shared" si="133"/>
        <v>54</v>
      </c>
      <c r="C1035" t="s">
        <v>364</v>
      </c>
      <c r="D1035" t="s">
        <v>35</v>
      </c>
      <c r="E1035" t="str">
        <f t="shared" si="134"/>
        <v>246</v>
      </c>
      <c r="F1035" t="s">
        <v>368</v>
      </c>
      <c r="G1035" t="str">
        <f>"013"</f>
        <v>013</v>
      </c>
      <c r="H1035" t="str">
        <f t="shared" si="135"/>
        <v>2856</v>
      </c>
      <c r="I1035" s="3">
        <v>438300</v>
      </c>
      <c r="J1035" s="3">
        <v>84.24</v>
      </c>
      <c r="K1035" s="3">
        <v>520300</v>
      </c>
      <c r="L1035" s="3">
        <v>0</v>
      </c>
      <c r="M1035" s="3">
        <v>520300</v>
      </c>
      <c r="N1035" s="3">
        <v>0</v>
      </c>
      <c r="O1035" s="3">
        <v>0</v>
      </c>
      <c r="P1035" s="3">
        <v>0</v>
      </c>
      <c r="Q1035" s="3">
        <v>0</v>
      </c>
      <c r="R1035" s="3">
        <v>0</v>
      </c>
      <c r="S1035" s="3">
        <v>0</v>
      </c>
      <c r="T1035" s="3">
        <v>0</v>
      </c>
      <c r="U1035" s="3">
        <v>0</v>
      </c>
      <c r="V1035" s="3">
        <v>2021</v>
      </c>
      <c r="W1035" s="3">
        <v>97500</v>
      </c>
      <c r="X1035" s="3">
        <v>520300</v>
      </c>
      <c r="Y1035" s="3">
        <v>422800</v>
      </c>
      <c r="Z1035" s="3">
        <v>97500</v>
      </c>
      <c r="AA1035" s="3">
        <v>422800</v>
      </c>
      <c r="AB1035" s="3">
        <v>434</v>
      </c>
    </row>
    <row r="1036" spans="1:28" x14ac:dyDescent="0.35">
      <c r="A1036">
        <v>2022</v>
      </c>
      <c r="B1036" t="str">
        <f t="shared" si="133"/>
        <v>54</v>
      </c>
      <c r="C1036" t="s">
        <v>364</v>
      </c>
      <c r="D1036" t="s">
        <v>35</v>
      </c>
      <c r="E1036" t="str">
        <f t="shared" si="134"/>
        <v>246</v>
      </c>
      <c r="F1036" t="s">
        <v>368</v>
      </c>
      <c r="G1036" t="str">
        <f>"014"</f>
        <v>014</v>
      </c>
      <c r="H1036" t="str">
        <f t="shared" si="135"/>
        <v>2856</v>
      </c>
      <c r="I1036" s="3">
        <v>2123200</v>
      </c>
      <c r="J1036" s="3">
        <v>84.24</v>
      </c>
      <c r="K1036" s="3">
        <v>2520400</v>
      </c>
      <c r="L1036" s="3">
        <v>0</v>
      </c>
      <c r="M1036" s="3">
        <v>2520400</v>
      </c>
      <c r="N1036" s="3">
        <v>965000</v>
      </c>
      <c r="O1036" s="3">
        <v>965000</v>
      </c>
      <c r="P1036" s="3">
        <v>762000</v>
      </c>
      <c r="Q1036" s="3">
        <v>762000</v>
      </c>
      <c r="R1036" s="3">
        <v>0</v>
      </c>
      <c r="S1036" s="3">
        <v>0</v>
      </c>
      <c r="T1036" s="3">
        <v>0</v>
      </c>
      <c r="U1036" s="3">
        <v>0</v>
      </c>
      <c r="V1036" s="3">
        <v>2021</v>
      </c>
      <c r="W1036" s="3">
        <v>2002800</v>
      </c>
      <c r="X1036" s="3">
        <v>4247400</v>
      </c>
      <c r="Y1036" s="3">
        <v>2244600</v>
      </c>
      <c r="Z1036" s="3">
        <v>2002800</v>
      </c>
      <c r="AA1036" s="3">
        <v>2244600</v>
      </c>
      <c r="AB1036" s="3">
        <v>112</v>
      </c>
    </row>
    <row r="1037" spans="1:28" x14ac:dyDescent="0.35">
      <c r="A1037">
        <v>2022</v>
      </c>
      <c r="B1037" t="str">
        <f t="shared" si="133"/>
        <v>54</v>
      </c>
      <c r="C1037" t="s">
        <v>364</v>
      </c>
      <c r="D1037" t="s">
        <v>35</v>
      </c>
      <c r="E1037" t="str">
        <f t="shared" si="134"/>
        <v>246</v>
      </c>
      <c r="F1037" t="s">
        <v>368</v>
      </c>
      <c r="G1037" t="str">
        <f>"015"</f>
        <v>015</v>
      </c>
      <c r="H1037" t="str">
        <f t="shared" si="135"/>
        <v>2856</v>
      </c>
      <c r="I1037" s="3">
        <v>4600</v>
      </c>
      <c r="J1037" s="3">
        <v>84.24</v>
      </c>
      <c r="K1037" s="3">
        <v>5500</v>
      </c>
      <c r="L1037" s="3">
        <v>0</v>
      </c>
      <c r="M1037" s="3">
        <v>5500</v>
      </c>
      <c r="N1037" s="3">
        <v>0</v>
      </c>
      <c r="O1037" s="3">
        <v>0</v>
      </c>
      <c r="P1037" s="3">
        <v>0</v>
      </c>
      <c r="Q1037" s="3">
        <v>0</v>
      </c>
      <c r="R1037" s="3">
        <v>0</v>
      </c>
      <c r="S1037" s="3">
        <v>0</v>
      </c>
      <c r="T1037" s="3">
        <v>0</v>
      </c>
      <c r="U1037" s="3">
        <v>0</v>
      </c>
      <c r="V1037" s="3">
        <v>2021</v>
      </c>
      <c r="W1037" s="3">
        <v>50200</v>
      </c>
      <c r="X1037" s="3">
        <v>5500</v>
      </c>
      <c r="Y1037" s="3">
        <v>-44700</v>
      </c>
      <c r="Z1037" s="3">
        <v>50200</v>
      </c>
      <c r="AA1037" s="3">
        <v>-44700</v>
      </c>
      <c r="AB1037" s="3">
        <v>-89</v>
      </c>
    </row>
    <row r="1038" spans="1:28" x14ac:dyDescent="0.35">
      <c r="A1038">
        <v>2022</v>
      </c>
      <c r="B1038" t="str">
        <f t="shared" si="133"/>
        <v>54</v>
      </c>
      <c r="C1038" t="s">
        <v>364</v>
      </c>
      <c r="D1038" t="s">
        <v>35</v>
      </c>
      <c r="E1038" t="str">
        <f t="shared" si="134"/>
        <v>246</v>
      </c>
      <c r="F1038" t="s">
        <v>368</v>
      </c>
      <c r="G1038" t="str">
        <f>"016"</f>
        <v>016</v>
      </c>
      <c r="H1038" t="str">
        <f t="shared" si="135"/>
        <v>2856</v>
      </c>
      <c r="I1038" s="3">
        <v>0</v>
      </c>
      <c r="J1038" s="3">
        <v>84.24</v>
      </c>
      <c r="K1038" s="3">
        <v>0</v>
      </c>
      <c r="L1038" s="3">
        <v>0</v>
      </c>
      <c r="M1038" s="3">
        <v>0</v>
      </c>
      <c r="N1038" s="3">
        <v>0</v>
      </c>
      <c r="O1038" s="3">
        <v>0</v>
      </c>
      <c r="P1038" s="3">
        <v>0</v>
      </c>
      <c r="Q1038" s="3">
        <v>0</v>
      </c>
      <c r="R1038" s="3">
        <v>0</v>
      </c>
      <c r="S1038" s="3">
        <v>0</v>
      </c>
      <c r="T1038" s="3">
        <v>0</v>
      </c>
      <c r="U1038" s="3">
        <v>0</v>
      </c>
      <c r="V1038" s="3">
        <v>2021</v>
      </c>
      <c r="W1038" s="3">
        <v>0</v>
      </c>
      <c r="X1038" s="3">
        <v>0</v>
      </c>
      <c r="Y1038" s="3">
        <v>0</v>
      </c>
      <c r="Z1038" s="3">
        <v>0</v>
      </c>
      <c r="AA1038" s="3">
        <v>0</v>
      </c>
      <c r="AB1038" s="3">
        <v>0</v>
      </c>
    </row>
    <row r="1039" spans="1:28" x14ac:dyDescent="0.35">
      <c r="A1039">
        <v>2022</v>
      </c>
      <c r="B1039" t="str">
        <f t="shared" ref="B1039:B1063" si="136">"55"</f>
        <v>55</v>
      </c>
      <c r="C1039" t="s">
        <v>369</v>
      </c>
      <c r="D1039" t="s">
        <v>33</v>
      </c>
      <c r="E1039" t="str">
        <f>"106"</f>
        <v>106</v>
      </c>
      <c r="F1039" t="s">
        <v>370</v>
      </c>
      <c r="G1039" t="str">
        <f>"005"</f>
        <v>005</v>
      </c>
      <c r="H1039" t="str">
        <f>"0231"</f>
        <v>0231</v>
      </c>
      <c r="I1039" s="3">
        <v>0</v>
      </c>
      <c r="J1039" s="3">
        <v>88.13</v>
      </c>
      <c r="K1039" s="3">
        <v>0</v>
      </c>
      <c r="L1039" s="3">
        <v>0</v>
      </c>
      <c r="M1039" s="3">
        <v>0</v>
      </c>
      <c r="N1039" s="3">
        <v>3388400</v>
      </c>
      <c r="O1039" s="3">
        <v>3388400</v>
      </c>
      <c r="P1039" s="3">
        <v>128600</v>
      </c>
      <c r="Q1039" s="3">
        <v>128600</v>
      </c>
      <c r="R1039" s="3">
        <v>0</v>
      </c>
      <c r="S1039" s="3">
        <v>0</v>
      </c>
      <c r="T1039" s="3">
        <v>0</v>
      </c>
      <c r="U1039" s="3">
        <v>0</v>
      </c>
      <c r="V1039" s="3">
        <v>1995</v>
      </c>
      <c r="W1039" s="3">
        <v>22500</v>
      </c>
      <c r="X1039" s="3">
        <v>3517000</v>
      </c>
      <c r="Y1039" s="3">
        <v>3494500</v>
      </c>
      <c r="Z1039" s="3">
        <v>3258100</v>
      </c>
      <c r="AA1039" s="3">
        <v>258900</v>
      </c>
      <c r="AB1039" s="3">
        <v>8</v>
      </c>
    </row>
    <row r="1040" spans="1:28" x14ac:dyDescent="0.35">
      <c r="A1040">
        <v>2022</v>
      </c>
      <c r="B1040" t="str">
        <f t="shared" si="136"/>
        <v>55</v>
      </c>
      <c r="C1040" t="s">
        <v>369</v>
      </c>
      <c r="D1040" t="s">
        <v>33</v>
      </c>
      <c r="E1040" t="str">
        <f>"106"</f>
        <v>106</v>
      </c>
      <c r="F1040" t="s">
        <v>370</v>
      </c>
      <c r="G1040" t="str">
        <f>"006"</f>
        <v>006</v>
      </c>
      <c r="H1040" t="str">
        <f>"0231"</f>
        <v>0231</v>
      </c>
      <c r="I1040" s="3">
        <v>13881700</v>
      </c>
      <c r="J1040" s="3">
        <v>88.13</v>
      </c>
      <c r="K1040" s="3">
        <v>15751400</v>
      </c>
      <c r="L1040" s="3">
        <v>0</v>
      </c>
      <c r="M1040" s="3">
        <v>15751400</v>
      </c>
      <c r="N1040" s="3">
        <v>0</v>
      </c>
      <c r="O1040" s="3">
        <v>0</v>
      </c>
      <c r="P1040" s="3">
        <v>0</v>
      </c>
      <c r="Q1040" s="3">
        <v>0</v>
      </c>
      <c r="R1040" s="3">
        <v>-1720500</v>
      </c>
      <c r="S1040" s="3">
        <v>0</v>
      </c>
      <c r="T1040" s="3">
        <v>0</v>
      </c>
      <c r="U1040" s="3">
        <v>0</v>
      </c>
      <c r="V1040" s="3">
        <v>2005</v>
      </c>
      <c r="W1040" s="3">
        <v>12224500</v>
      </c>
      <c r="X1040" s="3">
        <v>14030900</v>
      </c>
      <c r="Y1040" s="3">
        <v>1806400</v>
      </c>
      <c r="Z1040" s="3">
        <v>16038800</v>
      </c>
      <c r="AA1040" s="3">
        <v>-2007900</v>
      </c>
      <c r="AB1040" s="3">
        <v>-13</v>
      </c>
    </row>
    <row r="1041" spans="1:28" x14ac:dyDescent="0.35">
      <c r="A1041">
        <v>2022</v>
      </c>
      <c r="B1041" t="str">
        <f t="shared" si="136"/>
        <v>55</v>
      </c>
      <c r="C1041" t="s">
        <v>369</v>
      </c>
      <c r="D1041" t="s">
        <v>33</v>
      </c>
      <c r="E1041" t="str">
        <f>"106"</f>
        <v>106</v>
      </c>
      <c r="F1041" t="s">
        <v>370</v>
      </c>
      <c r="G1041" t="str">
        <f>"007"</f>
        <v>007</v>
      </c>
      <c r="H1041" t="str">
        <f>"0231"</f>
        <v>0231</v>
      </c>
      <c r="I1041" s="3">
        <v>15758400</v>
      </c>
      <c r="J1041" s="3">
        <v>88.13</v>
      </c>
      <c r="K1041" s="3">
        <v>17880900</v>
      </c>
      <c r="L1041" s="3">
        <v>0</v>
      </c>
      <c r="M1041" s="3">
        <v>17880900</v>
      </c>
      <c r="N1041" s="3">
        <v>0</v>
      </c>
      <c r="O1041" s="3">
        <v>0</v>
      </c>
      <c r="P1041" s="3">
        <v>0</v>
      </c>
      <c r="Q1041" s="3">
        <v>0</v>
      </c>
      <c r="R1041" s="3">
        <v>-527900</v>
      </c>
      <c r="S1041" s="3">
        <v>0</v>
      </c>
      <c r="T1041" s="3">
        <v>0</v>
      </c>
      <c r="U1041" s="3">
        <v>0</v>
      </c>
      <c r="V1041" s="3">
        <v>2007</v>
      </c>
      <c r="W1041" s="3">
        <v>5002200</v>
      </c>
      <c r="X1041" s="3">
        <v>17353000</v>
      </c>
      <c r="Y1041" s="3">
        <v>12350800</v>
      </c>
      <c r="Z1041" s="3">
        <v>14399400</v>
      </c>
      <c r="AA1041" s="3">
        <v>2953600</v>
      </c>
      <c r="AB1041" s="3">
        <v>21</v>
      </c>
    </row>
    <row r="1042" spans="1:28" x14ac:dyDescent="0.35">
      <c r="A1042">
        <v>2022</v>
      </c>
      <c r="B1042" t="str">
        <f t="shared" si="136"/>
        <v>55</v>
      </c>
      <c r="C1042" t="s">
        <v>369</v>
      </c>
      <c r="D1042" t="s">
        <v>33</v>
      </c>
      <c r="E1042" t="str">
        <f>"136"</f>
        <v>136</v>
      </c>
      <c r="F1042" t="s">
        <v>371</v>
      </c>
      <c r="G1042" t="str">
        <f>"005"</f>
        <v>005</v>
      </c>
      <c r="H1042" t="str">
        <f>"2422"</f>
        <v>2422</v>
      </c>
      <c r="I1042" s="3">
        <v>3520700</v>
      </c>
      <c r="J1042" s="3">
        <v>79.55</v>
      </c>
      <c r="K1042" s="3">
        <v>4425800</v>
      </c>
      <c r="L1042" s="3">
        <v>0</v>
      </c>
      <c r="M1042" s="3">
        <v>4425800</v>
      </c>
      <c r="N1042" s="3">
        <v>12442000</v>
      </c>
      <c r="O1042" s="3">
        <v>12442000</v>
      </c>
      <c r="P1042" s="3">
        <v>166600</v>
      </c>
      <c r="Q1042" s="3">
        <v>166600</v>
      </c>
      <c r="R1042" s="3">
        <v>800</v>
      </c>
      <c r="S1042" s="3">
        <v>0</v>
      </c>
      <c r="T1042" s="3">
        <v>0</v>
      </c>
      <c r="U1042" s="3">
        <v>0</v>
      </c>
      <c r="V1042" s="3">
        <v>1995</v>
      </c>
      <c r="W1042" s="3">
        <v>142600</v>
      </c>
      <c r="X1042" s="3">
        <v>17035200</v>
      </c>
      <c r="Y1042" s="3">
        <v>16892600</v>
      </c>
      <c r="Z1042" s="3">
        <v>13234200</v>
      </c>
      <c r="AA1042" s="3">
        <v>3801000</v>
      </c>
      <c r="AB1042" s="3">
        <v>29</v>
      </c>
    </row>
    <row r="1043" spans="1:28" x14ac:dyDescent="0.35">
      <c r="A1043">
        <v>2022</v>
      </c>
      <c r="B1043" t="str">
        <f t="shared" si="136"/>
        <v>55</v>
      </c>
      <c r="C1043" t="s">
        <v>369</v>
      </c>
      <c r="D1043" t="s">
        <v>33</v>
      </c>
      <c r="E1043" t="str">
        <f>"176"</f>
        <v>176</v>
      </c>
      <c r="F1043" t="s">
        <v>372</v>
      </c>
      <c r="G1043" t="str">
        <f>"002"</f>
        <v>002</v>
      </c>
      <c r="H1043" t="str">
        <f>"2422"</f>
        <v>2422</v>
      </c>
      <c r="I1043" s="3">
        <v>215200</v>
      </c>
      <c r="J1043" s="3">
        <v>71.25</v>
      </c>
      <c r="K1043" s="3">
        <v>302000</v>
      </c>
      <c r="L1043" s="3">
        <v>2868200</v>
      </c>
      <c r="M1043" s="3">
        <v>2868200</v>
      </c>
      <c r="N1043" s="3">
        <v>0</v>
      </c>
      <c r="O1043" s="3">
        <v>0</v>
      </c>
      <c r="P1043" s="3">
        <v>0</v>
      </c>
      <c r="Q1043" s="3">
        <v>0</v>
      </c>
      <c r="R1043" s="3">
        <v>-3600</v>
      </c>
      <c r="S1043" s="3">
        <v>0</v>
      </c>
      <c r="T1043" s="3">
        <v>0</v>
      </c>
      <c r="U1043" s="3">
        <v>0</v>
      </c>
      <c r="V1043" s="3">
        <v>2020</v>
      </c>
      <c r="W1043" s="3">
        <v>41200</v>
      </c>
      <c r="X1043" s="3">
        <v>2864600</v>
      </c>
      <c r="Y1043" s="3">
        <v>2823400</v>
      </c>
      <c r="Z1043" s="3">
        <v>2472400</v>
      </c>
      <c r="AA1043" s="3">
        <v>392200</v>
      </c>
      <c r="AB1043" s="3">
        <v>16</v>
      </c>
    </row>
    <row r="1044" spans="1:28" x14ac:dyDescent="0.35">
      <c r="A1044">
        <v>2022</v>
      </c>
      <c r="B1044" t="str">
        <f t="shared" si="136"/>
        <v>55</v>
      </c>
      <c r="C1044" t="s">
        <v>369</v>
      </c>
      <c r="D1044" t="s">
        <v>33</v>
      </c>
      <c r="E1044" t="str">
        <f>"176"</f>
        <v>176</v>
      </c>
      <c r="F1044" t="s">
        <v>372</v>
      </c>
      <c r="G1044" t="str">
        <f>"003"</f>
        <v>003</v>
      </c>
      <c r="H1044" t="str">
        <f>"2422"</f>
        <v>2422</v>
      </c>
      <c r="I1044" s="3">
        <v>13743800</v>
      </c>
      <c r="J1044" s="3">
        <v>71.25</v>
      </c>
      <c r="K1044" s="3">
        <v>19289500</v>
      </c>
      <c r="L1044" s="3">
        <v>0</v>
      </c>
      <c r="M1044" s="3">
        <v>19289500</v>
      </c>
      <c r="N1044" s="3">
        <v>0</v>
      </c>
      <c r="O1044" s="3">
        <v>0</v>
      </c>
      <c r="P1044" s="3">
        <v>0</v>
      </c>
      <c r="Q1044" s="3">
        <v>0</v>
      </c>
      <c r="R1044" s="3">
        <v>-2600</v>
      </c>
      <c r="S1044" s="3">
        <v>0</v>
      </c>
      <c r="T1044" s="3">
        <v>0</v>
      </c>
      <c r="U1044" s="3">
        <v>0</v>
      </c>
      <c r="V1044" s="3">
        <v>2020</v>
      </c>
      <c r="W1044" s="3">
        <v>49800</v>
      </c>
      <c r="X1044" s="3">
        <v>19286900</v>
      </c>
      <c r="Y1044" s="3">
        <v>19237100</v>
      </c>
      <c r="Z1044" s="3">
        <v>1787000</v>
      </c>
      <c r="AA1044" s="3">
        <v>17499900</v>
      </c>
      <c r="AB1044" s="3">
        <v>979</v>
      </c>
    </row>
    <row r="1045" spans="1:28" x14ac:dyDescent="0.35">
      <c r="A1045">
        <v>2022</v>
      </c>
      <c r="B1045" t="str">
        <f t="shared" si="136"/>
        <v>55</v>
      </c>
      <c r="C1045" t="s">
        <v>369</v>
      </c>
      <c r="D1045" t="s">
        <v>33</v>
      </c>
      <c r="E1045" t="str">
        <f>"181"</f>
        <v>181</v>
      </c>
      <c r="F1045" t="s">
        <v>373</v>
      </c>
      <c r="G1045" t="str">
        <f>"003"</f>
        <v>003</v>
      </c>
      <c r="H1045" t="str">
        <f>"5432"</f>
        <v>5432</v>
      </c>
      <c r="I1045" s="3">
        <v>1233900</v>
      </c>
      <c r="J1045" s="3">
        <v>88.51</v>
      </c>
      <c r="K1045" s="3">
        <v>1394100</v>
      </c>
      <c r="L1045" s="3">
        <v>0</v>
      </c>
      <c r="M1045" s="3">
        <v>1394100</v>
      </c>
      <c r="N1045" s="3">
        <v>0</v>
      </c>
      <c r="O1045" s="3">
        <v>0</v>
      </c>
      <c r="P1045" s="3">
        <v>0</v>
      </c>
      <c r="Q1045" s="3">
        <v>0</v>
      </c>
      <c r="R1045" s="3">
        <v>600</v>
      </c>
      <c r="S1045" s="3">
        <v>0</v>
      </c>
      <c r="T1045" s="3">
        <v>0</v>
      </c>
      <c r="U1045" s="3">
        <v>0</v>
      </c>
      <c r="V1045" s="3">
        <v>2005</v>
      </c>
      <c r="W1045" s="3">
        <v>1135500</v>
      </c>
      <c r="X1045" s="3">
        <v>1394700</v>
      </c>
      <c r="Y1045" s="3">
        <v>259200</v>
      </c>
      <c r="Z1045" s="3">
        <v>1517700</v>
      </c>
      <c r="AA1045" s="3">
        <v>-123000</v>
      </c>
      <c r="AB1045" s="3">
        <v>-8</v>
      </c>
    </row>
    <row r="1046" spans="1:28" x14ac:dyDescent="0.35">
      <c r="A1046">
        <v>2022</v>
      </c>
      <c r="B1046" t="str">
        <f t="shared" si="136"/>
        <v>55</v>
      </c>
      <c r="C1046" t="s">
        <v>369</v>
      </c>
      <c r="D1046" t="s">
        <v>33</v>
      </c>
      <c r="E1046" t="str">
        <f>"181"</f>
        <v>181</v>
      </c>
      <c r="F1046" t="s">
        <v>373</v>
      </c>
      <c r="G1046" t="str">
        <f>"004"</f>
        <v>004</v>
      </c>
      <c r="H1046" t="str">
        <f>"5432"</f>
        <v>5432</v>
      </c>
      <c r="I1046" s="3">
        <v>4537000</v>
      </c>
      <c r="J1046" s="3">
        <v>88.51</v>
      </c>
      <c r="K1046" s="3">
        <v>5126000</v>
      </c>
      <c r="L1046" s="3">
        <v>0</v>
      </c>
      <c r="M1046" s="3">
        <v>5126000</v>
      </c>
      <c r="N1046" s="3">
        <v>0</v>
      </c>
      <c r="O1046" s="3">
        <v>0</v>
      </c>
      <c r="P1046" s="3">
        <v>0</v>
      </c>
      <c r="Q1046" s="3">
        <v>0</v>
      </c>
      <c r="R1046" s="3">
        <v>1700</v>
      </c>
      <c r="S1046" s="3">
        <v>0</v>
      </c>
      <c r="T1046" s="3">
        <v>0</v>
      </c>
      <c r="U1046" s="3">
        <v>0</v>
      </c>
      <c r="V1046" s="3">
        <v>2008</v>
      </c>
      <c r="W1046" s="3">
        <v>1085700</v>
      </c>
      <c r="X1046" s="3">
        <v>5127700</v>
      </c>
      <c r="Y1046" s="3">
        <v>4042000</v>
      </c>
      <c r="Z1046" s="3">
        <v>5892000</v>
      </c>
      <c r="AA1046" s="3">
        <v>-764300</v>
      </c>
      <c r="AB1046" s="3">
        <v>-13</v>
      </c>
    </row>
    <row r="1047" spans="1:28" x14ac:dyDescent="0.35">
      <c r="A1047">
        <v>2022</v>
      </c>
      <c r="B1047" t="str">
        <f t="shared" si="136"/>
        <v>55</v>
      </c>
      <c r="C1047" t="s">
        <v>369</v>
      </c>
      <c r="D1047" t="s">
        <v>33</v>
      </c>
      <c r="E1047" t="str">
        <f>"181"</f>
        <v>181</v>
      </c>
      <c r="F1047" t="s">
        <v>373</v>
      </c>
      <c r="G1047" t="str">
        <f>"005"</f>
        <v>005</v>
      </c>
      <c r="H1047" t="str">
        <f>"5432"</f>
        <v>5432</v>
      </c>
      <c r="I1047" s="3">
        <v>545500</v>
      </c>
      <c r="J1047" s="3">
        <v>88.51</v>
      </c>
      <c r="K1047" s="3">
        <v>616300</v>
      </c>
      <c r="L1047" s="3">
        <v>0</v>
      </c>
      <c r="M1047" s="3">
        <v>616300</v>
      </c>
      <c r="N1047" s="3">
        <v>0</v>
      </c>
      <c r="O1047" s="3">
        <v>0</v>
      </c>
      <c r="P1047" s="3">
        <v>0</v>
      </c>
      <c r="Q1047" s="3">
        <v>0</v>
      </c>
      <c r="R1047" s="3">
        <v>200</v>
      </c>
      <c r="S1047" s="3">
        <v>0</v>
      </c>
      <c r="T1047" s="3">
        <v>0</v>
      </c>
      <c r="U1047" s="3">
        <v>0</v>
      </c>
      <c r="V1047" s="3">
        <v>2020</v>
      </c>
      <c r="W1047" s="3">
        <v>801700</v>
      </c>
      <c r="X1047" s="3">
        <v>616500</v>
      </c>
      <c r="Y1047" s="3">
        <v>-185200</v>
      </c>
      <c r="Z1047" s="3">
        <v>329300</v>
      </c>
      <c r="AA1047" s="3">
        <v>287200</v>
      </c>
      <c r="AB1047" s="3">
        <v>87</v>
      </c>
    </row>
    <row r="1048" spans="1:28" x14ac:dyDescent="0.35">
      <c r="A1048">
        <v>2022</v>
      </c>
      <c r="B1048" t="str">
        <f t="shared" si="136"/>
        <v>55</v>
      </c>
      <c r="C1048" t="s">
        <v>369</v>
      </c>
      <c r="D1048" t="s">
        <v>33</v>
      </c>
      <c r="E1048" t="str">
        <f>"192"</f>
        <v>192</v>
      </c>
      <c r="F1048" t="s">
        <v>374</v>
      </c>
      <c r="G1048" t="str">
        <f>"003"</f>
        <v>003</v>
      </c>
      <c r="H1048" t="str">
        <f>"0231"</f>
        <v>0231</v>
      </c>
      <c r="I1048" s="3">
        <v>14392600</v>
      </c>
      <c r="J1048" s="3">
        <v>79.260000000000005</v>
      </c>
      <c r="K1048" s="3">
        <v>18158700</v>
      </c>
      <c r="L1048" s="3">
        <v>0</v>
      </c>
      <c r="M1048" s="3">
        <v>18158700</v>
      </c>
      <c r="N1048" s="3">
        <v>18437800</v>
      </c>
      <c r="O1048" s="3">
        <v>18437800</v>
      </c>
      <c r="P1048" s="3">
        <v>1123400</v>
      </c>
      <c r="Q1048" s="3">
        <v>1123400</v>
      </c>
      <c r="R1048" s="3">
        <v>-34600</v>
      </c>
      <c r="S1048" s="3">
        <v>0</v>
      </c>
      <c r="T1048" s="3">
        <v>0</v>
      </c>
      <c r="U1048" s="3">
        <v>0</v>
      </c>
      <c r="V1048" s="3">
        <v>1995</v>
      </c>
      <c r="W1048" s="3">
        <v>1001000</v>
      </c>
      <c r="X1048" s="3">
        <v>37685300</v>
      </c>
      <c r="Y1048" s="3">
        <v>36684300</v>
      </c>
      <c r="Z1048" s="3">
        <v>24607700</v>
      </c>
      <c r="AA1048" s="3">
        <v>13077600</v>
      </c>
      <c r="AB1048" s="3">
        <v>53</v>
      </c>
    </row>
    <row r="1049" spans="1:28" x14ac:dyDescent="0.35">
      <c r="A1049">
        <v>2022</v>
      </c>
      <c r="B1049" t="str">
        <f t="shared" si="136"/>
        <v>55</v>
      </c>
      <c r="C1049" t="s">
        <v>369</v>
      </c>
      <c r="D1049" t="s">
        <v>33</v>
      </c>
      <c r="E1049" t="str">
        <f>"192"</f>
        <v>192</v>
      </c>
      <c r="F1049" t="s">
        <v>374</v>
      </c>
      <c r="G1049" t="str">
        <f>"004"</f>
        <v>004</v>
      </c>
      <c r="H1049" t="str">
        <f>"0231"</f>
        <v>0231</v>
      </c>
      <c r="I1049" s="3">
        <v>723700</v>
      </c>
      <c r="J1049" s="3">
        <v>79.260000000000005</v>
      </c>
      <c r="K1049" s="3">
        <v>913100</v>
      </c>
      <c r="L1049" s="3">
        <v>0</v>
      </c>
      <c r="M1049" s="3">
        <v>913100</v>
      </c>
      <c r="N1049" s="3">
        <v>0</v>
      </c>
      <c r="O1049" s="3">
        <v>0</v>
      </c>
      <c r="P1049" s="3">
        <v>0</v>
      </c>
      <c r="Q1049" s="3">
        <v>0</v>
      </c>
      <c r="R1049" s="3">
        <v>-2700</v>
      </c>
      <c r="S1049" s="3">
        <v>0</v>
      </c>
      <c r="T1049" s="3">
        <v>0</v>
      </c>
      <c r="U1049" s="3">
        <v>0</v>
      </c>
      <c r="V1049" s="3">
        <v>2005</v>
      </c>
      <c r="W1049" s="3">
        <v>193600</v>
      </c>
      <c r="X1049" s="3">
        <v>910400</v>
      </c>
      <c r="Y1049" s="3">
        <v>716800</v>
      </c>
      <c r="Z1049" s="3">
        <v>886200</v>
      </c>
      <c r="AA1049" s="3">
        <v>24200</v>
      </c>
      <c r="AB1049" s="3">
        <v>3</v>
      </c>
    </row>
    <row r="1050" spans="1:28" x14ac:dyDescent="0.35">
      <c r="A1050">
        <v>2022</v>
      </c>
      <c r="B1050" t="str">
        <f t="shared" si="136"/>
        <v>55</v>
      </c>
      <c r="C1050" t="s">
        <v>369</v>
      </c>
      <c r="D1050" t="s">
        <v>35</v>
      </c>
      <c r="E1050" t="str">
        <f>"236"</f>
        <v>236</v>
      </c>
      <c r="F1050" t="s">
        <v>375</v>
      </c>
      <c r="G1050" t="str">
        <f>"005"</f>
        <v>005</v>
      </c>
      <c r="H1050" t="str">
        <f>"2611"</f>
        <v>2611</v>
      </c>
      <c r="I1050" s="3">
        <v>29349900</v>
      </c>
      <c r="J1050" s="3">
        <v>82.75</v>
      </c>
      <c r="K1050" s="3">
        <v>35468200</v>
      </c>
      <c r="L1050" s="3">
        <v>0</v>
      </c>
      <c r="M1050" s="3">
        <v>35468200</v>
      </c>
      <c r="N1050" s="3">
        <v>39039700</v>
      </c>
      <c r="O1050" s="3">
        <v>39039700</v>
      </c>
      <c r="P1050" s="3">
        <v>2422100</v>
      </c>
      <c r="Q1050" s="3">
        <v>2422100</v>
      </c>
      <c r="R1050" s="3">
        <v>27100</v>
      </c>
      <c r="S1050" s="3">
        <v>0</v>
      </c>
      <c r="T1050" s="3">
        <v>0</v>
      </c>
      <c r="U1050" s="3">
        <v>0</v>
      </c>
      <c r="V1050" s="3">
        <v>2017</v>
      </c>
      <c r="W1050" s="3">
        <v>6322400</v>
      </c>
      <c r="X1050" s="3">
        <v>76957100</v>
      </c>
      <c r="Y1050" s="3">
        <v>70634700</v>
      </c>
      <c r="Z1050" s="3">
        <v>64510300</v>
      </c>
      <c r="AA1050" s="3">
        <v>12446800</v>
      </c>
      <c r="AB1050" s="3">
        <v>19</v>
      </c>
    </row>
    <row r="1051" spans="1:28" x14ac:dyDescent="0.35">
      <c r="A1051">
        <v>2022</v>
      </c>
      <c r="B1051" t="str">
        <f t="shared" si="136"/>
        <v>55</v>
      </c>
      <c r="C1051" t="s">
        <v>369</v>
      </c>
      <c r="D1051" t="s">
        <v>35</v>
      </c>
      <c r="E1051" t="str">
        <f>"236"</f>
        <v>236</v>
      </c>
      <c r="F1051" t="s">
        <v>375</v>
      </c>
      <c r="G1051" t="str">
        <f>"006"</f>
        <v>006</v>
      </c>
      <c r="H1051" t="str">
        <f>"2611"</f>
        <v>2611</v>
      </c>
      <c r="I1051" s="3">
        <v>126887000</v>
      </c>
      <c r="J1051" s="3">
        <v>82.75</v>
      </c>
      <c r="K1051" s="3">
        <v>153337800</v>
      </c>
      <c r="L1051" s="3">
        <v>0</v>
      </c>
      <c r="M1051" s="3">
        <v>153337800</v>
      </c>
      <c r="N1051" s="3">
        <v>0</v>
      </c>
      <c r="O1051" s="3">
        <v>0</v>
      </c>
      <c r="P1051" s="3">
        <v>0</v>
      </c>
      <c r="Q1051" s="3">
        <v>0</v>
      </c>
      <c r="R1051" s="3">
        <v>150200</v>
      </c>
      <c r="S1051" s="3">
        <v>0</v>
      </c>
      <c r="T1051" s="3">
        <v>0</v>
      </c>
      <c r="U1051" s="3">
        <v>0</v>
      </c>
      <c r="V1051" s="3">
        <v>2018</v>
      </c>
      <c r="W1051" s="3">
        <v>97875200</v>
      </c>
      <c r="X1051" s="3">
        <v>153488000</v>
      </c>
      <c r="Y1051" s="3">
        <v>55612800</v>
      </c>
      <c r="Z1051" s="3">
        <v>122974700</v>
      </c>
      <c r="AA1051" s="3">
        <v>30513300</v>
      </c>
      <c r="AB1051" s="3">
        <v>25</v>
      </c>
    </row>
    <row r="1052" spans="1:28" x14ac:dyDescent="0.35">
      <c r="A1052">
        <v>2022</v>
      </c>
      <c r="B1052" t="str">
        <f t="shared" si="136"/>
        <v>55</v>
      </c>
      <c r="C1052" t="s">
        <v>369</v>
      </c>
      <c r="D1052" t="s">
        <v>35</v>
      </c>
      <c r="E1052" t="str">
        <f>"261"</f>
        <v>261</v>
      </c>
      <c r="F1052" t="s">
        <v>376</v>
      </c>
      <c r="G1052" t="str">
        <f>"006"</f>
        <v>006</v>
      </c>
      <c r="H1052" t="str">
        <f>"3962"</f>
        <v>3962</v>
      </c>
      <c r="I1052" s="3">
        <v>17711900</v>
      </c>
      <c r="J1052" s="3">
        <v>100</v>
      </c>
      <c r="K1052" s="3">
        <v>17711900</v>
      </c>
      <c r="L1052" s="3">
        <v>0</v>
      </c>
      <c r="M1052" s="3">
        <v>17711900</v>
      </c>
      <c r="N1052" s="3">
        <v>12313900</v>
      </c>
      <c r="O1052" s="3">
        <v>12313900</v>
      </c>
      <c r="P1052" s="3">
        <v>1059700</v>
      </c>
      <c r="Q1052" s="3">
        <v>1059700</v>
      </c>
      <c r="R1052" s="3">
        <v>-679300</v>
      </c>
      <c r="S1052" s="3">
        <v>0</v>
      </c>
      <c r="T1052" s="3">
        <v>0</v>
      </c>
      <c r="U1052" s="3">
        <v>287600</v>
      </c>
      <c r="V1052" s="3">
        <v>1995</v>
      </c>
      <c r="W1052" s="3">
        <v>228500</v>
      </c>
      <c r="X1052" s="3">
        <v>30693800</v>
      </c>
      <c r="Y1052" s="3">
        <v>30465300</v>
      </c>
      <c r="Z1052" s="3">
        <v>29801000</v>
      </c>
      <c r="AA1052" s="3">
        <v>892800</v>
      </c>
      <c r="AB1052" s="3">
        <v>3</v>
      </c>
    </row>
    <row r="1053" spans="1:28" x14ac:dyDescent="0.35">
      <c r="A1053">
        <v>2022</v>
      </c>
      <c r="B1053" t="str">
        <f t="shared" si="136"/>
        <v>55</v>
      </c>
      <c r="C1053" t="s">
        <v>369</v>
      </c>
      <c r="D1053" t="s">
        <v>35</v>
      </c>
      <c r="E1053" t="str">
        <f>"261"</f>
        <v>261</v>
      </c>
      <c r="F1053" t="s">
        <v>376</v>
      </c>
      <c r="G1053" t="str">
        <f>"007"</f>
        <v>007</v>
      </c>
      <c r="H1053" t="str">
        <f>"3962"</f>
        <v>3962</v>
      </c>
      <c r="I1053" s="3">
        <v>7588700</v>
      </c>
      <c r="J1053" s="3">
        <v>100</v>
      </c>
      <c r="K1053" s="3">
        <v>7588700</v>
      </c>
      <c r="L1053" s="3">
        <v>0</v>
      </c>
      <c r="M1053" s="3">
        <v>7588700</v>
      </c>
      <c r="N1053" s="3">
        <v>0</v>
      </c>
      <c r="O1053" s="3">
        <v>0</v>
      </c>
      <c r="P1053" s="3">
        <v>0</v>
      </c>
      <c r="Q1053" s="3">
        <v>0</v>
      </c>
      <c r="R1053" s="3">
        <v>1161800</v>
      </c>
      <c r="S1053" s="3">
        <v>0</v>
      </c>
      <c r="T1053" s="3">
        <v>0</v>
      </c>
      <c r="U1053" s="3">
        <v>0</v>
      </c>
      <c r="V1053" s="3">
        <v>2003</v>
      </c>
      <c r="W1053" s="3">
        <v>2557800</v>
      </c>
      <c r="X1053" s="3">
        <v>8750500</v>
      </c>
      <c r="Y1053" s="3">
        <v>6192700</v>
      </c>
      <c r="Z1053" s="3">
        <v>6880000</v>
      </c>
      <c r="AA1053" s="3">
        <v>1870500</v>
      </c>
      <c r="AB1053" s="3">
        <v>27</v>
      </c>
    </row>
    <row r="1054" spans="1:28" x14ac:dyDescent="0.35">
      <c r="A1054">
        <v>2022</v>
      </c>
      <c r="B1054" t="str">
        <f t="shared" si="136"/>
        <v>55</v>
      </c>
      <c r="C1054" t="s">
        <v>369</v>
      </c>
      <c r="D1054" t="s">
        <v>35</v>
      </c>
      <c r="E1054" t="str">
        <f>"261"</f>
        <v>261</v>
      </c>
      <c r="F1054" t="s">
        <v>376</v>
      </c>
      <c r="G1054" t="str">
        <f>"008"</f>
        <v>008</v>
      </c>
      <c r="H1054" t="str">
        <f>"3962"</f>
        <v>3962</v>
      </c>
      <c r="I1054" s="3">
        <v>41243300</v>
      </c>
      <c r="J1054" s="3">
        <v>100</v>
      </c>
      <c r="K1054" s="3">
        <v>41243300</v>
      </c>
      <c r="L1054" s="3">
        <v>0</v>
      </c>
      <c r="M1054" s="3">
        <v>41243300</v>
      </c>
      <c r="N1054" s="3">
        <v>461500</v>
      </c>
      <c r="O1054" s="3">
        <v>461500</v>
      </c>
      <c r="P1054" s="3">
        <v>11500</v>
      </c>
      <c r="Q1054" s="3">
        <v>11500</v>
      </c>
      <c r="R1054" s="3">
        <v>735000</v>
      </c>
      <c r="S1054" s="3">
        <v>0</v>
      </c>
      <c r="T1054" s="3">
        <v>0</v>
      </c>
      <c r="U1054" s="3">
        <v>0</v>
      </c>
      <c r="V1054" s="3">
        <v>2005</v>
      </c>
      <c r="W1054" s="3">
        <v>15731300</v>
      </c>
      <c r="X1054" s="3">
        <v>42451300</v>
      </c>
      <c r="Y1054" s="3">
        <v>26720000</v>
      </c>
      <c r="Z1054" s="3">
        <v>33092100</v>
      </c>
      <c r="AA1054" s="3">
        <v>9359200</v>
      </c>
      <c r="AB1054" s="3">
        <v>28</v>
      </c>
    </row>
    <row r="1055" spans="1:28" x14ac:dyDescent="0.35">
      <c r="A1055">
        <v>2022</v>
      </c>
      <c r="B1055" t="str">
        <f t="shared" si="136"/>
        <v>55</v>
      </c>
      <c r="C1055" t="s">
        <v>369</v>
      </c>
      <c r="D1055" t="s">
        <v>35</v>
      </c>
      <c r="E1055" t="str">
        <f>"261"</f>
        <v>261</v>
      </c>
      <c r="F1055" t="s">
        <v>376</v>
      </c>
      <c r="G1055" t="str">
        <f>"009"</f>
        <v>009</v>
      </c>
      <c r="H1055" t="str">
        <f>"3962"</f>
        <v>3962</v>
      </c>
      <c r="I1055" s="3">
        <v>11667800</v>
      </c>
      <c r="J1055" s="3">
        <v>100</v>
      </c>
      <c r="K1055" s="3">
        <v>11667800</v>
      </c>
      <c r="L1055" s="3">
        <v>0</v>
      </c>
      <c r="M1055" s="3">
        <v>11667800</v>
      </c>
      <c r="N1055" s="3">
        <v>0</v>
      </c>
      <c r="O1055" s="3">
        <v>0</v>
      </c>
      <c r="P1055" s="3">
        <v>0</v>
      </c>
      <c r="Q1055" s="3">
        <v>0</v>
      </c>
      <c r="R1055" s="3">
        <v>-235700</v>
      </c>
      <c r="S1055" s="3">
        <v>0</v>
      </c>
      <c r="T1055" s="3">
        <v>0</v>
      </c>
      <c r="U1055" s="3">
        <v>0</v>
      </c>
      <c r="V1055" s="3">
        <v>2008</v>
      </c>
      <c r="W1055" s="3">
        <v>7749100</v>
      </c>
      <c r="X1055" s="3">
        <v>11432100</v>
      </c>
      <c r="Y1055" s="3">
        <v>3683000</v>
      </c>
      <c r="Z1055" s="3">
        <v>8140200</v>
      </c>
      <c r="AA1055" s="3">
        <v>3291900</v>
      </c>
      <c r="AB1055" s="3">
        <v>40</v>
      </c>
    </row>
    <row r="1056" spans="1:28" x14ac:dyDescent="0.35">
      <c r="A1056">
        <v>2022</v>
      </c>
      <c r="B1056" t="str">
        <f t="shared" si="136"/>
        <v>55</v>
      </c>
      <c r="C1056" t="s">
        <v>369</v>
      </c>
      <c r="D1056" t="s">
        <v>35</v>
      </c>
      <c r="E1056" t="str">
        <f>"261"</f>
        <v>261</v>
      </c>
      <c r="F1056" t="s">
        <v>376</v>
      </c>
      <c r="G1056" t="str">
        <f>"010"</f>
        <v>010</v>
      </c>
      <c r="H1056" t="str">
        <f>"3962"</f>
        <v>3962</v>
      </c>
      <c r="I1056" s="3">
        <v>3200</v>
      </c>
      <c r="J1056" s="3">
        <v>100</v>
      </c>
      <c r="K1056" s="3">
        <v>3200</v>
      </c>
      <c r="L1056" s="3">
        <v>0</v>
      </c>
      <c r="M1056" s="3">
        <v>3200</v>
      </c>
      <c r="N1056" s="3">
        <v>10746600</v>
      </c>
      <c r="O1056" s="3">
        <v>10746600</v>
      </c>
      <c r="P1056" s="3">
        <v>771700</v>
      </c>
      <c r="Q1056" s="3">
        <v>771700</v>
      </c>
      <c r="R1056" s="3">
        <v>-313700</v>
      </c>
      <c r="S1056" s="3">
        <v>0</v>
      </c>
      <c r="T1056" s="3">
        <v>0</v>
      </c>
      <c r="U1056" s="3">
        <v>0</v>
      </c>
      <c r="V1056" s="3">
        <v>2014</v>
      </c>
      <c r="W1056" s="3">
        <v>3853800</v>
      </c>
      <c r="X1056" s="3">
        <v>11207800</v>
      </c>
      <c r="Y1056" s="3">
        <v>7354000</v>
      </c>
      <c r="Z1056" s="3">
        <v>9790800</v>
      </c>
      <c r="AA1056" s="3">
        <v>1417000</v>
      </c>
      <c r="AB1056" s="3">
        <v>14</v>
      </c>
    </row>
    <row r="1057" spans="1:28" x14ac:dyDescent="0.35">
      <c r="A1057">
        <v>2022</v>
      </c>
      <c r="B1057" t="str">
        <f t="shared" si="136"/>
        <v>55</v>
      </c>
      <c r="C1057" t="s">
        <v>369</v>
      </c>
      <c r="D1057" t="s">
        <v>35</v>
      </c>
      <c r="E1057" t="str">
        <f t="shared" ref="E1057:E1063" si="137">"276"</f>
        <v>276</v>
      </c>
      <c r="F1057" t="s">
        <v>326</v>
      </c>
      <c r="G1057" t="str">
        <f>"005"</f>
        <v>005</v>
      </c>
      <c r="H1057" t="str">
        <f t="shared" ref="H1057:H1063" si="138">"4893"</f>
        <v>4893</v>
      </c>
      <c r="I1057" s="3">
        <v>8513300</v>
      </c>
      <c r="J1057" s="3">
        <v>91.74</v>
      </c>
      <c r="K1057" s="3">
        <v>9279800</v>
      </c>
      <c r="L1057" s="3">
        <v>0</v>
      </c>
      <c r="M1057" s="3">
        <v>9279800</v>
      </c>
      <c r="N1057" s="3">
        <v>12815700</v>
      </c>
      <c r="O1057" s="3">
        <v>12815700</v>
      </c>
      <c r="P1057" s="3">
        <v>490400</v>
      </c>
      <c r="Q1057" s="3">
        <v>490400</v>
      </c>
      <c r="R1057" s="3">
        <v>1530000</v>
      </c>
      <c r="S1057" s="3">
        <v>0</v>
      </c>
      <c r="T1057" s="3">
        <v>0</v>
      </c>
      <c r="U1057" s="3">
        <v>6703500</v>
      </c>
      <c r="V1057" s="3">
        <v>1994</v>
      </c>
      <c r="W1057" s="3">
        <v>467400</v>
      </c>
      <c r="X1057" s="3">
        <v>30819400</v>
      </c>
      <c r="Y1057" s="3">
        <v>30352000</v>
      </c>
      <c r="Z1057" s="3">
        <v>27114100</v>
      </c>
      <c r="AA1057" s="3">
        <v>3705300</v>
      </c>
      <c r="AB1057" s="3">
        <v>14</v>
      </c>
    </row>
    <row r="1058" spans="1:28" x14ac:dyDescent="0.35">
      <c r="A1058">
        <v>2022</v>
      </c>
      <c r="B1058" t="str">
        <f t="shared" si="136"/>
        <v>55</v>
      </c>
      <c r="C1058" t="s">
        <v>369</v>
      </c>
      <c r="D1058" t="s">
        <v>35</v>
      </c>
      <c r="E1058" t="str">
        <f t="shared" si="137"/>
        <v>276</v>
      </c>
      <c r="F1058" t="s">
        <v>326</v>
      </c>
      <c r="G1058" t="str">
        <f>"010"</f>
        <v>010</v>
      </c>
      <c r="H1058" t="str">
        <f t="shared" si="138"/>
        <v>4893</v>
      </c>
      <c r="I1058" s="3">
        <v>31286300</v>
      </c>
      <c r="J1058" s="3">
        <v>91.74</v>
      </c>
      <c r="K1058" s="3">
        <v>34103200</v>
      </c>
      <c r="L1058" s="3">
        <v>0</v>
      </c>
      <c r="M1058" s="3">
        <v>34103200</v>
      </c>
      <c r="N1058" s="3">
        <v>0</v>
      </c>
      <c r="O1058" s="3">
        <v>0</v>
      </c>
      <c r="P1058" s="3">
        <v>18700</v>
      </c>
      <c r="Q1058" s="3">
        <v>18700</v>
      </c>
      <c r="R1058" s="3">
        <v>-1663200</v>
      </c>
      <c r="S1058" s="3">
        <v>0</v>
      </c>
      <c r="T1058" s="3">
        <v>0</v>
      </c>
      <c r="U1058" s="3">
        <v>0</v>
      </c>
      <c r="V1058" s="3">
        <v>2014</v>
      </c>
      <c r="W1058" s="3">
        <v>133300</v>
      </c>
      <c r="X1058" s="3">
        <v>32458700</v>
      </c>
      <c r="Y1058" s="3">
        <v>32325400</v>
      </c>
      <c r="Z1058" s="3">
        <v>38998600</v>
      </c>
      <c r="AA1058" s="3">
        <v>-6539900</v>
      </c>
      <c r="AB1058" s="3">
        <v>-17</v>
      </c>
    </row>
    <row r="1059" spans="1:28" x14ac:dyDescent="0.35">
      <c r="A1059">
        <v>2022</v>
      </c>
      <c r="B1059" t="str">
        <f t="shared" si="136"/>
        <v>55</v>
      </c>
      <c r="C1059" t="s">
        <v>369</v>
      </c>
      <c r="D1059" t="s">
        <v>35</v>
      </c>
      <c r="E1059" t="str">
        <f t="shared" si="137"/>
        <v>276</v>
      </c>
      <c r="F1059" t="s">
        <v>326</v>
      </c>
      <c r="G1059" t="str">
        <f>"011"</f>
        <v>011</v>
      </c>
      <c r="H1059" t="str">
        <f t="shared" si="138"/>
        <v>4893</v>
      </c>
      <c r="I1059" s="3">
        <v>6750600</v>
      </c>
      <c r="J1059" s="3">
        <v>91.74</v>
      </c>
      <c r="K1059" s="3">
        <v>7358400</v>
      </c>
      <c r="L1059" s="3">
        <v>0</v>
      </c>
      <c r="M1059" s="3">
        <v>7358400</v>
      </c>
      <c r="N1059" s="3">
        <v>1368200</v>
      </c>
      <c r="O1059" s="3">
        <v>1368200</v>
      </c>
      <c r="P1059" s="3">
        <v>47600</v>
      </c>
      <c r="Q1059" s="3">
        <v>47600</v>
      </c>
      <c r="R1059" s="3">
        <v>-173100</v>
      </c>
      <c r="S1059" s="3">
        <v>0</v>
      </c>
      <c r="T1059" s="3">
        <v>0</v>
      </c>
      <c r="U1059" s="3">
        <v>0</v>
      </c>
      <c r="V1059" s="3">
        <v>2016</v>
      </c>
      <c r="W1059" s="3">
        <v>7860500</v>
      </c>
      <c r="X1059" s="3">
        <v>8601100</v>
      </c>
      <c r="Y1059" s="3">
        <v>740600</v>
      </c>
      <c r="Z1059" s="3">
        <v>8238400</v>
      </c>
      <c r="AA1059" s="3">
        <v>362700</v>
      </c>
      <c r="AB1059" s="3">
        <v>4</v>
      </c>
    </row>
    <row r="1060" spans="1:28" x14ac:dyDescent="0.35">
      <c r="A1060">
        <v>2022</v>
      </c>
      <c r="B1060" t="str">
        <f t="shared" si="136"/>
        <v>55</v>
      </c>
      <c r="C1060" t="s">
        <v>369</v>
      </c>
      <c r="D1060" t="s">
        <v>35</v>
      </c>
      <c r="E1060" t="str">
        <f t="shared" si="137"/>
        <v>276</v>
      </c>
      <c r="F1060" t="s">
        <v>326</v>
      </c>
      <c r="G1060" t="str">
        <f>"012"</f>
        <v>012</v>
      </c>
      <c r="H1060" t="str">
        <f t="shared" si="138"/>
        <v>4893</v>
      </c>
      <c r="I1060" s="3">
        <v>1810800</v>
      </c>
      <c r="J1060" s="3">
        <v>91.74</v>
      </c>
      <c r="K1060" s="3">
        <v>1973800</v>
      </c>
      <c r="L1060" s="3">
        <v>0</v>
      </c>
      <c r="M1060" s="3">
        <v>1973800</v>
      </c>
      <c r="N1060" s="3">
        <v>0</v>
      </c>
      <c r="O1060" s="3">
        <v>0</v>
      </c>
      <c r="P1060" s="3">
        <v>0</v>
      </c>
      <c r="Q1060" s="3">
        <v>0</v>
      </c>
      <c r="R1060" s="3">
        <v>-377700</v>
      </c>
      <c r="S1060" s="3">
        <v>0</v>
      </c>
      <c r="T1060" s="3">
        <v>0</v>
      </c>
      <c r="U1060" s="3">
        <v>0</v>
      </c>
      <c r="V1060" s="3">
        <v>2016</v>
      </c>
      <c r="W1060" s="3">
        <v>0</v>
      </c>
      <c r="X1060" s="3">
        <v>1596100</v>
      </c>
      <c r="Y1060" s="3">
        <v>1596100</v>
      </c>
      <c r="Z1060" s="3">
        <v>2189100</v>
      </c>
      <c r="AA1060" s="3">
        <v>-593000</v>
      </c>
      <c r="AB1060" s="3">
        <v>-27</v>
      </c>
    </row>
    <row r="1061" spans="1:28" x14ac:dyDescent="0.35">
      <c r="A1061">
        <v>2022</v>
      </c>
      <c r="B1061" t="str">
        <f t="shared" si="136"/>
        <v>55</v>
      </c>
      <c r="C1061" t="s">
        <v>369</v>
      </c>
      <c r="D1061" t="s">
        <v>35</v>
      </c>
      <c r="E1061" t="str">
        <f t="shared" si="137"/>
        <v>276</v>
      </c>
      <c r="F1061" t="s">
        <v>326</v>
      </c>
      <c r="G1061" t="str">
        <f>"013"</f>
        <v>013</v>
      </c>
      <c r="H1061" t="str">
        <f t="shared" si="138"/>
        <v>4893</v>
      </c>
      <c r="I1061" s="3">
        <v>2757800</v>
      </c>
      <c r="J1061" s="3">
        <v>91.74</v>
      </c>
      <c r="K1061" s="3">
        <v>3006100</v>
      </c>
      <c r="L1061" s="3">
        <v>0</v>
      </c>
      <c r="M1061" s="3">
        <v>3006100</v>
      </c>
      <c r="N1061" s="3">
        <v>10002400</v>
      </c>
      <c r="O1061" s="3">
        <v>10002400</v>
      </c>
      <c r="P1061" s="3">
        <v>997300</v>
      </c>
      <c r="Q1061" s="3">
        <v>997300</v>
      </c>
      <c r="R1061" s="3">
        <v>-563800</v>
      </c>
      <c r="S1061" s="3">
        <v>0</v>
      </c>
      <c r="T1061" s="3">
        <v>0</v>
      </c>
      <c r="U1061" s="3">
        <v>0</v>
      </c>
      <c r="V1061" s="3">
        <v>2018</v>
      </c>
      <c r="W1061" s="3">
        <v>6703500</v>
      </c>
      <c r="X1061" s="3">
        <v>13442000</v>
      </c>
      <c r="Y1061" s="3">
        <v>6738500</v>
      </c>
      <c r="Z1061" s="3">
        <v>10585400</v>
      </c>
      <c r="AA1061" s="3">
        <v>2856600</v>
      </c>
      <c r="AB1061" s="3">
        <v>27</v>
      </c>
    </row>
    <row r="1062" spans="1:28" x14ac:dyDescent="0.35">
      <c r="A1062">
        <v>2022</v>
      </c>
      <c r="B1062" t="str">
        <f t="shared" si="136"/>
        <v>55</v>
      </c>
      <c r="C1062" t="s">
        <v>369</v>
      </c>
      <c r="D1062" t="s">
        <v>35</v>
      </c>
      <c r="E1062" t="str">
        <f t="shared" si="137"/>
        <v>276</v>
      </c>
      <c r="F1062" t="s">
        <v>326</v>
      </c>
      <c r="G1062" t="str">
        <f>"016"</f>
        <v>016</v>
      </c>
      <c r="H1062" t="str">
        <f t="shared" si="138"/>
        <v>4893</v>
      </c>
      <c r="I1062" s="3">
        <v>9706700</v>
      </c>
      <c r="J1062" s="3">
        <v>91.74</v>
      </c>
      <c r="K1062" s="3">
        <v>10580700</v>
      </c>
      <c r="L1062" s="3">
        <v>0</v>
      </c>
      <c r="M1062" s="3">
        <v>10580700</v>
      </c>
      <c r="N1062" s="3">
        <v>0</v>
      </c>
      <c r="O1062" s="3">
        <v>0</v>
      </c>
      <c r="P1062" s="3">
        <v>0</v>
      </c>
      <c r="Q1062" s="3">
        <v>0</v>
      </c>
      <c r="R1062" s="3">
        <v>307300</v>
      </c>
      <c r="S1062" s="3">
        <v>0</v>
      </c>
      <c r="T1062" s="3">
        <v>0</v>
      </c>
      <c r="U1062" s="3">
        <v>0</v>
      </c>
      <c r="V1062" s="3">
        <v>2020</v>
      </c>
      <c r="W1062" s="3">
        <v>3600</v>
      </c>
      <c r="X1062" s="3">
        <v>10888000</v>
      </c>
      <c r="Y1062" s="3">
        <v>10884400</v>
      </c>
      <c r="Z1062" s="3">
        <v>2800</v>
      </c>
      <c r="AA1062" s="3">
        <v>10885200</v>
      </c>
      <c r="AB1062" s="3">
        <v>388757</v>
      </c>
    </row>
    <row r="1063" spans="1:28" x14ac:dyDescent="0.35">
      <c r="A1063">
        <v>2022</v>
      </c>
      <c r="B1063" t="str">
        <f t="shared" si="136"/>
        <v>55</v>
      </c>
      <c r="C1063" t="s">
        <v>369</v>
      </c>
      <c r="D1063" t="s">
        <v>35</v>
      </c>
      <c r="E1063" t="str">
        <f t="shared" si="137"/>
        <v>276</v>
      </c>
      <c r="F1063" t="s">
        <v>326</v>
      </c>
      <c r="G1063" t="str">
        <f>"017"</f>
        <v>017</v>
      </c>
      <c r="H1063" t="str">
        <f t="shared" si="138"/>
        <v>4893</v>
      </c>
      <c r="I1063" s="3">
        <v>7471900</v>
      </c>
      <c r="J1063" s="3">
        <v>91.74</v>
      </c>
      <c r="K1063" s="3">
        <v>8144600</v>
      </c>
      <c r="L1063" s="3">
        <v>0</v>
      </c>
      <c r="M1063" s="3">
        <v>8144600</v>
      </c>
      <c r="N1063" s="3">
        <v>0</v>
      </c>
      <c r="O1063" s="3">
        <v>0</v>
      </c>
      <c r="P1063" s="3">
        <v>0</v>
      </c>
      <c r="Q1063" s="3">
        <v>0</v>
      </c>
      <c r="R1063" s="3">
        <v>0</v>
      </c>
      <c r="S1063" s="3">
        <v>0</v>
      </c>
      <c r="T1063" s="3">
        <v>0</v>
      </c>
      <c r="U1063" s="3">
        <v>0</v>
      </c>
      <c r="V1063" s="3">
        <v>2021</v>
      </c>
      <c r="W1063" s="3">
        <v>2499000</v>
      </c>
      <c r="X1063" s="3">
        <v>8144600</v>
      </c>
      <c r="Y1063" s="3">
        <v>5645600</v>
      </c>
      <c r="Z1063" s="3">
        <v>2499000</v>
      </c>
      <c r="AA1063" s="3">
        <v>5645600</v>
      </c>
      <c r="AB1063" s="3">
        <v>226</v>
      </c>
    </row>
    <row r="1064" spans="1:28" x14ac:dyDescent="0.35">
      <c r="A1064">
        <v>2022</v>
      </c>
      <c r="B1064" t="str">
        <f t="shared" ref="B1064:B1092" si="139">"56"</f>
        <v>56</v>
      </c>
      <c r="C1064" t="s">
        <v>377</v>
      </c>
      <c r="D1064" t="s">
        <v>33</v>
      </c>
      <c r="E1064" t="str">
        <f>"146"</f>
        <v>146</v>
      </c>
      <c r="F1064" t="s">
        <v>378</v>
      </c>
      <c r="G1064" t="str">
        <f>"002"</f>
        <v>002</v>
      </c>
      <c r="H1064" t="str">
        <f>"6678"</f>
        <v>6678</v>
      </c>
      <c r="I1064" s="3">
        <v>93894600</v>
      </c>
      <c r="J1064" s="3">
        <v>79.97</v>
      </c>
      <c r="K1064" s="3">
        <v>117412300</v>
      </c>
      <c r="L1064" s="3">
        <v>0</v>
      </c>
      <c r="M1064" s="3">
        <v>117412300</v>
      </c>
      <c r="N1064" s="3">
        <v>0</v>
      </c>
      <c r="O1064" s="3">
        <v>0</v>
      </c>
      <c r="P1064" s="3">
        <v>0</v>
      </c>
      <c r="Q1064" s="3">
        <v>0</v>
      </c>
      <c r="R1064" s="3">
        <v>767600</v>
      </c>
      <c r="S1064" s="3">
        <v>0</v>
      </c>
      <c r="T1064" s="3">
        <v>0</v>
      </c>
      <c r="U1064" s="3">
        <v>0</v>
      </c>
      <c r="V1064" s="3">
        <v>2000</v>
      </c>
      <c r="W1064" s="3">
        <v>36368600</v>
      </c>
      <c r="X1064" s="3">
        <v>118179900</v>
      </c>
      <c r="Y1064" s="3">
        <v>81811300</v>
      </c>
      <c r="Z1064" s="3">
        <v>102849600</v>
      </c>
      <c r="AA1064" s="3">
        <v>15330300</v>
      </c>
      <c r="AB1064" s="3">
        <v>15</v>
      </c>
    </row>
    <row r="1065" spans="1:28" x14ac:dyDescent="0.35">
      <c r="A1065">
        <v>2022</v>
      </c>
      <c r="B1065" t="str">
        <f t="shared" si="139"/>
        <v>56</v>
      </c>
      <c r="C1065" t="s">
        <v>377</v>
      </c>
      <c r="D1065" t="s">
        <v>33</v>
      </c>
      <c r="E1065" t="str">
        <f>"146"</f>
        <v>146</v>
      </c>
      <c r="F1065" t="s">
        <v>378</v>
      </c>
      <c r="G1065" t="str">
        <f>"003"</f>
        <v>003</v>
      </c>
      <c r="H1065" t="str">
        <f>"6678"</f>
        <v>6678</v>
      </c>
      <c r="I1065" s="3">
        <v>347644400</v>
      </c>
      <c r="J1065" s="3">
        <v>79.97</v>
      </c>
      <c r="K1065" s="3">
        <v>434718500</v>
      </c>
      <c r="L1065" s="3">
        <v>0</v>
      </c>
      <c r="M1065" s="3">
        <v>434718500</v>
      </c>
      <c r="N1065" s="3">
        <v>0</v>
      </c>
      <c r="O1065" s="3">
        <v>0</v>
      </c>
      <c r="P1065" s="3">
        <v>0</v>
      </c>
      <c r="Q1065" s="3">
        <v>0</v>
      </c>
      <c r="R1065" s="3">
        <v>2655300</v>
      </c>
      <c r="S1065" s="3">
        <v>0</v>
      </c>
      <c r="T1065" s="3">
        <v>0</v>
      </c>
      <c r="U1065" s="3">
        <v>0</v>
      </c>
      <c r="V1065" s="3">
        <v>2005</v>
      </c>
      <c r="W1065" s="3">
        <v>43963700</v>
      </c>
      <c r="X1065" s="3">
        <v>437373800</v>
      </c>
      <c r="Y1065" s="3">
        <v>393410100</v>
      </c>
      <c r="Z1065" s="3">
        <v>388867100</v>
      </c>
      <c r="AA1065" s="3">
        <v>48506700</v>
      </c>
      <c r="AB1065" s="3">
        <v>12</v>
      </c>
    </row>
    <row r="1066" spans="1:28" x14ac:dyDescent="0.35">
      <c r="A1066">
        <v>2022</v>
      </c>
      <c r="B1066" t="str">
        <f t="shared" si="139"/>
        <v>56</v>
      </c>
      <c r="C1066" t="s">
        <v>377</v>
      </c>
      <c r="D1066" t="s">
        <v>33</v>
      </c>
      <c r="E1066" t="str">
        <f>"146"</f>
        <v>146</v>
      </c>
      <c r="F1066" t="s">
        <v>378</v>
      </c>
      <c r="G1066" t="str">
        <f>"004"</f>
        <v>004</v>
      </c>
      <c r="H1066" t="str">
        <f>"6678"</f>
        <v>6678</v>
      </c>
      <c r="I1066" s="3">
        <v>43420700</v>
      </c>
      <c r="J1066" s="3">
        <v>79.97</v>
      </c>
      <c r="K1066" s="3">
        <v>54296200</v>
      </c>
      <c r="L1066" s="3">
        <v>0</v>
      </c>
      <c r="M1066" s="3">
        <v>54296200</v>
      </c>
      <c r="N1066" s="3">
        <v>0</v>
      </c>
      <c r="O1066" s="3">
        <v>0</v>
      </c>
      <c r="P1066" s="3">
        <v>0</v>
      </c>
      <c r="Q1066" s="3">
        <v>0</v>
      </c>
      <c r="R1066" s="3">
        <v>-1823900</v>
      </c>
      <c r="S1066" s="3">
        <v>0</v>
      </c>
      <c r="T1066" s="3">
        <v>0</v>
      </c>
      <c r="U1066" s="3">
        <v>0</v>
      </c>
      <c r="V1066" s="3">
        <v>2007</v>
      </c>
      <c r="W1066" s="3">
        <v>31741000</v>
      </c>
      <c r="X1066" s="3">
        <v>52472300</v>
      </c>
      <c r="Y1066" s="3">
        <v>20731300</v>
      </c>
      <c r="Z1066" s="3">
        <v>46866900</v>
      </c>
      <c r="AA1066" s="3">
        <v>5605400</v>
      </c>
      <c r="AB1066" s="3">
        <v>12</v>
      </c>
    </row>
    <row r="1067" spans="1:28" x14ac:dyDescent="0.35">
      <c r="A1067">
        <v>2022</v>
      </c>
      <c r="B1067" t="str">
        <f t="shared" si="139"/>
        <v>56</v>
      </c>
      <c r="C1067" t="s">
        <v>377</v>
      </c>
      <c r="D1067" t="s">
        <v>33</v>
      </c>
      <c r="E1067" t="str">
        <f>"149"</f>
        <v>149</v>
      </c>
      <c r="F1067" t="s">
        <v>379</v>
      </c>
      <c r="G1067" t="str">
        <f>"002"</f>
        <v>002</v>
      </c>
      <c r="H1067" t="str">
        <f>"4753"</f>
        <v>4753</v>
      </c>
      <c r="I1067" s="3">
        <v>1894400</v>
      </c>
      <c r="J1067" s="3">
        <v>75.69</v>
      </c>
      <c r="K1067" s="3">
        <v>2502800</v>
      </c>
      <c r="L1067" s="3">
        <v>0</v>
      </c>
      <c r="M1067" s="3">
        <v>2502800</v>
      </c>
      <c r="N1067" s="3">
        <v>0</v>
      </c>
      <c r="O1067" s="3">
        <v>0</v>
      </c>
      <c r="P1067" s="3">
        <v>0</v>
      </c>
      <c r="Q1067" s="3">
        <v>0</v>
      </c>
      <c r="R1067" s="3">
        <v>22100</v>
      </c>
      <c r="S1067" s="3">
        <v>0</v>
      </c>
      <c r="T1067" s="3">
        <v>0</v>
      </c>
      <c r="U1067" s="3">
        <v>0</v>
      </c>
      <c r="V1067" s="3">
        <v>2018</v>
      </c>
      <c r="W1067" s="3">
        <v>1739100</v>
      </c>
      <c r="X1067" s="3">
        <v>2524900</v>
      </c>
      <c r="Y1067" s="3">
        <v>785800</v>
      </c>
      <c r="Z1067" s="3">
        <v>2179500</v>
      </c>
      <c r="AA1067" s="3">
        <v>345400</v>
      </c>
      <c r="AB1067" s="3">
        <v>16</v>
      </c>
    </row>
    <row r="1068" spans="1:28" x14ac:dyDescent="0.35">
      <c r="A1068">
        <v>2022</v>
      </c>
      <c r="B1068" t="str">
        <f t="shared" si="139"/>
        <v>56</v>
      </c>
      <c r="C1068" t="s">
        <v>377</v>
      </c>
      <c r="D1068" t="s">
        <v>33</v>
      </c>
      <c r="E1068" t="str">
        <f>"161"</f>
        <v>161</v>
      </c>
      <c r="F1068" t="s">
        <v>380</v>
      </c>
      <c r="G1068" t="str">
        <f>"001"</f>
        <v>001</v>
      </c>
      <c r="H1068" t="str">
        <f>"0280"</f>
        <v>0280</v>
      </c>
      <c r="I1068" s="3">
        <v>6070500</v>
      </c>
      <c r="J1068" s="3">
        <v>87.56</v>
      </c>
      <c r="K1068" s="3">
        <v>6933000</v>
      </c>
      <c r="L1068" s="3">
        <v>0</v>
      </c>
      <c r="M1068" s="3">
        <v>6933000</v>
      </c>
      <c r="N1068" s="3">
        <v>0</v>
      </c>
      <c r="O1068" s="3">
        <v>0</v>
      </c>
      <c r="P1068" s="3">
        <v>0</v>
      </c>
      <c r="Q1068" s="3">
        <v>0</v>
      </c>
      <c r="R1068" s="3">
        <v>67900</v>
      </c>
      <c r="S1068" s="3">
        <v>0</v>
      </c>
      <c r="T1068" s="3">
        <v>0</v>
      </c>
      <c r="U1068" s="3">
        <v>0</v>
      </c>
      <c r="V1068" s="3">
        <v>1997</v>
      </c>
      <c r="W1068" s="3">
        <v>3027800</v>
      </c>
      <c r="X1068" s="3">
        <v>7000900</v>
      </c>
      <c r="Y1068" s="3">
        <v>3973100</v>
      </c>
      <c r="Z1068" s="3">
        <v>5947500</v>
      </c>
      <c r="AA1068" s="3">
        <v>1053400</v>
      </c>
      <c r="AB1068" s="3">
        <v>18</v>
      </c>
    </row>
    <row r="1069" spans="1:28" x14ac:dyDescent="0.35">
      <c r="A1069">
        <v>2022</v>
      </c>
      <c r="B1069" t="str">
        <f t="shared" si="139"/>
        <v>56</v>
      </c>
      <c r="C1069" t="s">
        <v>377</v>
      </c>
      <c r="D1069" t="s">
        <v>33</v>
      </c>
      <c r="E1069" t="str">
        <f>"171"</f>
        <v>171</v>
      </c>
      <c r="F1069" t="s">
        <v>381</v>
      </c>
      <c r="G1069" t="str">
        <f>"002"</f>
        <v>002</v>
      </c>
      <c r="H1069" t="str">
        <f>"5523"</f>
        <v>5523</v>
      </c>
      <c r="I1069" s="3">
        <v>3372000</v>
      </c>
      <c r="J1069" s="3">
        <v>74.2</v>
      </c>
      <c r="K1069" s="3">
        <v>4544500</v>
      </c>
      <c r="L1069" s="3">
        <v>0</v>
      </c>
      <c r="M1069" s="3">
        <v>4544500</v>
      </c>
      <c r="N1069" s="3">
        <v>0</v>
      </c>
      <c r="O1069" s="3">
        <v>0</v>
      </c>
      <c r="P1069" s="3">
        <v>0</v>
      </c>
      <c r="Q1069" s="3">
        <v>0</v>
      </c>
      <c r="R1069" s="3">
        <v>-7600</v>
      </c>
      <c r="S1069" s="3">
        <v>0</v>
      </c>
      <c r="T1069" s="3">
        <v>0</v>
      </c>
      <c r="U1069" s="3">
        <v>0</v>
      </c>
      <c r="V1069" s="3">
        <v>2006</v>
      </c>
      <c r="W1069" s="3">
        <v>169500</v>
      </c>
      <c r="X1069" s="3">
        <v>4536900</v>
      </c>
      <c r="Y1069" s="3">
        <v>4367400</v>
      </c>
      <c r="Z1069" s="3">
        <v>3886000</v>
      </c>
      <c r="AA1069" s="3">
        <v>650900</v>
      </c>
      <c r="AB1069" s="3">
        <v>17</v>
      </c>
    </row>
    <row r="1070" spans="1:28" x14ac:dyDescent="0.35">
      <c r="A1070">
        <v>2022</v>
      </c>
      <c r="B1070" t="str">
        <f t="shared" si="139"/>
        <v>56</v>
      </c>
      <c r="C1070" t="s">
        <v>377</v>
      </c>
      <c r="D1070" t="s">
        <v>33</v>
      </c>
      <c r="E1070" t="str">
        <f>"172"</f>
        <v>172</v>
      </c>
      <c r="F1070" t="s">
        <v>382</v>
      </c>
      <c r="G1070" t="str">
        <f>"005"</f>
        <v>005</v>
      </c>
      <c r="H1070" t="str">
        <f>"5100"</f>
        <v>5100</v>
      </c>
      <c r="I1070" s="3">
        <v>2931500</v>
      </c>
      <c r="J1070" s="3">
        <v>72.63</v>
      </c>
      <c r="K1070" s="3">
        <v>4036200</v>
      </c>
      <c r="L1070" s="3">
        <v>0</v>
      </c>
      <c r="M1070" s="3">
        <v>4036200</v>
      </c>
      <c r="N1070" s="3">
        <v>0</v>
      </c>
      <c r="O1070" s="3">
        <v>0</v>
      </c>
      <c r="P1070" s="3">
        <v>0</v>
      </c>
      <c r="Q1070" s="3">
        <v>0</v>
      </c>
      <c r="R1070" s="3">
        <v>-21200</v>
      </c>
      <c r="S1070" s="3">
        <v>0</v>
      </c>
      <c r="T1070" s="3">
        <v>0</v>
      </c>
      <c r="U1070" s="3">
        <v>0</v>
      </c>
      <c r="V1070" s="3">
        <v>2018</v>
      </c>
      <c r="W1070" s="3">
        <v>142200</v>
      </c>
      <c r="X1070" s="3">
        <v>4015000</v>
      </c>
      <c r="Y1070" s="3">
        <v>3872800</v>
      </c>
      <c r="Z1070" s="3">
        <v>3990600</v>
      </c>
      <c r="AA1070" s="3">
        <v>24400</v>
      </c>
      <c r="AB1070" s="3">
        <v>1</v>
      </c>
    </row>
    <row r="1071" spans="1:28" x14ac:dyDescent="0.35">
      <c r="A1071">
        <v>2022</v>
      </c>
      <c r="B1071" t="str">
        <f t="shared" si="139"/>
        <v>56</v>
      </c>
      <c r="C1071" t="s">
        <v>377</v>
      </c>
      <c r="D1071" t="s">
        <v>33</v>
      </c>
      <c r="E1071" t="str">
        <f>"172"</f>
        <v>172</v>
      </c>
      <c r="F1071" t="s">
        <v>382</v>
      </c>
      <c r="G1071" t="str">
        <f>"006"</f>
        <v>006</v>
      </c>
      <c r="H1071" t="str">
        <f>"5100"</f>
        <v>5100</v>
      </c>
      <c r="I1071" s="3">
        <v>11875500</v>
      </c>
      <c r="J1071" s="3">
        <v>72.63</v>
      </c>
      <c r="K1071" s="3">
        <v>16350700</v>
      </c>
      <c r="L1071" s="3">
        <v>0</v>
      </c>
      <c r="M1071" s="3">
        <v>16350700</v>
      </c>
      <c r="N1071" s="3">
        <v>0</v>
      </c>
      <c r="O1071" s="3">
        <v>0</v>
      </c>
      <c r="P1071" s="3">
        <v>34600</v>
      </c>
      <c r="Q1071" s="3">
        <v>34600</v>
      </c>
      <c r="R1071" s="3">
        <v>-668700</v>
      </c>
      <c r="S1071" s="3">
        <v>0</v>
      </c>
      <c r="T1071" s="3">
        <v>0</v>
      </c>
      <c r="U1071" s="3">
        <v>0</v>
      </c>
      <c r="V1071" s="3">
        <v>2018</v>
      </c>
      <c r="W1071" s="3">
        <v>10871000</v>
      </c>
      <c r="X1071" s="3">
        <v>15716600</v>
      </c>
      <c r="Y1071" s="3">
        <v>4845600</v>
      </c>
      <c r="Z1071" s="3">
        <v>15694500</v>
      </c>
      <c r="AA1071" s="3">
        <v>22100</v>
      </c>
      <c r="AB1071" s="3">
        <v>0</v>
      </c>
    </row>
    <row r="1072" spans="1:28" x14ac:dyDescent="0.35">
      <c r="A1072">
        <v>2022</v>
      </c>
      <c r="B1072" t="str">
        <f t="shared" si="139"/>
        <v>56</v>
      </c>
      <c r="C1072" t="s">
        <v>377</v>
      </c>
      <c r="D1072" t="s">
        <v>33</v>
      </c>
      <c r="E1072" t="str">
        <f>"176"</f>
        <v>176</v>
      </c>
      <c r="F1072" t="s">
        <v>383</v>
      </c>
      <c r="G1072" t="str">
        <f>"002"</f>
        <v>002</v>
      </c>
      <c r="H1072" t="str">
        <f>"4753"</f>
        <v>4753</v>
      </c>
      <c r="I1072" s="3">
        <v>1679000</v>
      </c>
      <c r="J1072" s="3">
        <v>90.7</v>
      </c>
      <c r="K1072" s="3">
        <v>1851200</v>
      </c>
      <c r="L1072" s="3">
        <v>0</v>
      </c>
      <c r="M1072" s="3">
        <v>1851200</v>
      </c>
      <c r="N1072" s="3">
        <v>0</v>
      </c>
      <c r="O1072" s="3">
        <v>0</v>
      </c>
      <c r="P1072" s="3">
        <v>0</v>
      </c>
      <c r="Q1072" s="3">
        <v>0</v>
      </c>
      <c r="R1072" s="3">
        <v>119200</v>
      </c>
      <c r="S1072" s="3">
        <v>0</v>
      </c>
      <c r="T1072" s="3">
        <v>0</v>
      </c>
      <c r="U1072" s="3">
        <v>0</v>
      </c>
      <c r="V1072" s="3">
        <v>2020</v>
      </c>
      <c r="W1072" s="3">
        <v>1229400</v>
      </c>
      <c r="X1072" s="3">
        <v>1970400</v>
      </c>
      <c r="Y1072" s="3">
        <v>741000</v>
      </c>
      <c r="Z1072" s="3">
        <v>1432400</v>
      </c>
      <c r="AA1072" s="3">
        <v>538000</v>
      </c>
      <c r="AB1072" s="3">
        <v>38</v>
      </c>
    </row>
    <row r="1073" spans="1:28" x14ac:dyDescent="0.35">
      <c r="A1073">
        <v>2022</v>
      </c>
      <c r="B1073" t="str">
        <f t="shared" si="139"/>
        <v>56</v>
      </c>
      <c r="C1073" t="s">
        <v>377</v>
      </c>
      <c r="D1073" t="s">
        <v>33</v>
      </c>
      <c r="E1073" t="str">
        <f>"181"</f>
        <v>181</v>
      </c>
      <c r="F1073" t="s">
        <v>384</v>
      </c>
      <c r="G1073" t="str">
        <f>"006"</f>
        <v>006</v>
      </c>
      <c r="H1073" t="str">
        <f>"5100"</f>
        <v>5100</v>
      </c>
      <c r="I1073" s="3">
        <v>9498900</v>
      </c>
      <c r="J1073" s="3">
        <v>100</v>
      </c>
      <c r="K1073" s="3">
        <v>9498900</v>
      </c>
      <c r="L1073" s="3">
        <v>0</v>
      </c>
      <c r="M1073" s="3">
        <v>9498900</v>
      </c>
      <c r="N1073" s="3">
        <v>0</v>
      </c>
      <c r="O1073" s="3">
        <v>0</v>
      </c>
      <c r="P1073" s="3">
        <v>0</v>
      </c>
      <c r="Q1073" s="3">
        <v>0</v>
      </c>
      <c r="R1073" s="3">
        <v>-14200</v>
      </c>
      <c r="S1073" s="3">
        <v>0</v>
      </c>
      <c r="T1073" s="3">
        <v>0</v>
      </c>
      <c r="U1073" s="3">
        <v>0</v>
      </c>
      <c r="V1073" s="3">
        <v>2002</v>
      </c>
      <c r="W1073" s="3">
        <v>1206300</v>
      </c>
      <c r="X1073" s="3">
        <v>9484700</v>
      </c>
      <c r="Y1073" s="3">
        <v>8278400</v>
      </c>
      <c r="Z1073" s="3">
        <v>9771900</v>
      </c>
      <c r="AA1073" s="3">
        <v>-287200</v>
      </c>
      <c r="AB1073" s="3">
        <v>-3</v>
      </c>
    </row>
    <row r="1074" spans="1:28" x14ac:dyDescent="0.35">
      <c r="A1074">
        <v>2022</v>
      </c>
      <c r="B1074" t="str">
        <f t="shared" si="139"/>
        <v>56</v>
      </c>
      <c r="C1074" t="s">
        <v>377</v>
      </c>
      <c r="D1074" t="s">
        <v>33</v>
      </c>
      <c r="E1074" t="str">
        <f>"181"</f>
        <v>181</v>
      </c>
      <c r="F1074" t="s">
        <v>384</v>
      </c>
      <c r="G1074" t="str">
        <f>"007"</f>
        <v>007</v>
      </c>
      <c r="H1074" t="str">
        <f>"5100"</f>
        <v>5100</v>
      </c>
      <c r="I1074" s="3">
        <v>3708700</v>
      </c>
      <c r="J1074" s="3">
        <v>100</v>
      </c>
      <c r="K1074" s="3">
        <v>3708700</v>
      </c>
      <c r="L1074" s="3">
        <v>0</v>
      </c>
      <c r="M1074" s="3">
        <v>3708700</v>
      </c>
      <c r="N1074" s="3">
        <v>709400</v>
      </c>
      <c r="O1074" s="3">
        <v>709400</v>
      </c>
      <c r="P1074" s="3">
        <v>21600</v>
      </c>
      <c r="Q1074" s="3">
        <v>21600</v>
      </c>
      <c r="R1074" s="3">
        <v>-5300</v>
      </c>
      <c r="S1074" s="3">
        <v>0</v>
      </c>
      <c r="T1074" s="3">
        <v>0</v>
      </c>
      <c r="U1074" s="3">
        <v>0</v>
      </c>
      <c r="V1074" s="3">
        <v>2005</v>
      </c>
      <c r="W1074" s="3">
        <v>706200</v>
      </c>
      <c r="X1074" s="3">
        <v>4434400</v>
      </c>
      <c r="Y1074" s="3">
        <v>3728200</v>
      </c>
      <c r="Z1074" s="3">
        <v>4339600</v>
      </c>
      <c r="AA1074" s="3">
        <v>94800</v>
      </c>
      <c r="AB1074" s="3">
        <v>2</v>
      </c>
    </row>
    <row r="1075" spans="1:28" x14ac:dyDescent="0.35">
      <c r="A1075">
        <v>2022</v>
      </c>
      <c r="B1075" t="str">
        <f t="shared" si="139"/>
        <v>56</v>
      </c>
      <c r="C1075" t="s">
        <v>377</v>
      </c>
      <c r="D1075" t="s">
        <v>33</v>
      </c>
      <c r="E1075" t="str">
        <f>"181"</f>
        <v>181</v>
      </c>
      <c r="F1075" t="s">
        <v>384</v>
      </c>
      <c r="G1075" t="str">
        <f>"008"</f>
        <v>008</v>
      </c>
      <c r="H1075" t="str">
        <f>"5100"</f>
        <v>5100</v>
      </c>
      <c r="I1075" s="3">
        <v>30058000</v>
      </c>
      <c r="J1075" s="3">
        <v>100</v>
      </c>
      <c r="K1075" s="3">
        <v>30058000</v>
      </c>
      <c r="L1075" s="3">
        <v>0</v>
      </c>
      <c r="M1075" s="3">
        <v>30058000</v>
      </c>
      <c r="N1075" s="3">
        <v>0</v>
      </c>
      <c r="O1075" s="3">
        <v>0</v>
      </c>
      <c r="P1075" s="3">
        <v>0</v>
      </c>
      <c r="Q1075" s="3">
        <v>0</v>
      </c>
      <c r="R1075" s="3">
        <v>-44000</v>
      </c>
      <c r="S1075" s="3">
        <v>0</v>
      </c>
      <c r="T1075" s="3">
        <v>0</v>
      </c>
      <c r="U1075" s="3">
        <v>0</v>
      </c>
      <c r="V1075" s="3">
        <v>2005</v>
      </c>
      <c r="W1075" s="3">
        <v>14893500</v>
      </c>
      <c r="X1075" s="3">
        <v>30014000</v>
      </c>
      <c r="Y1075" s="3">
        <v>15120500</v>
      </c>
      <c r="Z1075" s="3">
        <v>30315900</v>
      </c>
      <c r="AA1075" s="3">
        <v>-301900</v>
      </c>
      <c r="AB1075" s="3">
        <v>-1</v>
      </c>
    </row>
    <row r="1076" spans="1:28" x14ac:dyDescent="0.35">
      <c r="A1076">
        <v>2022</v>
      </c>
      <c r="B1076" t="str">
        <f t="shared" si="139"/>
        <v>56</v>
      </c>
      <c r="C1076" t="s">
        <v>377</v>
      </c>
      <c r="D1076" t="s">
        <v>33</v>
      </c>
      <c r="E1076" t="str">
        <f>"181"</f>
        <v>181</v>
      </c>
      <c r="F1076" t="s">
        <v>384</v>
      </c>
      <c r="G1076" t="str">
        <f>"009"</f>
        <v>009</v>
      </c>
      <c r="H1076" t="str">
        <f>"5100"</f>
        <v>5100</v>
      </c>
      <c r="I1076" s="3">
        <v>7131500</v>
      </c>
      <c r="J1076" s="3">
        <v>100</v>
      </c>
      <c r="K1076" s="3">
        <v>7131500</v>
      </c>
      <c r="L1076" s="3">
        <v>0</v>
      </c>
      <c r="M1076" s="3">
        <v>7131500</v>
      </c>
      <c r="N1076" s="3">
        <v>0</v>
      </c>
      <c r="O1076" s="3">
        <v>0</v>
      </c>
      <c r="P1076" s="3">
        <v>0</v>
      </c>
      <c r="Q1076" s="3">
        <v>0</v>
      </c>
      <c r="R1076" s="3">
        <v>-8500</v>
      </c>
      <c r="S1076" s="3">
        <v>0</v>
      </c>
      <c r="T1076" s="3">
        <v>0</v>
      </c>
      <c r="U1076" s="3">
        <v>0</v>
      </c>
      <c r="V1076" s="3">
        <v>2015</v>
      </c>
      <c r="W1076" s="3">
        <v>3331900</v>
      </c>
      <c r="X1076" s="3">
        <v>7123000</v>
      </c>
      <c r="Y1076" s="3">
        <v>3791100</v>
      </c>
      <c r="Z1076" s="3">
        <v>5378500</v>
      </c>
      <c r="AA1076" s="3">
        <v>1744500</v>
      </c>
      <c r="AB1076" s="3">
        <v>32</v>
      </c>
    </row>
    <row r="1077" spans="1:28" x14ac:dyDescent="0.35">
      <c r="A1077">
        <v>2022</v>
      </c>
      <c r="B1077" t="str">
        <f t="shared" si="139"/>
        <v>56</v>
      </c>
      <c r="C1077" t="s">
        <v>377</v>
      </c>
      <c r="D1077" t="s">
        <v>33</v>
      </c>
      <c r="E1077" t="str">
        <f>"182"</f>
        <v>182</v>
      </c>
      <c r="F1077" t="s">
        <v>385</v>
      </c>
      <c r="G1077" t="str">
        <f>"006"</f>
        <v>006</v>
      </c>
      <c r="H1077" t="str">
        <f>"5523"</f>
        <v>5523</v>
      </c>
      <c r="I1077" s="3">
        <v>3181700</v>
      </c>
      <c r="J1077" s="3">
        <v>72.260000000000005</v>
      </c>
      <c r="K1077" s="3">
        <v>4403100</v>
      </c>
      <c r="L1077" s="3">
        <v>0</v>
      </c>
      <c r="M1077" s="3">
        <v>4403100</v>
      </c>
      <c r="N1077" s="3">
        <v>19668400</v>
      </c>
      <c r="O1077" s="3">
        <v>19668400</v>
      </c>
      <c r="P1077" s="3">
        <v>3455500</v>
      </c>
      <c r="Q1077" s="3">
        <v>3455500</v>
      </c>
      <c r="R1077" s="3">
        <v>-6000</v>
      </c>
      <c r="S1077" s="3">
        <v>0</v>
      </c>
      <c r="T1077" s="3">
        <v>0</v>
      </c>
      <c r="U1077" s="3">
        <v>0</v>
      </c>
      <c r="V1077" s="3">
        <v>2017</v>
      </c>
      <c r="W1077" s="3">
        <v>18338500</v>
      </c>
      <c r="X1077" s="3">
        <v>27521000</v>
      </c>
      <c r="Y1077" s="3">
        <v>9182500</v>
      </c>
      <c r="Z1077" s="3">
        <v>30135700</v>
      </c>
      <c r="AA1077" s="3">
        <v>-2614700</v>
      </c>
      <c r="AB1077" s="3">
        <v>-9</v>
      </c>
    </row>
    <row r="1078" spans="1:28" x14ac:dyDescent="0.35">
      <c r="A1078">
        <v>2022</v>
      </c>
      <c r="B1078" t="str">
        <f t="shared" si="139"/>
        <v>56</v>
      </c>
      <c r="C1078" t="s">
        <v>377</v>
      </c>
      <c r="D1078" t="s">
        <v>33</v>
      </c>
      <c r="E1078" t="str">
        <f>"191"</f>
        <v>191</v>
      </c>
      <c r="F1078" t="s">
        <v>386</v>
      </c>
      <c r="G1078" t="str">
        <f>"003"</f>
        <v>003</v>
      </c>
      <c r="H1078" t="str">
        <f t="shared" ref="H1078:H1084" si="140">"0280"</f>
        <v>0280</v>
      </c>
      <c r="I1078" s="3">
        <v>9432700</v>
      </c>
      <c r="J1078" s="3">
        <v>87.14</v>
      </c>
      <c r="K1078" s="3">
        <v>10824800</v>
      </c>
      <c r="L1078" s="3">
        <v>0</v>
      </c>
      <c r="M1078" s="3">
        <v>10824800</v>
      </c>
      <c r="N1078" s="3">
        <v>1325100</v>
      </c>
      <c r="O1078" s="3">
        <v>1325100</v>
      </c>
      <c r="P1078" s="3">
        <v>123300</v>
      </c>
      <c r="Q1078" s="3">
        <v>123300</v>
      </c>
      <c r="R1078" s="3">
        <v>842500</v>
      </c>
      <c r="S1078" s="3">
        <v>0</v>
      </c>
      <c r="T1078" s="3">
        <v>0</v>
      </c>
      <c r="U1078" s="3">
        <v>0</v>
      </c>
      <c r="V1078" s="3">
        <v>2018</v>
      </c>
      <c r="W1078" s="3">
        <v>10611600</v>
      </c>
      <c r="X1078" s="3">
        <v>13115700</v>
      </c>
      <c r="Y1078" s="3">
        <v>2504100</v>
      </c>
      <c r="Z1078" s="3">
        <v>9562100</v>
      </c>
      <c r="AA1078" s="3">
        <v>3553600</v>
      </c>
      <c r="AB1078" s="3">
        <v>37</v>
      </c>
    </row>
    <row r="1079" spans="1:28" x14ac:dyDescent="0.35">
      <c r="A1079">
        <v>2022</v>
      </c>
      <c r="B1079" t="str">
        <f t="shared" si="139"/>
        <v>56</v>
      </c>
      <c r="C1079" t="s">
        <v>377</v>
      </c>
      <c r="D1079" t="s">
        <v>35</v>
      </c>
      <c r="E1079" t="str">
        <f t="shared" ref="E1079:E1084" si="141">"206"</f>
        <v>206</v>
      </c>
      <c r="F1079" t="s">
        <v>387</v>
      </c>
      <c r="G1079" t="str">
        <f>"006"</f>
        <v>006</v>
      </c>
      <c r="H1079" t="str">
        <f t="shared" si="140"/>
        <v>0280</v>
      </c>
      <c r="I1079" s="3">
        <v>35463400</v>
      </c>
      <c r="J1079" s="3">
        <v>85.83</v>
      </c>
      <c r="K1079" s="3">
        <v>41318200</v>
      </c>
      <c r="L1079" s="3">
        <v>43840400</v>
      </c>
      <c r="M1079" s="3">
        <v>43840400</v>
      </c>
      <c r="N1079" s="3">
        <v>4514500</v>
      </c>
      <c r="O1079" s="3">
        <v>4514500</v>
      </c>
      <c r="P1079" s="3">
        <v>21500</v>
      </c>
      <c r="Q1079" s="3">
        <v>21500</v>
      </c>
      <c r="R1079" s="3">
        <v>-2393700</v>
      </c>
      <c r="S1079" s="3">
        <v>0</v>
      </c>
      <c r="T1079" s="3">
        <v>0</v>
      </c>
      <c r="U1079" s="3">
        <v>0</v>
      </c>
      <c r="V1079" s="3">
        <v>1999</v>
      </c>
      <c r="W1079" s="3">
        <v>8158000</v>
      </c>
      <c r="X1079" s="3">
        <v>45982700</v>
      </c>
      <c r="Y1079" s="3">
        <v>37824700</v>
      </c>
      <c r="Z1079" s="3">
        <v>42481600</v>
      </c>
      <c r="AA1079" s="3">
        <v>3501100</v>
      </c>
      <c r="AB1079" s="3">
        <v>8</v>
      </c>
    </row>
    <row r="1080" spans="1:28" x14ac:dyDescent="0.35">
      <c r="A1080">
        <v>2022</v>
      </c>
      <c r="B1080" t="str">
        <f t="shared" si="139"/>
        <v>56</v>
      </c>
      <c r="C1080" t="s">
        <v>377</v>
      </c>
      <c r="D1080" t="s">
        <v>35</v>
      </c>
      <c r="E1080" t="str">
        <f t="shared" si="141"/>
        <v>206</v>
      </c>
      <c r="F1080" t="s">
        <v>387</v>
      </c>
      <c r="G1080" t="str">
        <f>"007"</f>
        <v>007</v>
      </c>
      <c r="H1080" t="str">
        <f t="shared" si="140"/>
        <v>0280</v>
      </c>
      <c r="I1080" s="3">
        <v>0</v>
      </c>
      <c r="J1080" s="3">
        <v>85.83</v>
      </c>
      <c r="K1080" s="3">
        <v>0</v>
      </c>
      <c r="L1080" s="3">
        <v>0</v>
      </c>
      <c r="M1080" s="3">
        <v>0</v>
      </c>
      <c r="N1080" s="3">
        <v>0</v>
      </c>
      <c r="O1080" s="3">
        <v>0</v>
      </c>
      <c r="P1080" s="3">
        <v>0</v>
      </c>
      <c r="Q1080" s="3">
        <v>0</v>
      </c>
      <c r="R1080" s="3">
        <v>0</v>
      </c>
      <c r="S1080" s="3">
        <v>0</v>
      </c>
      <c r="T1080" s="3">
        <v>0</v>
      </c>
      <c r="U1080" s="3">
        <v>10673500</v>
      </c>
      <c r="V1080" s="3">
        <v>2006</v>
      </c>
      <c r="W1080" s="3">
        <v>248300</v>
      </c>
      <c r="X1080" s="3">
        <v>10673500</v>
      </c>
      <c r="Y1080" s="3">
        <v>10425200</v>
      </c>
      <c r="Z1080" s="3">
        <v>10674000</v>
      </c>
      <c r="AA1080" s="3">
        <v>-500</v>
      </c>
      <c r="AB1080" s="3">
        <v>0</v>
      </c>
    </row>
    <row r="1081" spans="1:28" x14ac:dyDescent="0.35">
      <c r="A1081">
        <v>2022</v>
      </c>
      <c r="B1081" t="str">
        <f t="shared" si="139"/>
        <v>56</v>
      </c>
      <c r="C1081" t="s">
        <v>377</v>
      </c>
      <c r="D1081" t="s">
        <v>35</v>
      </c>
      <c r="E1081" t="str">
        <f t="shared" si="141"/>
        <v>206</v>
      </c>
      <c r="F1081" t="s">
        <v>387</v>
      </c>
      <c r="G1081" t="str">
        <f>"008"</f>
        <v>008</v>
      </c>
      <c r="H1081" t="str">
        <f t="shared" si="140"/>
        <v>0280</v>
      </c>
      <c r="I1081" s="3">
        <v>15497900</v>
      </c>
      <c r="J1081" s="3">
        <v>85.83</v>
      </c>
      <c r="K1081" s="3">
        <v>18056500</v>
      </c>
      <c r="L1081" s="3">
        <v>0</v>
      </c>
      <c r="M1081" s="3">
        <v>18056500</v>
      </c>
      <c r="N1081" s="3">
        <v>213400</v>
      </c>
      <c r="O1081" s="3">
        <v>213400</v>
      </c>
      <c r="P1081" s="3">
        <v>0</v>
      </c>
      <c r="Q1081" s="3">
        <v>0</v>
      </c>
      <c r="R1081" s="3">
        <v>-2961100</v>
      </c>
      <c r="S1081" s="3">
        <v>0</v>
      </c>
      <c r="T1081" s="3">
        <v>0</v>
      </c>
      <c r="U1081" s="3">
        <v>3598800</v>
      </c>
      <c r="V1081" s="3">
        <v>2006</v>
      </c>
      <c r="W1081" s="3">
        <v>17516600</v>
      </c>
      <c r="X1081" s="3">
        <v>18907600</v>
      </c>
      <c r="Y1081" s="3">
        <v>1391000</v>
      </c>
      <c r="Z1081" s="3">
        <v>22357400</v>
      </c>
      <c r="AA1081" s="3">
        <v>-3449800</v>
      </c>
      <c r="AB1081" s="3">
        <v>-15</v>
      </c>
    </row>
    <row r="1082" spans="1:28" x14ac:dyDescent="0.35">
      <c r="A1082">
        <v>2022</v>
      </c>
      <c r="B1082" t="str">
        <f t="shared" si="139"/>
        <v>56</v>
      </c>
      <c r="C1082" t="s">
        <v>377</v>
      </c>
      <c r="D1082" t="s">
        <v>35</v>
      </c>
      <c r="E1082" t="str">
        <f t="shared" si="141"/>
        <v>206</v>
      </c>
      <c r="F1082" t="s">
        <v>387</v>
      </c>
      <c r="G1082" t="str">
        <f>"010"</f>
        <v>010</v>
      </c>
      <c r="H1082" t="str">
        <f t="shared" si="140"/>
        <v>0280</v>
      </c>
      <c r="I1082" s="3">
        <v>3478900</v>
      </c>
      <c r="J1082" s="3">
        <v>85.83</v>
      </c>
      <c r="K1082" s="3">
        <v>4053200</v>
      </c>
      <c r="L1082" s="3">
        <v>9049300</v>
      </c>
      <c r="M1082" s="3">
        <v>9049300</v>
      </c>
      <c r="N1082" s="3">
        <v>277300</v>
      </c>
      <c r="O1082" s="3">
        <v>277300</v>
      </c>
      <c r="P1082" s="3">
        <v>17200</v>
      </c>
      <c r="Q1082" s="3">
        <v>17200</v>
      </c>
      <c r="R1082" s="3">
        <v>144500</v>
      </c>
      <c r="S1082" s="3">
        <v>0</v>
      </c>
      <c r="T1082" s="3">
        <v>0</v>
      </c>
      <c r="U1082" s="3">
        <v>0</v>
      </c>
      <c r="V1082" s="3">
        <v>2020</v>
      </c>
      <c r="W1082" s="3">
        <v>3598800</v>
      </c>
      <c r="X1082" s="3">
        <v>9488300</v>
      </c>
      <c r="Y1082" s="3">
        <v>5889500</v>
      </c>
      <c r="Z1082" s="3">
        <v>3640300</v>
      </c>
      <c r="AA1082" s="3">
        <v>5848000</v>
      </c>
      <c r="AB1082" s="3">
        <v>161</v>
      </c>
    </row>
    <row r="1083" spans="1:28" x14ac:dyDescent="0.35">
      <c r="A1083">
        <v>2022</v>
      </c>
      <c r="B1083" t="str">
        <f t="shared" si="139"/>
        <v>56</v>
      </c>
      <c r="C1083" t="s">
        <v>377</v>
      </c>
      <c r="D1083" t="s">
        <v>35</v>
      </c>
      <c r="E1083" t="str">
        <f t="shared" si="141"/>
        <v>206</v>
      </c>
      <c r="F1083" t="s">
        <v>387</v>
      </c>
      <c r="G1083" t="str">
        <f>"011"</f>
        <v>011</v>
      </c>
      <c r="H1083" t="str">
        <f t="shared" si="140"/>
        <v>0280</v>
      </c>
      <c r="I1083" s="3">
        <v>2050000</v>
      </c>
      <c r="J1083" s="3">
        <v>85.83</v>
      </c>
      <c r="K1083" s="3">
        <v>2388400</v>
      </c>
      <c r="L1083" s="3">
        <v>0</v>
      </c>
      <c r="M1083" s="3">
        <v>2388400</v>
      </c>
      <c r="N1083" s="3">
        <v>8825800</v>
      </c>
      <c r="O1083" s="3">
        <v>8825800</v>
      </c>
      <c r="P1083" s="3">
        <v>3047200</v>
      </c>
      <c r="Q1083" s="3">
        <v>3047200</v>
      </c>
      <c r="R1083" s="3">
        <v>-129200</v>
      </c>
      <c r="S1083" s="3">
        <v>0</v>
      </c>
      <c r="T1083" s="3">
        <v>0</v>
      </c>
      <c r="U1083" s="3">
        <v>0</v>
      </c>
      <c r="V1083" s="3">
        <v>2020</v>
      </c>
      <c r="W1083" s="3">
        <v>10673500</v>
      </c>
      <c r="X1083" s="3">
        <v>14132200</v>
      </c>
      <c r="Y1083" s="3">
        <v>3458700</v>
      </c>
      <c r="Z1083" s="3">
        <v>11357200</v>
      </c>
      <c r="AA1083" s="3">
        <v>2775000</v>
      </c>
      <c r="AB1083" s="3">
        <v>24</v>
      </c>
    </row>
    <row r="1084" spans="1:28" x14ac:dyDescent="0.35">
      <c r="A1084">
        <v>2022</v>
      </c>
      <c r="B1084" t="str">
        <f t="shared" si="139"/>
        <v>56</v>
      </c>
      <c r="C1084" t="s">
        <v>377</v>
      </c>
      <c r="D1084" t="s">
        <v>35</v>
      </c>
      <c r="E1084" t="str">
        <f t="shared" si="141"/>
        <v>206</v>
      </c>
      <c r="F1084" t="s">
        <v>387</v>
      </c>
      <c r="G1084" t="str">
        <f>"012"</f>
        <v>012</v>
      </c>
      <c r="H1084" t="str">
        <f t="shared" si="140"/>
        <v>0280</v>
      </c>
      <c r="I1084" s="3">
        <v>17774300</v>
      </c>
      <c r="J1084" s="3">
        <v>85.83</v>
      </c>
      <c r="K1084" s="3">
        <v>20708700</v>
      </c>
      <c r="L1084" s="3">
        <v>0</v>
      </c>
      <c r="M1084" s="3">
        <v>20708700</v>
      </c>
      <c r="N1084" s="3">
        <v>603500</v>
      </c>
      <c r="O1084" s="3">
        <v>603500</v>
      </c>
      <c r="P1084" s="3">
        <v>8700</v>
      </c>
      <c r="Q1084" s="3">
        <v>8700</v>
      </c>
      <c r="R1084" s="3">
        <v>0</v>
      </c>
      <c r="S1084" s="3">
        <v>0</v>
      </c>
      <c r="T1084" s="3">
        <v>0</v>
      </c>
      <c r="U1084" s="3">
        <v>0</v>
      </c>
      <c r="V1084" s="3">
        <v>2021</v>
      </c>
      <c r="W1084" s="3">
        <v>17242400</v>
      </c>
      <c r="X1084" s="3">
        <v>21320900</v>
      </c>
      <c r="Y1084" s="3">
        <v>4078500</v>
      </c>
      <c r="Z1084" s="3">
        <v>17242400</v>
      </c>
      <c r="AA1084" s="3">
        <v>4078500</v>
      </c>
      <c r="AB1084" s="3">
        <v>24</v>
      </c>
    </row>
    <row r="1085" spans="1:28" x14ac:dyDescent="0.35">
      <c r="A1085">
        <v>2022</v>
      </c>
      <c r="B1085" t="str">
        <f t="shared" si="139"/>
        <v>56</v>
      </c>
      <c r="C1085" t="s">
        <v>377</v>
      </c>
      <c r="D1085" t="s">
        <v>35</v>
      </c>
      <c r="E1085" t="str">
        <f>"276"</f>
        <v>276</v>
      </c>
      <c r="F1085" t="s">
        <v>388</v>
      </c>
      <c r="G1085" t="str">
        <f>"004"</f>
        <v>004</v>
      </c>
      <c r="H1085" t="str">
        <f>"4753"</f>
        <v>4753</v>
      </c>
      <c r="I1085" s="3">
        <v>4638500</v>
      </c>
      <c r="J1085" s="3">
        <v>86.47</v>
      </c>
      <c r="K1085" s="3">
        <v>5364300</v>
      </c>
      <c r="L1085" s="3">
        <v>0</v>
      </c>
      <c r="M1085" s="3">
        <v>5364300</v>
      </c>
      <c r="N1085" s="3">
        <v>3881200</v>
      </c>
      <c r="O1085" s="3">
        <v>3881200</v>
      </c>
      <c r="P1085" s="3">
        <v>621700</v>
      </c>
      <c r="Q1085" s="3">
        <v>621700</v>
      </c>
      <c r="R1085" s="3">
        <v>5000</v>
      </c>
      <c r="S1085" s="3">
        <v>0</v>
      </c>
      <c r="T1085" s="3">
        <v>0</v>
      </c>
      <c r="U1085" s="3">
        <v>9739500</v>
      </c>
      <c r="V1085" s="3">
        <v>1998</v>
      </c>
      <c r="W1085" s="3">
        <v>4085900</v>
      </c>
      <c r="X1085" s="3">
        <v>19611700</v>
      </c>
      <c r="Y1085" s="3">
        <v>15525800</v>
      </c>
      <c r="Z1085" s="3">
        <v>18270400</v>
      </c>
      <c r="AA1085" s="3">
        <v>1341300</v>
      </c>
      <c r="AB1085" s="3">
        <v>7</v>
      </c>
    </row>
    <row r="1086" spans="1:28" x14ac:dyDescent="0.35">
      <c r="A1086">
        <v>2022</v>
      </c>
      <c r="B1086" t="str">
        <f t="shared" si="139"/>
        <v>56</v>
      </c>
      <c r="C1086" t="s">
        <v>377</v>
      </c>
      <c r="D1086" t="s">
        <v>35</v>
      </c>
      <c r="E1086" t="str">
        <f>"276"</f>
        <v>276</v>
      </c>
      <c r="F1086" t="s">
        <v>388</v>
      </c>
      <c r="G1086" t="str">
        <f>"006"</f>
        <v>006</v>
      </c>
      <c r="H1086" t="str">
        <f>"4753"</f>
        <v>4753</v>
      </c>
      <c r="I1086" s="3">
        <v>9971700</v>
      </c>
      <c r="J1086" s="3">
        <v>86.47</v>
      </c>
      <c r="K1086" s="3">
        <v>11532000</v>
      </c>
      <c r="L1086" s="3">
        <v>0</v>
      </c>
      <c r="M1086" s="3">
        <v>11532000</v>
      </c>
      <c r="N1086" s="3">
        <v>0</v>
      </c>
      <c r="O1086" s="3">
        <v>0</v>
      </c>
      <c r="P1086" s="3">
        <v>0</v>
      </c>
      <c r="Q1086" s="3">
        <v>0</v>
      </c>
      <c r="R1086" s="3">
        <v>13900</v>
      </c>
      <c r="S1086" s="3">
        <v>0</v>
      </c>
      <c r="T1086" s="3">
        <v>0</v>
      </c>
      <c r="U1086" s="3">
        <v>0</v>
      </c>
      <c r="V1086" s="3">
        <v>2000</v>
      </c>
      <c r="W1086" s="3">
        <v>6934300</v>
      </c>
      <c r="X1086" s="3">
        <v>11545900</v>
      </c>
      <c r="Y1086" s="3">
        <v>4611600</v>
      </c>
      <c r="Z1086" s="3">
        <v>9067600</v>
      </c>
      <c r="AA1086" s="3">
        <v>2478300</v>
      </c>
      <c r="AB1086" s="3">
        <v>27</v>
      </c>
    </row>
    <row r="1087" spans="1:28" x14ac:dyDescent="0.35">
      <c r="A1087">
        <v>2022</v>
      </c>
      <c r="B1087" t="str">
        <f t="shared" si="139"/>
        <v>56</v>
      </c>
      <c r="C1087" t="s">
        <v>377</v>
      </c>
      <c r="D1087" t="s">
        <v>35</v>
      </c>
      <c r="E1087" t="str">
        <f>"276"</f>
        <v>276</v>
      </c>
      <c r="F1087" t="s">
        <v>388</v>
      </c>
      <c r="G1087" t="str">
        <f>"008"</f>
        <v>008</v>
      </c>
      <c r="H1087" t="str">
        <f>"4753"</f>
        <v>4753</v>
      </c>
      <c r="I1087" s="3">
        <v>4905600</v>
      </c>
      <c r="J1087" s="3">
        <v>86.47</v>
      </c>
      <c r="K1087" s="3">
        <v>5673200</v>
      </c>
      <c r="L1087" s="3">
        <v>0</v>
      </c>
      <c r="M1087" s="3">
        <v>5673200</v>
      </c>
      <c r="N1087" s="3">
        <v>0</v>
      </c>
      <c r="O1087" s="3">
        <v>0</v>
      </c>
      <c r="P1087" s="3">
        <v>0</v>
      </c>
      <c r="Q1087" s="3">
        <v>0</v>
      </c>
      <c r="R1087" s="3">
        <v>4900</v>
      </c>
      <c r="S1087" s="3">
        <v>0</v>
      </c>
      <c r="T1087" s="3">
        <v>0</v>
      </c>
      <c r="U1087" s="3">
        <v>0</v>
      </c>
      <c r="V1087" s="3">
        <v>2008</v>
      </c>
      <c r="W1087" s="3">
        <v>1619700</v>
      </c>
      <c r="X1087" s="3">
        <v>5678100</v>
      </c>
      <c r="Y1087" s="3">
        <v>4058400</v>
      </c>
      <c r="Z1087" s="3">
        <v>4441600</v>
      </c>
      <c r="AA1087" s="3">
        <v>1236500</v>
      </c>
      <c r="AB1087" s="3">
        <v>28</v>
      </c>
    </row>
    <row r="1088" spans="1:28" x14ac:dyDescent="0.35">
      <c r="A1088">
        <v>2022</v>
      </c>
      <c r="B1088" t="str">
        <f t="shared" si="139"/>
        <v>56</v>
      </c>
      <c r="C1088" t="s">
        <v>377</v>
      </c>
      <c r="D1088" t="s">
        <v>35</v>
      </c>
      <c r="E1088" t="str">
        <f>"276"</f>
        <v>276</v>
      </c>
      <c r="F1088" t="s">
        <v>388</v>
      </c>
      <c r="G1088" t="str">
        <f>"009"</f>
        <v>009</v>
      </c>
      <c r="H1088" t="str">
        <f>"4753"</f>
        <v>4753</v>
      </c>
      <c r="I1088" s="3">
        <v>59833000</v>
      </c>
      <c r="J1088" s="3">
        <v>86.47</v>
      </c>
      <c r="K1088" s="3">
        <v>69195100</v>
      </c>
      <c r="L1088" s="3">
        <v>0</v>
      </c>
      <c r="M1088" s="3">
        <v>69195100</v>
      </c>
      <c r="N1088" s="3">
        <v>6862800</v>
      </c>
      <c r="O1088" s="3">
        <v>6862800</v>
      </c>
      <c r="P1088" s="3">
        <v>1418400</v>
      </c>
      <c r="Q1088" s="3">
        <v>1418400</v>
      </c>
      <c r="R1088" s="3">
        <v>52900</v>
      </c>
      <c r="S1088" s="3">
        <v>0</v>
      </c>
      <c r="T1088" s="3">
        <v>0</v>
      </c>
      <c r="U1088" s="3">
        <v>0</v>
      </c>
      <c r="V1088" s="3">
        <v>2016</v>
      </c>
      <c r="W1088" s="3">
        <v>42045800</v>
      </c>
      <c r="X1088" s="3">
        <v>77529200</v>
      </c>
      <c r="Y1088" s="3">
        <v>35483400</v>
      </c>
      <c r="Z1088" s="3">
        <v>58304800</v>
      </c>
      <c r="AA1088" s="3">
        <v>19224400</v>
      </c>
      <c r="AB1088" s="3">
        <v>33</v>
      </c>
    </row>
    <row r="1089" spans="1:28" x14ac:dyDescent="0.35">
      <c r="A1089">
        <v>2022</v>
      </c>
      <c r="B1089" t="str">
        <f t="shared" si="139"/>
        <v>56</v>
      </c>
      <c r="C1089" t="s">
        <v>377</v>
      </c>
      <c r="D1089" t="s">
        <v>35</v>
      </c>
      <c r="E1089" t="str">
        <f>"276"</f>
        <v>276</v>
      </c>
      <c r="F1089" t="s">
        <v>388</v>
      </c>
      <c r="G1089" t="str">
        <f>"010"</f>
        <v>010</v>
      </c>
      <c r="H1089" t="str">
        <f>"4753"</f>
        <v>4753</v>
      </c>
      <c r="I1089" s="3">
        <v>5332800</v>
      </c>
      <c r="J1089" s="3">
        <v>86.47</v>
      </c>
      <c r="K1089" s="3">
        <v>6167200</v>
      </c>
      <c r="L1089" s="3">
        <v>0</v>
      </c>
      <c r="M1089" s="3">
        <v>6167200</v>
      </c>
      <c r="N1089" s="3">
        <v>469100</v>
      </c>
      <c r="O1089" s="3">
        <v>469100</v>
      </c>
      <c r="P1089" s="3">
        <v>11200</v>
      </c>
      <c r="Q1089" s="3">
        <v>11200</v>
      </c>
      <c r="R1089" s="3">
        <v>0</v>
      </c>
      <c r="S1089" s="3">
        <v>0</v>
      </c>
      <c r="T1089" s="3">
        <v>0</v>
      </c>
      <c r="U1089" s="3">
        <v>0</v>
      </c>
      <c r="V1089" s="3">
        <v>2021</v>
      </c>
      <c r="W1089" s="3">
        <v>5749200</v>
      </c>
      <c r="X1089" s="3">
        <v>6647500</v>
      </c>
      <c r="Y1089" s="3">
        <v>898300</v>
      </c>
      <c r="Z1089" s="3">
        <v>5749200</v>
      </c>
      <c r="AA1089" s="3">
        <v>898300</v>
      </c>
      <c r="AB1089" s="3">
        <v>16</v>
      </c>
    </row>
    <row r="1090" spans="1:28" x14ac:dyDescent="0.35">
      <c r="A1090">
        <v>2022</v>
      </c>
      <c r="B1090" t="str">
        <f t="shared" si="139"/>
        <v>56</v>
      </c>
      <c r="C1090" t="s">
        <v>377</v>
      </c>
      <c r="D1090" t="s">
        <v>35</v>
      </c>
      <c r="E1090" t="str">
        <f>"291"</f>
        <v>291</v>
      </c>
      <c r="F1090" t="s">
        <v>36</v>
      </c>
      <c r="G1090" t="str">
        <f>"002"</f>
        <v>002</v>
      </c>
      <c r="H1090" t="str">
        <f>"6678"</f>
        <v>6678</v>
      </c>
      <c r="I1090" s="3">
        <v>46582700</v>
      </c>
      <c r="J1090" s="3">
        <v>100</v>
      </c>
      <c r="K1090" s="3">
        <v>46582700</v>
      </c>
      <c r="L1090" s="3">
        <v>0</v>
      </c>
      <c r="M1090" s="3">
        <v>46582700</v>
      </c>
      <c r="N1090" s="3">
        <v>0</v>
      </c>
      <c r="O1090" s="3">
        <v>0</v>
      </c>
      <c r="P1090" s="3">
        <v>0</v>
      </c>
      <c r="Q1090" s="3">
        <v>0</v>
      </c>
      <c r="R1090" s="3">
        <v>331500</v>
      </c>
      <c r="S1090" s="3">
        <v>0</v>
      </c>
      <c r="T1090" s="3">
        <v>0</v>
      </c>
      <c r="U1090" s="3">
        <v>0</v>
      </c>
      <c r="V1090" s="3">
        <v>2001</v>
      </c>
      <c r="W1090" s="3">
        <v>15582600</v>
      </c>
      <c r="X1090" s="3">
        <v>46914200</v>
      </c>
      <c r="Y1090" s="3">
        <v>31331600</v>
      </c>
      <c r="Z1090" s="3">
        <v>40293200</v>
      </c>
      <c r="AA1090" s="3">
        <v>6621000</v>
      </c>
      <c r="AB1090" s="3">
        <v>16</v>
      </c>
    </row>
    <row r="1091" spans="1:28" x14ac:dyDescent="0.35">
      <c r="A1091">
        <v>2022</v>
      </c>
      <c r="B1091" t="str">
        <f t="shared" si="139"/>
        <v>56</v>
      </c>
      <c r="C1091" t="s">
        <v>377</v>
      </c>
      <c r="D1091" t="s">
        <v>35</v>
      </c>
      <c r="E1091" t="str">
        <f>"291"</f>
        <v>291</v>
      </c>
      <c r="F1091" t="s">
        <v>36</v>
      </c>
      <c r="G1091" t="str">
        <f>"003"</f>
        <v>003</v>
      </c>
      <c r="H1091" t="str">
        <f>"6678"</f>
        <v>6678</v>
      </c>
      <c r="I1091" s="3">
        <v>5023300</v>
      </c>
      <c r="J1091" s="3">
        <v>100</v>
      </c>
      <c r="K1091" s="3">
        <v>5023300</v>
      </c>
      <c r="L1091" s="3">
        <v>0</v>
      </c>
      <c r="M1091" s="3">
        <v>5023300</v>
      </c>
      <c r="N1091" s="3">
        <v>0</v>
      </c>
      <c r="O1091" s="3">
        <v>0</v>
      </c>
      <c r="P1091" s="3">
        <v>0</v>
      </c>
      <c r="Q1091" s="3">
        <v>0</v>
      </c>
      <c r="R1091" s="3">
        <v>277400</v>
      </c>
      <c r="S1091" s="3">
        <v>0</v>
      </c>
      <c r="T1091" s="3">
        <v>0</v>
      </c>
      <c r="U1091" s="3">
        <v>0</v>
      </c>
      <c r="V1091" s="3">
        <v>2005</v>
      </c>
      <c r="W1091" s="3">
        <v>1965200</v>
      </c>
      <c r="X1091" s="3">
        <v>5300700</v>
      </c>
      <c r="Y1091" s="3">
        <v>3335500</v>
      </c>
      <c r="Z1091" s="3">
        <v>4655700</v>
      </c>
      <c r="AA1091" s="3">
        <v>645000</v>
      </c>
      <c r="AB1091" s="3">
        <v>14</v>
      </c>
    </row>
    <row r="1092" spans="1:28" x14ac:dyDescent="0.35">
      <c r="A1092">
        <v>2022</v>
      </c>
      <c r="B1092" t="str">
        <f t="shared" si="139"/>
        <v>56</v>
      </c>
      <c r="C1092" t="s">
        <v>377</v>
      </c>
      <c r="D1092" t="s">
        <v>35</v>
      </c>
      <c r="E1092" t="str">
        <f>"291"</f>
        <v>291</v>
      </c>
      <c r="F1092" t="s">
        <v>36</v>
      </c>
      <c r="G1092" t="str">
        <f>"004"</f>
        <v>004</v>
      </c>
      <c r="H1092" t="str">
        <f>"6678"</f>
        <v>6678</v>
      </c>
      <c r="I1092" s="3">
        <v>4364200</v>
      </c>
      <c r="J1092" s="3">
        <v>100</v>
      </c>
      <c r="K1092" s="3">
        <v>4364200</v>
      </c>
      <c r="L1092" s="3">
        <v>0</v>
      </c>
      <c r="M1092" s="3">
        <v>4364200</v>
      </c>
      <c r="N1092" s="3">
        <v>0</v>
      </c>
      <c r="O1092" s="3">
        <v>0</v>
      </c>
      <c r="P1092" s="3">
        <v>0</v>
      </c>
      <c r="Q1092" s="3">
        <v>0</v>
      </c>
      <c r="R1092" s="3">
        <v>-541400</v>
      </c>
      <c r="S1092" s="3">
        <v>0</v>
      </c>
      <c r="T1092" s="3">
        <v>0</v>
      </c>
      <c r="U1092" s="3">
        <v>0</v>
      </c>
      <c r="V1092" s="3">
        <v>2006</v>
      </c>
      <c r="W1092" s="3">
        <v>1464100</v>
      </c>
      <c r="X1092" s="3">
        <v>3822800</v>
      </c>
      <c r="Y1092" s="3">
        <v>2358700</v>
      </c>
      <c r="Z1092" s="3">
        <v>4050800</v>
      </c>
      <c r="AA1092" s="3">
        <v>-228000</v>
      </c>
      <c r="AB1092" s="3">
        <v>-6</v>
      </c>
    </row>
    <row r="1093" spans="1:28" x14ac:dyDescent="0.35">
      <c r="A1093">
        <v>2022</v>
      </c>
      <c r="B1093" t="str">
        <f>"57"</f>
        <v>57</v>
      </c>
      <c r="C1093" t="s">
        <v>389</v>
      </c>
      <c r="D1093" t="s">
        <v>35</v>
      </c>
      <c r="E1093" t="str">
        <f>"236"</f>
        <v>236</v>
      </c>
      <c r="F1093" t="s">
        <v>390</v>
      </c>
      <c r="G1093" t="str">
        <f>"005"</f>
        <v>005</v>
      </c>
      <c r="H1093" t="str">
        <f>"2478"</f>
        <v>2478</v>
      </c>
      <c r="I1093" s="3">
        <v>1362100</v>
      </c>
      <c r="J1093" s="3">
        <v>85.83</v>
      </c>
      <c r="K1093" s="3">
        <v>1587000</v>
      </c>
      <c r="L1093" s="3">
        <v>0</v>
      </c>
      <c r="M1093" s="3">
        <v>1587000</v>
      </c>
      <c r="N1093" s="3">
        <v>0</v>
      </c>
      <c r="O1093" s="3">
        <v>0</v>
      </c>
      <c r="P1093" s="3">
        <v>0</v>
      </c>
      <c r="Q1093" s="3">
        <v>0</v>
      </c>
      <c r="R1093" s="3">
        <v>900</v>
      </c>
      <c r="S1093" s="3">
        <v>0</v>
      </c>
      <c r="T1093" s="3">
        <v>0</v>
      </c>
      <c r="U1093" s="3">
        <v>0</v>
      </c>
      <c r="V1093" s="3">
        <v>2018</v>
      </c>
      <c r="W1093" s="3">
        <v>693400</v>
      </c>
      <c r="X1093" s="3">
        <v>1587900</v>
      </c>
      <c r="Y1093" s="3">
        <v>894500</v>
      </c>
      <c r="Z1093" s="3">
        <v>1342400</v>
      </c>
      <c r="AA1093" s="3">
        <v>245500</v>
      </c>
      <c r="AB1093" s="3">
        <v>18</v>
      </c>
    </row>
    <row r="1094" spans="1:28" x14ac:dyDescent="0.35">
      <c r="A1094">
        <v>2022</v>
      </c>
      <c r="B1094" t="str">
        <f>"57"</f>
        <v>57</v>
      </c>
      <c r="C1094" t="s">
        <v>389</v>
      </c>
      <c r="D1094" t="s">
        <v>35</v>
      </c>
      <c r="E1094" t="str">
        <f>"236"</f>
        <v>236</v>
      </c>
      <c r="F1094" t="s">
        <v>390</v>
      </c>
      <c r="G1094" t="str">
        <f>"006"</f>
        <v>006</v>
      </c>
      <c r="H1094" t="str">
        <f>"2478"</f>
        <v>2478</v>
      </c>
      <c r="I1094" s="3">
        <v>7482200</v>
      </c>
      <c r="J1094" s="3">
        <v>85.83</v>
      </c>
      <c r="K1094" s="3">
        <v>8717500</v>
      </c>
      <c r="L1094" s="3">
        <v>0</v>
      </c>
      <c r="M1094" s="3">
        <v>8717500</v>
      </c>
      <c r="N1094" s="3">
        <v>0</v>
      </c>
      <c r="O1094" s="3">
        <v>0</v>
      </c>
      <c r="P1094" s="3">
        <v>0</v>
      </c>
      <c r="Q1094" s="3">
        <v>0</v>
      </c>
      <c r="R1094" s="3">
        <v>3900</v>
      </c>
      <c r="S1094" s="3">
        <v>0</v>
      </c>
      <c r="T1094" s="3">
        <v>0</v>
      </c>
      <c r="U1094" s="3">
        <v>0</v>
      </c>
      <c r="V1094" s="3">
        <v>2020</v>
      </c>
      <c r="W1094" s="3">
        <v>2987300</v>
      </c>
      <c r="X1094" s="3">
        <v>8721400</v>
      </c>
      <c r="Y1094" s="3">
        <v>5734100</v>
      </c>
      <c r="Z1094" s="3">
        <v>6167900</v>
      </c>
      <c r="AA1094" s="3">
        <v>2553500</v>
      </c>
      <c r="AB1094" s="3">
        <v>41</v>
      </c>
    </row>
    <row r="1095" spans="1:28" x14ac:dyDescent="0.35">
      <c r="A1095">
        <v>2022</v>
      </c>
      <c r="B1095" t="str">
        <f t="shared" ref="B1095:B1108" si="142">"58"</f>
        <v>58</v>
      </c>
      <c r="C1095" t="s">
        <v>391</v>
      </c>
      <c r="D1095" t="s">
        <v>33</v>
      </c>
      <c r="E1095" t="str">
        <f>"107"</f>
        <v>107</v>
      </c>
      <c r="F1095" t="s">
        <v>392</v>
      </c>
      <c r="G1095" t="str">
        <f>"001"</f>
        <v>001</v>
      </c>
      <c r="H1095" t="str">
        <f>"0602"</f>
        <v>0602</v>
      </c>
      <c r="I1095" s="3">
        <v>16431800</v>
      </c>
      <c r="J1095" s="3">
        <v>95.4</v>
      </c>
      <c r="K1095" s="3">
        <v>17224100</v>
      </c>
      <c r="L1095" s="3">
        <v>0</v>
      </c>
      <c r="M1095" s="3">
        <v>17224100</v>
      </c>
      <c r="N1095" s="3">
        <v>1371900</v>
      </c>
      <c r="O1095" s="3">
        <v>1371900</v>
      </c>
      <c r="P1095" s="3">
        <v>20100</v>
      </c>
      <c r="Q1095" s="3">
        <v>20100</v>
      </c>
      <c r="R1095" s="3">
        <v>-1056000</v>
      </c>
      <c r="S1095" s="3">
        <v>0</v>
      </c>
      <c r="T1095" s="3">
        <v>0</v>
      </c>
      <c r="U1095" s="3">
        <v>0</v>
      </c>
      <c r="V1095" s="3">
        <v>1994</v>
      </c>
      <c r="W1095" s="3">
        <v>1981600</v>
      </c>
      <c r="X1095" s="3">
        <v>17560100</v>
      </c>
      <c r="Y1095" s="3">
        <v>15578500</v>
      </c>
      <c r="Z1095" s="3">
        <v>18784500</v>
      </c>
      <c r="AA1095" s="3">
        <v>-1224400</v>
      </c>
      <c r="AB1095" s="3">
        <v>-7</v>
      </c>
    </row>
    <row r="1096" spans="1:28" x14ac:dyDescent="0.35">
      <c r="A1096">
        <v>2022</v>
      </c>
      <c r="B1096" t="str">
        <f t="shared" si="142"/>
        <v>58</v>
      </c>
      <c r="C1096" t="s">
        <v>391</v>
      </c>
      <c r="D1096" t="s">
        <v>33</v>
      </c>
      <c r="E1096" t="str">
        <f>"108"</f>
        <v>108</v>
      </c>
      <c r="F1096" t="s">
        <v>393</v>
      </c>
      <c r="G1096" t="str">
        <f>"002"</f>
        <v>002</v>
      </c>
      <c r="H1096" t="str">
        <f>"0623"</f>
        <v>0623</v>
      </c>
      <c r="I1096" s="3">
        <v>192600</v>
      </c>
      <c r="J1096" s="3">
        <v>76.77</v>
      </c>
      <c r="K1096" s="3">
        <v>250900</v>
      </c>
      <c r="L1096" s="3">
        <v>0</v>
      </c>
      <c r="M1096" s="3">
        <v>250900</v>
      </c>
      <c r="N1096" s="3">
        <v>0</v>
      </c>
      <c r="O1096" s="3">
        <v>0</v>
      </c>
      <c r="P1096" s="3">
        <v>0</v>
      </c>
      <c r="Q1096" s="3">
        <v>0</v>
      </c>
      <c r="R1096" s="3">
        <v>-300</v>
      </c>
      <c r="S1096" s="3">
        <v>0</v>
      </c>
      <c r="T1096" s="3">
        <v>0</v>
      </c>
      <c r="U1096" s="3">
        <v>0</v>
      </c>
      <c r="V1096" s="3">
        <v>1997</v>
      </c>
      <c r="W1096" s="3">
        <v>37400</v>
      </c>
      <c r="X1096" s="3">
        <v>250600</v>
      </c>
      <c r="Y1096" s="3">
        <v>213200</v>
      </c>
      <c r="Z1096" s="3">
        <v>231800</v>
      </c>
      <c r="AA1096" s="3">
        <v>18800</v>
      </c>
      <c r="AB1096" s="3">
        <v>8</v>
      </c>
    </row>
    <row r="1097" spans="1:28" x14ac:dyDescent="0.35">
      <c r="A1097">
        <v>2022</v>
      </c>
      <c r="B1097" t="str">
        <f t="shared" si="142"/>
        <v>58</v>
      </c>
      <c r="C1097" t="s">
        <v>391</v>
      </c>
      <c r="D1097" t="s">
        <v>33</v>
      </c>
      <c r="E1097" t="str">
        <f>"131"</f>
        <v>131</v>
      </c>
      <c r="F1097" t="s">
        <v>394</v>
      </c>
      <c r="G1097" t="str">
        <f>"001"</f>
        <v>001</v>
      </c>
      <c r="H1097" t="str">
        <f>"2415"</f>
        <v>2415</v>
      </c>
      <c r="I1097" s="3">
        <v>768100</v>
      </c>
      <c r="J1097" s="3">
        <v>75.069999999999993</v>
      </c>
      <c r="K1097" s="3">
        <v>1023200</v>
      </c>
      <c r="L1097" s="3">
        <v>0</v>
      </c>
      <c r="M1097" s="3">
        <v>1023200</v>
      </c>
      <c r="N1097" s="3">
        <v>0</v>
      </c>
      <c r="O1097" s="3">
        <v>0</v>
      </c>
      <c r="P1097" s="3">
        <v>0</v>
      </c>
      <c r="Q1097" s="3">
        <v>0</v>
      </c>
      <c r="R1097" s="3">
        <v>-3600</v>
      </c>
      <c r="S1097" s="3">
        <v>0</v>
      </c>
      <c r="T1097" s="3">
        <v>0</v>
      </c>
      <c r="U1097" s="3">
        <v>736300</v>
      </c>
      <c r="V1097" s="3">
        <v>2011</v>
      </c>
      <c r="W1097" s="3">
        <v>1251500</v>
      </c>
      <c r="X1097" s="3">
        <v>1755900</v>
      </c>
      <c r="Y1097" s="3">
        <v>504400</v>
      </c>
      <c r="Z1097" s="3">
        <v>1575000</v>
      </c>
      <c r="AA1097" s="3">
        <v>180900</v>
      </c>
      <c r="AB1097" s="3">
        <v>11</v>
      </c>
    </row>
    <row r="1098" spans="1:28" x14ac:dyDescent="0.35">
      <c r="A1098">
        <v>2022</v>
      </c>
      <c r="B1098" t="str">
        <f t="shared" si="142"/>
        <v>58</v>
      </c>
      <c r="C1098" t="s">
        <v>391</v>
      </c>
      <c r="D1098" t="s">
        <v>33</v>
      </c>
      <c r="E1098" t="str">
        <f>"131"</f>
        <v>131</v>
      </c>
      <c r="F1098" t="s">
        <v>394</v>
      </c>
      <c r="G1098" t="str">
        <f>"002"</f>
        <v>002</v>
      </c>
      <c r="H1098" t="str">
        <f>"2415"</f>
        <v>2415</v>
      </c>
      <c r="I1098" s="3">
        <v>3223100</v>
      </c>
      <c r="J1098" s="3">
        <v>75.069999999999993</v>
      </c>
      <c r="K1098" s="3">
        <v>4293500</v>
      </c>
      <c r="L1098" s="3">
        <v>0</v>
      </c>
      <c r="M1098" s="3">
        <v>4293500</v>
      </c>
      <c r="N1098" s="3">
        <v>289000</v>
      </c>
      <c r="O1098" s="3">
        <v>289000</v>
      </c>
      <c r="P1098" s="3">
        <v>18900</v>
      </c>
      <c r="Q1098" s="3">
        <v>18900</v>
      </c>
      <c r="R1098" s="3">
        <v>-15300</v>
      </c>
      <c r="S1098" s="3">
        <v>0</v>
      </c>
      <c r="T1098" s="3">
        <v>0</v>
      </c>
      <c r="U1098" s="3">
        <v>0</v>
      </c>
      <c r="V1098" s="3">
        <v>2015</v>
      </c>
      <c r="W1098" s="3">
        <v>2482000</v>
      </c>
      <c r="X1098" s="3">
        <v>4586100</v>
      </c>
      <c r="Y1098" s="3">
        <v>2104100</v>
      </c>
      <c r="Z1098" s="3">
        <v>3833600</v>
      </c>
      <c r="AA1098" s="3">
        <v>752500</v>
      </c>
      <c r="AB1098" s="3">
        <v>20</v>
      </c>
    </row>
    <row r="1099" spans="1:28" x14ac:dyDescent="0.35">
      <c r="A1099">
        <v>2022</v>
      </c>
      <c r="B1099" t="str">
        <f t="shared" si="142"/>
        <v>58</v>
      </c>
      <c r="C1099" t="s">
        <v>391</v>
      </c>
      <c r="D1099" t="s">
        <v>33</v>
      </c>
      <c r="E1099" t="str">
        <f>"186"</f>
        <v>186</v>
      </c>
      <c r="F1099" t="s">
        <v>395</v>
      </c>
      <c r="G1099" t="str">
        <f>"001"</f>
        <v>001</v>
      </c>
      <c r="H1099" t="str">
        <f>"5740"</f>
        <v>5740</v>
      </c>
      <c r="I1099" s="3">
        <v>2258100</v>
      </c>
      <c r="J1099" s="3">
        <v>100</v>
      </c>
      <c r="K1099" s="3">
        <v>2258100</v>
      </c>
      <c r="L1099" s="3">
        <v>0</v>
      </c>
      <c r="M1099" s="3">
        <v>2258100</v>
      </c>
      <c r="N1099" s="3">
        <v>0</v>
      </c>
      <c r="O1099" s="3">
        <v>0</v>
      </c>
      <c r="P1099" s="3">
        <v>0</v>
      </c>
      <c r="Q1099" s="3">
        <v>0</v>
      </c>
      <c r="R1099" s="3">
        <v>2400</v>
      </c>
      <c r="S1099" s="3">
        <v>0</v>
      </c>
      <c r="T1099" s="3">
        <v>0</v>
      </c>
      <c r="U1099" s="3">
        <v>313500</v>
      </c>
      <c r="V1099" s="3">
        <v>1996</v>
      </c>
      <c r="W1099" s="3">
        <v>124900</v>
      </c>
      <c r="X1099" s="3">
        <v>2574000</v>
      </c>
      <c r="Y1099" s="3">
        <v>2449100</v>
      </c>
      <c r="Z1099" s="3">
        <v>2269300</v>
      </c>
      <c r="AA1099" s="3">
        <v>304700</v>
      </c>
      <c r="AB1099" s="3">
        <v>13</v>
      </c>
    </row>
    <row r="1100" spans="1:28" x14ac:dyDescent="0.35">
      <c r="A1100">
        <v>2022</v>
      </c>
      <c r="B1100" t="str">
        <f t="shared" si="142"/>
        <v>58</v>
      </c>
      <c r="C1100" t="s">
        <v>391</v>
      </c>
      <c r="D1100" t="s">
        <v>33</v>
      </c>
      <c r="E1100" t="str">
        <f>"186"</f>
        <v>186</v>
      </c>
      <c r="F1100" t="s">
        <v>395</v>
      </c>
      <c r="G1100" t="str">
        <f>"002"</f>
        <v>002</v>
      </c>
      <c r="H1100" t="str">
        <f>"5740"</f>
        <v>5740</v>
      </c>
      <c r="I1100" s="3">
        <v>620200</v>
      </c>
      <c r="J1100" s="3">
        <v>100</v>
      </c>
      <c r="K1100" s="3">
        <v>620200</v>
      </c>
      <c r="L1100" s="3">
        <v>0</v>
      </c>
      <c r="M1100" s="3">
        <v>620200</v>
      </c>
      <c r="N1100" s="3">
        <v>608800</v>
      </c>
      <c r="O1100" s="3">
        <v>608800</v>
      </c>
      <c r="P1100" s="3">
        <v>72700</v>
      </c>
      <c r="Q1100" s="3">
        <v>72700</v>
      </c>
      <c r="R1100" s="3">
        <v>600</v>
      </c>
      <c r="S1100" s="3">
        <v>0</v>
      </c>
      <c r="T1100" s="3">
        <v>0</v>
      </c>
      <c r="U1100" s="3">
        <v>0</v>
      </c>
      <c r="V1100" s="3">
        <v>2014</v>
      </c>
      <c r="W1100" s="3">
        <v>637900</v>
      </c>
      <c r="X1100" s="3">
        <v>1302300</v>
      </c>
      <c r="Y1100" s="3">
        <v>664400</v>
      </c>
      <c r="Z1100" s="3">
        <v>1212100</v>
      </c>
      <c r="AA1100" s="3">
        <v>90200</v>
      </c>
      <c r="AB1100" s="3">
        <v>7</v>
      </c>
    </row>
    <row r="1101" spans="1:28" x14ac:dyDescent="0.35">
      <c r="A1101">
        <v>2022</v>
      </c>
      <c r="B1101" t="str">
        <f t="shared" si="142"/>
        <v>58</v>
      </c>
      <c r="C1101" t="s">
        <v>391</v>
      </c>
      <c r="D1101" t="s">
        <v>33</v>
      </c>
      <c r="E1101" t="str">
        <f>"191"</f>
        <v>191</v>
      </c>
      <c r="F1101" t="s">
        <v>396</v>
      </c>
      <c r="G1101" t="str">
        <f>"001"</f>
        <v>001</v>
      </c>
      <c r="H1101" t="str">
        <f>"6692"</f>
        <v>6692</v>
      </c>
      <c r="I1101" s="3">
        <v>1287800</v>
      </c>
      <c r="J1101" s="3">
        <v>72.95</v>
      </c>
      <c r="K1101" s="3">
        <v>1765300</v>
      </c>
      <c r="L1101" s="3">
        <v>0</v>
      </c>
      <c r="M1101" s="3">
        <v>1765300</v>
      </c>
      <c r="N1101" s="3">
        <v>4773600</v>
      </c>
      <c r="O1101" s="3">
        <v>4773600</v>
      </c>
      <c r="P1101" s="3">
        <v>657600</v>
      </c>
      <c r="Q1101" s="3">
        <v>657600</v>
      </c>
      <c r="R1101" s="3">
        <v>-400</v>
      </c>
      <c r="S1101" s="3">
        <v>0</v>
      </c>
      <c r="T1101" s="3">
        <v>0</v>
      </c>
      <c r="U1101" s="3">
        <v>0</v>
      </c>
      <c r="V1101" s="3">
        <v>2000</v>
      </c>
      <c r="W1101" s="3">
        <v>201400</v>
      </c>
      <c r="X1101" s="3">
        <v>7196100</v>
      </c>
      <c r="Y1101" s="3">
        <v>6994700</v>
      </c>
      <c r="Z1101" s="3">
        <v>7042800</v>
      </c>
      <c r="AA1101" s="3">
        <v>153300</v>
      </c>
      <c r="AB1101" s="3">
        <v>2</v>
      </c>
    </row>
    <row r="1102" spans="1:28" x14ac:dyDescent="0.35">
      <c r="A1102">
        <v>2022</v>
      </c>
      <c r="B1102" t="str">
        <f t="shared" si="142"/>
        <v>58</v>
      </c>
      <c r="C1102" t="s">
        <v>391</v>
      </c>
      <c r="D1102" t="s">
        <v>33</v>
      </c>
      <c r="E1102" t="str">
        <f>"191"</f>
        <v>191</v>
      </c>
      <c r="F1102" t="s">
        <v>396</v>
      </c>
      <c r="G1102" t="str">
        <f>"002"</f>
        <v>002</v>
      </c>
      <c r="H1102" t="str">
        <f>"6692"</f>
        <v>6692</v>
      </c>
      <c r="I1102" s="3">
        <v>2597300</v>
      </c>
      <c r="J1102" s="3">
        <v>72.95</v>
      </c>
      <c r="K1102" s="3">
        <v>3560400</v>
      </c>
      <c r="L1102" s="3">
        <v>0</v>
      </c>
      <c r="M1102" s="3">
        <v>3560400</v>
      </c>
      <c r="N1102" s="3">
        <v>0</v>
      </c>
      <c r="O1102" s="3">
        <v>0</v>
      </c>
      <c r="P1102" s="3">
        <v>0</v>
      </c>
      <c r="Q1102" s="3">
        <v>0</v>
      </c>
      <c r="R1102" s="3">
        <v>-700</v>
      </c>
      <c r="S1102" s="3">
        <v>0</v>
      </c>
      <c r="T1102" s="3">
        <v>0</v>
      </c>
      <c r="U1102" s="3">
        <v>0</v>
      </c>
      <c r="V1102" s="3">
        <v>2011</v>
      </c>
      <c r="W1102" s="3">
        <v>1407900</v>
      </c>
      <c r="X1102" s="3">
        <v>3559700</v>
      </c>
      <c r="Y1102" s="3">
        <v>2151800</v>
      </c>
      <c r="Z1102" s="3">
        <v>3591900</v>
      </c>
      <c r="AA1102" s="3">
        <v>-32200</v>
      </c>
      <c r="AB1102" s="3">
        <v>-1</v>
      </c>
    </row>
    <row r="1103" spans="1:28" x14ac:dyDescent="0.35">
      <c r="A1103">
        <v>2022</v>
      </c>
      <c r="B1103" t="str">
        <f t="shared" si="142"/>
        <v>58</v>
      </c>
      <c r="C1103" t="s">
        <v>391</v>
      </c>
      <c r="D1103" t="s">
        <v>33</v>
      </c>
      <c r="E1103" t="str">
        <f>"191"</f>
        <v>191</v>
      </c>
      <c r="F1103" t="s">
        <v>396</v>
      </c>
      <c r="G1103" t="str">
        <f>"003"</f>
        <v>003</v>
      </c>
      <c r="H1103" t="str">
        <f>"6692"</f>
        <v>6692</v>
      </c>
      <c r="I1103" s="3">
        <v>0</v>
      </c>
      <c r="J1103" s="3">
        <v>72.95</v>
      </c>
      <c r="K1103" s="3">
        <v>0</v>
      </c>
      <c r="L1103" s="3">
        <v>0</v>
      </c>
      <c r="M1103" s="3">
        <v>0</v>
      </c>
      <c r="N1103" s="3">
        <v>5013800</v>
      </c>
      <c r="O1103" s="3">
        <v>5013800</v>
      </c>
      <c r="P1103" s="3">
        <v>1433500</v>
      </c>
      <c r="Q1103" s="3">
        <v>1433500</v>
      </c>
      <c r="R1103" s="3">
        <v>0</v>
      </c>
      <c r="S1103" s="3">
        <v>0</v>
      </c>
      <c r="T1103" s="3">
        <v>0</v>
      </c>
      <c r="U1103" s="3">
        <v>0</v>
      </c>
      <c r="V1103" s="3">
        <v>2015</v>
      </c>
      <c r="W1103" s="3">
        <v>3300</v>
      </c>
      <c r="X1103" s="3">
        <v>6447300</v>
      </c>
      <c r="Y1103" s="3">
        <v>6444000</v>
      </c>
      <c r="Z1103" s="3">
        <v>6656800</v>
      </c>
      <c r="AA1103" s="3">
        <v>-209500</v>
      </c>
      <c r="AB1103" s="3">
        <v>-3</v>
      </c>
    </row>
    <row r="1104" spans="1:28" x14ac:dyDescent="0.35">
      <c r="A1104">
        <v>2022</v>
      </c>
      <c r="B1104" t="str">
        <f t="shared" si="142"/>
        <v>58</v>
      </c>
      <c r="C1104" t="s">
        <v>391</v>
      </c>
      <c r="D1104" t="s">
        <v>35</v>
      </c>
      <c r="E1104" t="str">
        <f>"281"</f>
        <v>281</v>
      </c>
      <c r="F1104" t="s">
        <v>391</v>
      </c>
      <c r="G1104" t="str">
        <f>"004"</f>
        <v>004</v>
      </c>
      <c r="H1104" t="str">
        <f>"5264"</f>
        <v>5264</v>
      </c>
      <c r="I1104" s="3">
        <v>25108700</v>
      </c>
      <c r="J1104" s="3">
        <v>82.77</v>
      </c>
      <c r="K1104" s="3">
        <v>30335500</v>
      </c>
      <c r="L1104" s="3">
        <v>0</v>
      </c>
      <c r="M1104" s="3">
        <v>30335500</v>
      </c>
      <c r="N1104" s="3">
        <v>108200</v>
      </c>
      <c r="O1104" s="3">
        <v>108200</v>
      </c>
      <c r="P1104" s="3">
        <v>0</v>
      </c>
      <c r="Q1104" s="3">
        <v>0</v>
      </c>
      <c r="R1104" s="3">
        <v>30100</v>
      </c>
      <c r="S1104" s="3">
        <v>0</v>
      </c>
      <c r="T1104" s="3">
        <v>0</v>
      </c>
      <c r="U1104" s="3">
        <v>0</v>
      </c>
      <c r="V1104" s="3">
        <v>2000</v>
      </c>
      <c r="W1104" s="3">
        <v>13105100</v>
      </c>
      <c r="X1104" s="3">
        <v>30473800</v>
      </c>
      <c r="Y1104" s="3">
        <v>17368700</v>
      </c>
      <c r="Z1104" s="3">
        <v>25162700</v>
      </c>
      <c r="AA1104" s="3">
        <v>5311100</v>
      </c>
      <c r="AB1104" s="3">
        <v>21</v>
      </c>
    </row>
    <row r="1105" spans="1:28" x14ac:dyDescent="0.35">
      <c r="A1105">
        <v>2022</v>
      </c>
      <c r="B1105" t="str">
        <f t="shared" si="142"/>
        <v>58</v>
      </c>
      <c r="C1105" t="s">
        <v>391</v>
      </c>
      <c r="D1105" t="s">
        <v>35</v>
      </c>
      <c r="E1105" t="str">
        <f>"281"</f>
        <v>281</v>
      </c>
      <c r="F1105" t="s">
        <v>391</v>
      </c>
      <c r="G1105" t="str">
        <f>"005"</f>
        <v>005</v>
      </c>
      <c r="H1105" t="str">
        <f>"5264"</f>
        <v>5264</v>
      </c>
      <c r="I1105" s="3">
        <v>1439600</v>
      </c>
      <c r="J1105" s="3">
        <v>82.77</v>
      </c>
      <c r="K1105" s="3">
        <v>1739300</v>
      </c>
      <c r="L1105" s="3">
        <v>0</v>
      </c>
      <c r="M1105" s="3">
        <v>1739300</v>
      </c>
      <c r="N1105" s="3">
        <v>4022100</v>
      </c>
      <c r="O1105" s="3">
        <v>4022100</v>
      </c>
      <c r="P1105" s="3">
        <v>195200</v>
      </c>
      <c r="Q1105" s="3">
        <v>195200</v>
      </c>
      <c r="R1105" s="3">
        <v>1700</v>
      </c>
      <c r="S1105" s="3">
        <v>0</v>
      </c>
      <c r="T1105" s="3">
        <v>0</v>
      </c>
      <c r="U1105" s="3">
        <v>0</v>
      </c>
      <c r="V1105" s="3">
        <v>2001</v>
      </c>
      <c r="W1105" s="3">
        <v>314300</v>
      </c>
      <c r="X1105" s="3">
        <v>5958300</v>
      </c>
      <c r="Y1105" s="3">
        <v>5644000</v>
      </c>
      <c r="Z1105" s="3">
        <v>5610600</v>
      </c>
      <c r="AA1105" s="3">
        <v>347700</v>
      </c>
      <c r="AB1105" s="3">
        <v>6</v>
      </c>
    </row>
    <row r="1106" spans="1:28" x14ac:dyDescent="0.35">
      <c r="A1106">
        <v>2022</v>
      </c>
      <c r="B1106" t="str">
        <f t="shared" si="142"/>
        <v>58</v>
      </c>
      <c r="C1106" t="s">
        <v>391</v>
      </c>
      <c r="D1106" t="s">
        <v>35</v>
      </c>
      <c r="E1106" t="str">
        <f>"281"</f>
        <v>281</v>
      </c>
      <c r="F1106" t="s">
        <v>391</v>
      </c>
      <c r="G1106" t="str">
        <f>"006"</f>
        <v>006</v>
      </c>
      <c r="H1106" t="str">
        <f>"5264"</f>
        <v>5264</v>
      </c>
      <c r="I1106" s="3">
        <v>40381600</v>
      </c>
      <c r="J1106" s="3">
        <v>82.77</v>
      </c>
      <c r="K1106" s="3">
        <v>48787700</v>
      </c>
      <c r="L1106" s="3">
        <v>0</v>
      </c>
      <c r="M1106" s="3">
        <v>48787700</v>
      </c>
      <c r="N1106" s="3">
        <v>1145100</v>
      </c>
      <c r="O1106" s="3">
        <v>1145100</v>
      </c>
      <c r="P1106" s="3">
        <v>27600</v>
      </c>
      <c r="Q1106" s="3">
        <v>27600</v>
      </c>
      <c r="R1106" s="3">
        <v>13900</v>
      </c>
      <c r="S1106" s="3">
        <v>0</v>
      </c>
      <c r="T1106" s="3">
        <v>0</v>
      </c>
      <c r="U1106" s="3">
        <v>0</v>
      </c>
      <c r="V1106" s="3">
        <v>2014</v>
      </c>
      <c r="W1106" s="3">
        <v>34897300</v>
      </c>
      <c r="X1106" s="3">
        <v>49974300</v>
      </c>
      <c r="Y1106" s="3">
        <v>15077000</v>
      </c>
      <c r="Z1106" s="3">
        <v>41938200</v>
      </c>
      <c r="AA1106" s="3">
        <v>8036100</v>
      </c>
      <c r="AB1106" s="3">
        <v>19</v>
      </c>
    </row>
    <row r="1107" spans="1:28" x14ac:dyDescent="0.35">
      <c r="A1107">
        <v>2022</v>
      </c>
      <c r="B1107" t="str">
        <f t="shared" si="142"/>
        <v>58</v>
      </c>
      <c r="C1107" t="s">
        <v>391</v>
      </c>
      <c r="D1107" t="s">
        <v>35</v>
      </c>
      <c r="E1107" t="str">
        <f>"281"</f>
        <v>281</v>
      </c>
      <c r="F1107" t="s">
        <v>391</v>
      </c>
      <c r="G1107" t="str">
        <f>"007"</f>
        <v>007</v>
      </c>
      <c r="H1107" t="str">
        <f>"5264"</f>
        <v>5264</v>
      </c>
      <c r="I1107" s="3">
        <v>37447500</v>
      </c>
      <c r="J1107" s="3">
        <v>82.77</v>
      </c>
      <c r="K1107" s="3">
        <v>45242800</v>
      </c>
      <c r="L1107" s="3">
        <v>0</v>
      </c>
      <c r="M1107" s="3">
        <v>45242800</v>
      </c>
      <c r="N1107" s="3">
        <v>13705400</v>
      </c>
      <c r="O1107" s="3">
        <v>13705400</v>
      </c>
      <c r="P1107" s="3">
        <v>917100</v>
      </c>
      <c r="Q1107" s="3">
        <v>917100</v>
      </c>
      <c r="R1107" s="3">
        <v>35900</v>
      </c>
      <c r="S1107" s="3">
        <v>0</v>
      </c>
      <c r="T1107" s="3">
        <v>0</v>
      </c>
      <c r="U1107" s="3">
        <v>0</v>
      </c>
      <c r="V1107" s="3">
        <v>2016</v>
      </c>
      <c r="W1107" s="3">
        <v>6988200</v>
      </c>
      <c r="X1107" s="3">
        <v>59901200</v>
      </c>
      <c r="Y1107" s="3">
        <v>52913000</v>
      </c>
      <c r="Z1107" s="3">
        <v>43802500</v>
      </c>
      <c r="AA1107" s="3">
        <v>16098700</v>
      </c>
      <c r="AB1107" s="3">
        <v>37</v>
      </c>
    </row>
    <row r="1108" spans="1:28" x14ac:dyDescent="0.35">
      <c r="A1108">
        <v>2022</v>
      </c>
      <c r="B1108" t="str">
        <f t="shared" si="142"/>
        <v>58</v>
      </c>
      <c r="C1108" t="s">
        <v>391</v>
      </c>
      <c r="D1108" t="s">
        <v>35</v>
      </c>
      <c r="E1108" t="str">
        <f>"281"</f>
        <v>281</v>
      </c>
      <c r="F1108" t="s">
        <v>391</v>
      </c>
      <c r="G1108" t="str">
        <f>"008"</f>
        <v>008</v>
      </c>
      <c r="H1108" t="str">
        <f>"5264"</f>
        <v>5264</v>
      </c>
      <c r="I1108" s="3">
        <v>1525700</v>
      </c>
      <c r="J1108" s="3">
        <v>82.77</v>
      </c>
      <c r="K1108" s="3">
        <v>1843300</v>
      </c>
      <c r="L1108" s="3">
        <v>0</v>
      </c>
      <c r="M1108" s="3">
        <v>1843300</v>
      </c>
      <c r="N1108" s="3">
        <v>0</v>
      </c>
      <c r="O1108" s="3">
        <v>0</v>
      </c>
      <c r="P1108" s="3">
        <v>0</v>
      </c>
      <c r="Q1108" s="3">
        <v>0</v>
      </c>
      <c r="R1108" s="3">
        <v>0</v>
      </c>
      <c r="S1108" s="3">
        <v>0</v>
      </c>
      <c r="T1108" s="3">
        <v>0</v>
      </c>
      <c r="U1108" s="3">
        <v>0</v>
      </c>
      <c r="V1108" s="3">
        <v>2018</v>
      </c>
      <c r="W1108" s="3">
        <v>215900</v>
      </c>
      <c r="X1108" s="3">
        <v>1843300</v>
      </c>
      <c r="Y1108" s="3">
        <v>1627400</v>
      </c>
      <c r="Z1108" s="3">
        <v>0</v>
      </c>
      <c r="AA1108" s="3">
        <v>1843300</v>
      </c>
      <c r="AB1108" s="3">
        <v>100</v>
      </c>
    </row>
    <row r="1109" spans="1:28" x14ac:dyDescent="0.35">
      <c r="A1109">
        <v>2022</v>
      </c>
      <c r="B1109" t="str">
        <f t="shared" ref="B1109:B1140" si="143">"59"</f>
        <v>59</v>
      </c>
      <c r="C1109" t="s">
        <v>397</v>
      </c>
      <c r="D1109" t="s">
        <v>31</v>
      </c>
      <c r="E1109" t="str">
        <f>"024"</f>
        <v>024</v>
      </c>
      <c r="F1109" t="s">
        <v>397</v>
      </c>
      <c r="G1109" t="str">
        <f>"001A"</f>
        <v>001A</v>
      </c>
      <c r="H1109" t="str">
        <f>"5271"</f>
        <v>5271</v>
      </c>
      <c r="I1109" s="3">
        <v>24104300</v>
      </c>
      <c r="J1109" s="3">
        <v>74.42</v>
      </c>
      <c r="K1109" s="3">
        <v>32389500</v>
      </c>
      <c r="L1109" s="3">
        <v>0</v>
      </c>
      <c r="M1109" s="3">
        <v>32389500</v>
      </c>
      <c r="N1109" s="3">
        <v>6978500</v>
      </c>
      <c r="O1109" s="3">
        <v>6978500</v>
      </c>
      <c r="P1109" s="3">
        <v>1047500</v>
      </c>
      <c r="Q1109" s="3">
        <v>1047500</v>
      </c>
      <c r="R1109" s="3">
        <v>-2900</v>
      </c>
      <c r="S1109" s="3">
        <v>0</v>
      </c>
      <c r="T1109" s="3">
        <v>0</v>
      </c>
      <c r="U1109" s="3">
        <v>0</v>
      </c>
      <c r="V1109" s="3">
        <v>2020</v>
      </c>
      <c r="W1109" s="3">
        <v>27001400</v>
      </c>
      <c r="X1109" s="3">
        <v>40412600</v>
      </c>
      <c r="Y1109" s="3">
        <v>13411200</v>
      </c>
      <c r="Z1109" s="3">
        <v>28242500</v>
      </c>
      <c r="AA1109" s="3">
        <v>12170100</v>
      </c>
      <c r="AB1109" s="3">
        <v>43</v>
      </c>
    </row>
    <row r="1110" spans="1:28" x14ac:dyDescent="0.35">
      <c r="A1110">
        <v>2022</v>
      </c>
      <c r="B1110" t="str">
        <f t="shared" si="143"/>
        <v>59</v>
      </c>
      <c r="C1110" t="s">
        <v>397</v>
      </c>
      <c r="D1110" t="s">
        <v>33</v>
      </c>
      <c r="E1110" t="str">
        <f>"111"</f>
        <v>111</v>
      </c>
      <c r="F1110" t="s">
        <v>398</v>
      </c>
      <c r="G1110" t="str">
        <f>"001"</f>
        <v>001</v>
      </c>
      <c r="H1110" t="str">
        <f>"4473"</f>
        <v>4473</v>
      </c>
      <c r="I1110" s="3">
        <v>0</v>
      </c>
      <c r="J1110" s="3">
        <v>79.7</v>
      </c>
      <c r="K1110" s="3">
        <v>0</v>
      </c>
      <c r="L1110" s="3">
        <v>0</v>
      </c>
      <c r="M1110" s="3">
        <v>0</v>
      </c>
      <c r="N1110" s="3">
        <v>1100000</v>
      </c>
      <c r="O1110" s="3">
        <v>1100000</v>
      </c>
      <c r="P1110" s="3">
        <v>146900</v>
      </c>
      <c r="Q1110" s="3">
        <v>146900</v>
      </c>
      <c r="R1110" s="3">
        <v>0</v>
      </c>
      <c r="S1110" s="3">
        <v>0</v>
      </c>
      <c r="T1110" s="3">
        <v>0</v>
      </c>
      <c r="U1110" s="3">
        <v>0</v>
      </c>
      <c r="V1110" s="3">
        <v>2011</v>
      </c>
      <c r="W1110" s="3">
        <v>577000</v>
      </c>
      <c r="X1110" s="3">
        <v>1246900</v>
      </c>
      <c r="Y1110" s="3">
        <v>669900</v>
      </c>
      <c r="Z1110" s="3">
        <v>1229700</v>
      </c>
      <c r="AA1110" s="3">
        <v>17200</v>
      </c>
      <c r="AB1110" s="3">
        <v>1</v>
      </c>
    </row>
    <row r="1111" spans="1:28" x14ac:dyDescent="0.35">
      <c r="A1111">
        <v>2022</v>
      </c>
      <c r="B1111" t="str">
        <f t="shared" si="143"/>
        <v>59</v>
      </c>
      <c r="C1111" t="s">
        <v>397</v>
      </c>
      <c r="D1111" t="s">
        <v>33</v>
      </c>
      <c r="E1111" t="str">
        <f>"112"</f>
        <v>112</v>
      </c>
      <c r="F1111" t="s">
        <v>399</v>
      </c>
      <c r="G1111" t="str">
        <f>"001"</f>
        <v>001</v>
      </c>
      <c r="H1111" t="str">
        <f>"1029"</f>
        <v>1029</v>
      </c>
      <c r="I1111" s="3">
        <v>776600</v>
      </c>
      <c r="J1111" s="3">
        <v>79.56</v>
      </c>
      <c r="K1111" s="3">
        <v>976100</v>
      </c>
      <c r="L1111" s="3">
        <v>0</v>
      </c>
      <c r="M1111" s="3">
        <v>976100</v>
      </c>
      <c r="N1111" s="3">
        <v>0</v>
      </c>
      <c r="O1111" s="3">
        <v>0</v>
      </c>
      <c r="P1111" s="3">
        <v>0</v>
      </c>
      <c r="Q1111" s="3">
        <v>0</v>
      </c>
      <c r="R1111" s="3">
        <v>-300</v>
      </c>
      <c r="S1111" s="3">
        <v>0</v>
      </c>
      <c r="T1111" s="3">
        <v>0</v>
      </c>
      <c r="U1111" s="3">
        <v>0</v>
      </c>
      <c r="V1111" s="3">
        <v>2009</v>
      </c>
      <c r="W1111" s="3">
        <v>244800</v>
      </c>
      <c r="X1111" s="3">
        <v>975800</v>
      </c>
      <c r="Y1111" s="3">
        <v>731000</v>
      </c>
      <c r="Z1111" s="3">
        <v>878800</v>
      </c>
      <c r="AA1111" s="3">
        <v>97000</v>
      </c>
      <c r="AB1111" s="3">
        <v>11</v>
      </c>
    </row>
    <row r="1112" spans="1:28" x14ac:dyDescent="0.35">
      <c r="A1112">
        <v>2022</v>
      </c>
      <c r="B1112" t="str">
        <f t="shared" si="143"/>
        <v>59</v>
      </c>
      <c r="C1112" t="s">
        <v>397</v>
      </c>
      <c r="D1112" t="s">
        <v>33</v>
      </c>
      <c r="E1112" t="str">
        <f>"121"</f>
        <v>121</v>
      </c>
      <c r="F1112" t="s">
        <v>400</v>
      </c>
      <c r="G1112" t="str">
        <f>"002"</f>
        <v>002</v>
      </c>
      <c r="H1112" t="str">
        <f>"1631"</f>
        <v>1631</v>
      </c>
      <c r="I1112" s="3">
        <v>20758100</v>
      </c>
      <c r="J1112" s="3">
        <v>82.43</v>
      </c>
      <c r="K1112" s="3">
        <v>25182700</v>
      </c>
      <c r="L1112" s="3">
        <v>0</v>
      </c>
      <c r="M1112" s="3">
        <v>25182700</v>
      </c>
      <c r="N1112" s="3">
        <v>8504300</v>
      </c>
      <c r="O1112" s="3">
        <v>8504300</v>
      </c>
      <c r="P1112" s="3">
        <v>5307300</v>
      </c>
      <c r="Q1112" s="3">
        <v>5307300</v>
      </c>
      <c r="R1112" s="3">
        <v>-4700</v>
      </c>
      <c r="S1112" s="3">
        <v>0</v>
      </c>
      <c r="T1112" s="3">
        <v>0</v>
      </c>
      <c r="U1112" s="3">
        <v>0</v>
      </c>
      <c r="V1112" s="3">
        <v>2013</v>
      </c>
      <c r="W1112" s="3">
        <v>11635700</v>
      </c>
      <c r="X1112" s="3">
        <v>38989600</v>
      </c>
      <c r="Y1112" s="3">
        <v>27353900</v>
      </c>
      <c r="Z1112" s="3">
        <v>32826700</v>
      </c>
      <c r="AA1112" s="3">
        <v>6162900</v>
      </c>
      <c r="AB1112" s="3">
        <v>19</v>
      </c>
    </row>
    <row r="1113" spans="1:28" x14ac:dyDescent="0.35">
      <c r="A1113">
        <v>2022</v>
      </c>
      <c r="B1113" t="str">
        <f t="shared" si="143"/>
        <v>59</v>
      </c>
      <c r="C1113" t="s">
        <v>397</v>
      </c>
      <c r="D1113" t="s">
        <v>33</v>
      </c>
      <c r="E1113" t="str">
        <f>"121"</f>
        <v>121</v>
      </c>
      <c r="F1113" t="s">
        <v>400</v>
      </c>
      <c r="G1113" t="str">
        <f>"003"</f>
        <v>003</v>
      </c>
      <c r="H1113" t="str">
        <f>"1631"</f>
        <v>1631</v>
      </c>
      <c r="I1113" s="3">
        <v>7023100</v>
      </c>
      <c r="J1113" s="3">
        <v>82.43</v>
      </c>
      <c r="K1113" s="3">
        <v>8520100</v>
      </c>
      <c r="L1113" s="3">
        <v>0</v>
      </c>
      <c r="M1113" s="3">
        <v>8520100</v>
      </c>
      <c r="N1113" s="3">
        <v>0</v>
      </c>
      <c r="O1113" s="3">
        <v>0</v>
      </c>
      <c r="P1113" s="3">
        <v>0</v>
      </c>
      <c r="Q1113" s="3">
        <v>0</v>
      </c>
      <c r="R1113" s="3">
        <v>-1900</v>
      </c>
      <c r="S1113" s="3">
        <v>0</v>
      </c>
      <c r="T1113" s="3">
        <v>0</v>
      </c>
      <c r="U1113" s="3">
        <v>0</v>
      </c>
      <c r="V1113" s="3">
        <v>2013</v>
      </c>
      <c r="W1113" s="3">
        <v>1850100</v>
      </c>
      <c r="X1113" s="3">
        <v>8518200</v>
      </c>
      <c r="Y1113" s="3">
        <v>6668100</v>
      </c>
      <c r="Z1113" s="3">
        <v>8259800</v>
      </c>
      <c r="AA1113" s="3">
        <v>258400</v>
      </c>
      <c r="AB1113" s="3">
        <v>3</v>
      </c>
    </row>
    <row r="1114" spans="1:28" x14ac:dyDescent="0.35">
      <c r="A1114">
        <v>2022</v>
      </c>
      <c r="B1114" t="str">
        <f t="shared" si="143"/>
        <v>59</v>
      </c>
      <c r="C1114" t="s">
        <v>397</v>
      </c>
      <c r="D1114" t="s">
        <v>33</v>
      </c>
      <c r="E1114" t="str">
        <f>"121"</f>
        <v>121</v>
      </c>
      <c r="F1114" t="s">
        <v>400</v>
      </c>
      <c r="G1114" t="str">
        <f>"004"</f>
        <v>004</v>
      </c>
      <c r="H1114" t="str">
        <f>"1631"</f>
        <v>1631</v>
      </c>
      <c r="I1114" s="3">
        <v>10901500</v>
      </c>
      <c r="J1114" s="3">
        <v>82.43</v>
      </c>
      <c r="K1114" s="3">
        <v>13225200</v>
      </c>
      <c r="L1114" s="3">
        <v>0</v>
      </c>
      <c r="M1114" s="3">
        <v>13225200</v>
      </c>
      <c r="N1114" s="3">
        <v>0</v>
      </c>
      <c r="O1114" s="3">
        <v>0</v>
      </c>
      <c r="P1114" s="3">
        <v>0</v>
      </c>
      <c r="Q1114" s="3">
        <v>0</v>
      </c>
      <c r="R1114" s="3">
        <v>-3000</v>
      </c>
      <c r="S1114" s="3">
        <v>0</v>
      </c>
      <c r="T1114" s="3">
        <v>0</v>
      </c>
      <c r="U1114" s="3">
        <v>0</v>
      </c>
      <c r="V1114" s="3">
        <v>2015</v>
      </c>
      <c r="W1114" s="3">
        <v>711400</v>
      </c>
      <c r="X1114" s="3">
        <v>13222200</v>
      </c>
      <c r="Y1114" s="3">
        <v>12510800</v>
      </c>
      <c r="Z1114" s="3">
        <v>12819700</v>
      </c>
      <c r="AA1114" s="3">
        <v>402500</v>
      </c>
      <c r="AB1114" s="3">
        <v>3</v>
      </c>
    </row>
    <row r="1115" spans="1:28" x14ac:dyDescent="0.35">
      <c r="A1115">
        <v>2022</v>
      </c>
      <c r="B1115" t="str">
        <f t="shared" si="143"/>
        <v>59</v>
      </c>
      <c r="C1115" t="s">
        <v>397</v>
      </c>
      <c r="D1115" t="s">
        <v>33</v>
      </c>
      <c r="E1115" t="str">
        <f>"131"</f>
        <v>131</v>
      </c>
      <c r="F1115" t="s">
        <v>401</v>
      </c>
      <c r="G1115" t="str">
        <f>"001"</f>
        <v>001</v>
      </c>
      <c r="H1115" t="str">
        <f>"1631"</f>
        <v>1631</v>
      </c>
      <c r="I1115" s="3">
        <v>3602000</v>
      </c>
      <c r="J1115" s="3">
        <v>75.459999999999994</v>
      </c>
      <c r="K1115" s="3">
        <v>4773400</v>
      </c>
      <c r="L1115" s="3">
        <v>0</v>
      </c>
      <c r="M1115" s="3">
        <v>4773400</v>
      </c>
      <c r="N1115" s="3">
        <v>0</v>
      </c>
      <c r="O1115" s="3">
        <v>0</v>
      </c>
      <c r="P1115" s="3">
        <v>0</v>
      </c>
      <c r="Q1115" s="3">
        <v>0</v>
      </c>
      <c r="R1115" s="3">
        <v>-2900</v>
      </c>
      <c r="S1115" s="3">
        <v>0</v>
      </c>
      <c r="T1115" s="3">
        <v>0</v>
      </c>
      <c r="U1115" s="3">
        <v>0</v>
      </c>
      <c r="V1115" s="3">
        <v>2005</v>
      </c>
      <c r="W1115" s="3">
        <v>1862900</v>
      </c>
      <c r="X1115" s="3">
        <v>4770500</v>
      </c>
      <c r="Y1115" s="3">
        <v>2907600</v>
      </c>
      <c r="Z1115" s="3">
        <v>4154800</v>
      </c>
      <c r="AA1115" s="3">
        <v>615700</v>
      </c>
      <c r="AB1115" s="3">
        <v>15</v>
      </c>
    </row>
    <row r="1116" spans="1:28" x14ac:dyDescent="0.35">
      <c r="A1116">
        <v>2022</v>
      </c>
      <c r="B1116" t="str">
        <f t="shared" si="143"/>
        <v>59</v>
      </c>
      <c r="C1116" t="s">
        <v>397</v>
      </c>
      <c r="D1116" t="s">
        <v>33</v>
      </c>
      <c r="E1116" t="str">
        <f>"165"</f>
        <v>165</v>
      </c>
      <c r="F1116" t="s">
        <v>402</v>
      </c>
      <c r="G1116" t="str">
        <f>"001"</f>
        <v>001</v>
      </c>
      <c r="H1116" t="str">
        <f>"4137"</f>
        <v>4137</v>
      </c>
      <c r="I1116" s="3">
        <v>10546100</v>
      </c>
      <c r="J1116" s="3">
        <v>76.930000000000007</v>
      </c>
      <c r="K1116" s="3">
        <v>13708700</v>
      </c>
      <c r="L1116" s="3">
        <v>0</v>
      </c>
      <c r="M1116" s="3">
        <v>13708700</v>
      </c>
      <c r="N1116" s="3">
        <v>12438700</v>
      </c>
      <c r="O1116" s="3">
        <v>12438700</v>
      </c>
      <c r="P1116" s="3">
        <v>1735400</v>
      </c>
      <c r="Q1116" s="3">
        <v>1735400</v>
      </c>
      <c r="R1116" s="3">
        <v>-16400</v>
      </c>
      <c r="S1116" s="3">
        <v>0</v>
      </c>
      <c r="T1116" s="3">
        <v>0</v>
      </c>
      <c r="U1116" s="3">
        <v>0</v>
      </c>
      <c r="V1116" s="3">
        <v>1999</v>
      </c>
      <c r="W1116" s="3">
        <v>403600</v>
      </c>
      <c r="X1116" s="3">
        <v>27866400</v>
      </c>
      <c r="Y1116" s="3">
        <v>27462800</v>
      </c>
      <c r="Z1116" s="3">
        <v>23499000</v>
      </c>
      <c r="AA1116" s="3">
        <v>4367400</v>
      </c>
      <c r="AB1116" s="3">
        <v>19</v>
      </c>
    </row>
    <row r="1117" spans="1:28" x14ac:dyDescent="0.35">
      <c r="A1117">
        <v>2022</v>
      </c>
      <c r="B1117" t="str">
        <f t="shared" si="143"/>
        <v>59</v>
      </c>
      <c r="C1117" t="s">
        <v>397</v>
      </c>
      <c r="D1117" t="s">
        <v>33</v>
      </c>
      <c r="E1117" t="str">
        <f>"165"</f>
        <v>165</v>
      </c>
      <c r="F1117" t="s">
        <v>402</v>
      </c>
      <c r="G1117" t="str">
        <f>"002"</f>
        <v>002</v>
      </c>
      <c r="H1117" t="str">
        <f>"4137"</f>
        <v>4137</v>
      </c>
      <c r="I1117" s="3">
        <v>15531300</v>
      </c>
      <c r="J1117" s="3">
        <v>76.930000000000007</v>
      </c>
      <c r="K1117" s="3">
        <v>20188900</v>
      </c>
      <c r="L1117" s="3">
        <v>0</v>
      </c>
      <c r="M1117" s="3">
        <v>20188900</v>
      </c>
      <c r="N1117" s="3">
        <v>0</v>
      </c>
      <c r="O1117" s="3">
        <v>0</v>
      </c>
      <c r="P1117" s="3">
        <v>0</v>
      </c>
      <c r="Q1117" s="3">
        <v>0</v>
      </c>
      <c r="R1117" s="3">
        <v>-26000</v>
      </c>
      <c r="S1117" s="3">
        <v>0</v>
      </c>
      <c r="T1117" s="3">
        <v>0</v>
      </c>
      <c r="U1117" s="3">
        <v>0</v>
      </c>
      <c r="V1117" s="3">
        <v>2001</v>
      </c>
      <c r="W1117" s="3">
        <v>5477800</v>
      </c>
      <c r="X1117" s="3">
        <v>20162900</v>
      </c>
      <c r="Y1117" s="3">
        <v>14685100</v>
      </c>
      <c r="Z1117" s="3">
        <v>19042100</v>
      </c>
      <c r="AA1117" s="3">
        <v>1120800</v>
      </c>
      <c r="AB1117" s="3">
        <v>6</v>
      </c>
    </row>
    <row r="1118" spans="1:28" x14ac:dyDescent="0.35">
      <c r="A1118">
        <v>2022</v>
      </c>
      <c r="B1118" t="str">
        <f t="shared" si="143"/>
        <v>59</v>
      </c>
      <c r="C1118" t="s">
        <v>397</v>
      </c>
      <c r="D1118" t="s">
        <v>33</v>
      </c>
      <c r="E1118" t="str">
        <f>"165"</f>
        <v>165</v>
      </c>
      <c r="F1118" t="s">
        <v>402</v>
      </c>
      <c r="G1118" t="str">
        <f>"003"</f>
        <v>003</v>
      </c>
      <c r="H1118" t="str">
        <f>"4137"</f>
        <v>4137</v>
      </c>
      <c r="I1118" s="3">
        <v>611900</v>
      </c>
      <c r="J1118" s="3">
        <v>76.930000000000007</v>
      </c>
      <c r="K1118" s="3">
        <v>795400</v>
      </c>
      <c r="L1118" s="3">
        <v>0</v>
      </c>
      <c r="M1118" s="3">
        <v>795400</v>
      </c>
      <c r="N1118" s="3">
        <v>22000000</v>
      </c>
      <c r="O1118" s="3">
        <v>22000000</v>
      </c>
      <c r="P1118" s="3">
        <v>1493800</v>
      </c>
      <c r="Q1118" s="3">
        <v>1493800</v>
      </c>
      <c r="R1118" s="3">
        <v>-900</v>
      </c>
      <c r="S1118" s="3">
        <v>0</v>
      </c>
      <c r="T1118" s="3">
        <v>0</v>
      </c>
      <c r="U1118" s="3">
        <v>0</v>
      </c>
      <c r="V1118" s="3">
        <v>2017</v>
      </c>
      <c r="W1118" s="3">
        <v>708100</v>
      </c>
      <c r="X1118" s="3">
        <v>24288300</v>
      </c>
      <c r="Y1118" s="3">
        <v>23580200</v>
      </c>
      <c r="Z1118" s="3">
        <v>18849900</v>
      </c>
      <c r="AA1118" s="3">
        <v>5438400</v>
      </c>
      <c r="AB1118" s="3">
        <v>29</v>
      </c>
    </row>
    <row r="1119" spans="1:28" x14ac:dyDescent="0.35">
      <c r="A1119">
        <v>2022</v>
      </c>
      <c r="B1119" t="str">
        <f t="shared" si="143"/>
        <v>59</v>
      </c>
      <c r="C1119" t="s">
        <v>397</v>
      </c>
      <c r="D1119" t="s">
        <v>33</v>
      </c>
      <c r="E1119" t="str">
        <f>"176"</f>
        <v>176</v>
      </c>
      <c r="F1119" t="s">
        <v>403</v>
      </c>
      <c r="G1119" t="str">
        <f>"003"</f>
        <v>003</v>
      </c>
      <c r="H1119" t="str">
        <f>"4641"</f>
        <v>4641</v>
      </c>
      <c r="I1119" s="3">
        <v>3382600</v>
      </c>
      <c r="J1119" s="3">
        <v>71.55</v>
      </c>
      <c r="K1119" s="3">
        <v>4727600</v>
      </c>
      <c r="L1119" s="3">
        <v>0</v>
      </c>
      <c r="M1119" s="3">
        <v>4727600</v>
      </c>
      <c r="N1119" s="3">
        <v>0</v>
      </c>
      <c r="O1119" s="3">
        <v>0</v>
      </c>
      <c r="P1119" s="3">
        <v>0</v>
      </c>
      <c r="Q1119" s="3">
        <v>0</v>
      </c>
      <c r="R1119" s="3">
        <v>-2700</v>
      </c>
      <c r="S1119" s="3">
        <v>0</v>
      </c>
      <c r="T1119" s="3">
        <v>0</v>
      </c>
      <c r="U1119" s="3">
        <v>0</v>
      </c>
      <c r="V1119" s="3">
        <v>2014</v>
      </c>
      <c r="W1119" s="3">
        <v>1397100</v>
      </c>
      <c r="X1119" s="3">
        <v>4724900</v>
      </c>
      <c r="Y1119" s="3">
        <v>3327800</v>
      </c>
      <c r="Z1119" s="3">
        <v>3144000</v>
      </c>
      <c r="AA1119" s="3">
        <v>1580900</v>
      </c>
      <c r="AB1119" s="3">
        <v>50</v>
      </c>
    </row>
    <row r="1120" spans="1:28" x14ac:dyDescent="0.35">
      <c r="A1120">
        <v>2022</v>
      </c>
      <c r="B1120" t="str">
        <f t="shared" si="143"/>
        <v>59</v>
      </c>
      <c r="C1120" t="s">
        <v>397</v>
      </c>
      <c r="D1120" t="s">
        <v>33</v>
      </c>
      <c r="E1120" t="str">
        <f>"176"</f>
        <v>176</v>
      </c>
      <c r="F1120" t="s">
        <v>403</v>
      </c>
      <c r="G1120" t="str">
        <f>"004"</f>
        <v>004</v>
      </c>
      <c r="H1120" t="str">
        <f>"4641"</f>
        <v>4641</v>
      </c>
      <c r="I1120" s="3">
        <v>529600</v>
      </c>
      <c r="J1120" s="3">
        <v>71.55</v>
      </c>
      <c r="K1120" s="3">
        <v>740200</v>
      </c>
      <c r="L1120" s="3">
        <v>0</v>
      </c>
      <c r="M1120" s="3">
        <v>740200</v>
      </c>
      <c r="N1120" s="3">
        <v>8262100</v>
      </c>
      <c r="O1120" s="3">
        <v>8262100</v>
      </c>
      <c r="P1120" s="3">
        <v>238300</v>
      </c>
      <c r="Q1120" s="3">
        <v>238300</v>
      </c>
      <c r="R1120" s="3">
        <v>0</v>
      </c>
      <c r="S1120" s="3">
        <v>0</v>
      </c>
      <c r="T1120" s="3">
        <v>0</v>
      </c>
      <c r="U1120" s="3">
        <v>0</v>
      </c>
      <c r="V1120" s="3">
        <v>2021</v>
      </c>
      <c r="W1120" s="3">
        <v>9066800</v>
      </c>
      <c r="X1120" s="3">
        <v>9240600</v>
      </c>
      <c r="Y1120" s="3">
        <v>173800</v>
      </c>
      <c r="Z1120" s="3">
        <v>9066800</v>
      </c>
      <c r="AA1120" s="3">
        <v>173800</v>
      </c>
      <c r="AB1120" s="3">
        <v>2</v>
      </c>
    </row>
    <row r="1121" spans="1:28" x14ac:dyDescent="0.35">
      <c r="A1121">
        <v>2022</v>
      </c>
      <c r="B1121" t="str">
        <f t="shared" si="143"/>
        <v>59</v>
      </c>
      <c r="C1121" t="s">
        <v>397</v>
      </c>
      <c r="D1121" t="s">
        <v>35</v>
      </c>
      <c r="E1121" t="str">
        <f>"271"</f>
        <v>271</v>
      </c>
      <c r="F1121" t="s">
        <v>404</v>
      </c>
      <c r="G1121" t="str">
        <f>"004"</f>
        <v>004</v>
      </c>
      <c r="H1121" t="str">
        <f>"4473"</f>
        <v>4473</v>
      </c>
      <c r="I1121" s="3">
        <v>110552600</v>
      </c>
      <c r="J1121" s="3">
        <v>100</v>
      </c>
      <c r="K1121" s="3">
        <v>110552600</v>
      </c>
      <c r="L1121" s="3">
        <v>0</v>
      </c>
      <c r="M1121" s="3">
        <v>110552600</v>
      </c>
      <c r="N1121" s="3">
        <v>43912100</v>
      </c>
      <c r="O1121" s="3">
        <v>43912100</v>
      </c>
      <c r="P1121" s="3">
        <v>2464200</v>
      </c>
      <c r="Q1121" s="3">
        <v>2464200</v>
      </c>
      <c r="R1121" s="3">
        <v>-27700</v>
      </c>
      <c r="S1121" s="3">
        <v>0</v>
      </c>
      <c r="T1121" s="3">
        <v>0</v>
      </c>
      <c r="U1121" s="3">
        <v>0</v>
      </c>
      <c r="V1121" s="3">
        <v>2001</v>
      </c>
      <c r="W1121" s="3">
        <v>17503300</v>
      </c>
      <c r="X1121" s="3">
        <v>156901200</v>
      </c>
      <c r="Y1121" s="3">
        <v>139397900</v>
      </c>
      <c r="Z1121" s="3">
        <v>161676200</v>
      </c>
      <c r="AA1121" s="3">
        <v>-4775000</v>
      </c>
      <c r="AB1121" s="3">
        <v>-3</v>
      </c>
    </row>
    <row r="1122" spans="1:28" x14ac:dyDescent="0.35">
      <c r="A1122">
        <v>2022</v>
      </c>
      <c r="B1122" t="str">
        <f t="shared" si="143"/>
        <v>59</v>
      </c>
      <c r="C1122" t="s">
        <v>397</v>
      </c>
      <c r="D1122" t="s">
        <v>35</v>
      </c>
      <c r="E1122" t="str">
        <f>"271"</f>
        <v>271</v>
      </c>
      <c r="F1122" t="s">
        <v>404</v>
      </c>
      <c r="G1122" t="str">
        <f>"005"</f>
        <v>005</v>
      </c>
      <c r="H1122" t="str">
        <f>"4473"</f>
        <v>4473</v>
      </c>
      <c r="I1122" s="3">
        <v>13761400</v>
      </c>
      <c r="J1122" s="3">
        <v>100</v>
      </c>
      <c r="K1122" s="3">
        <v>13761400</v>
      </c>
      <c r="L1122" s="3">
        <v>0</v>
      </c>
      <c r="M1122" s="3">
        <v>13761400</v>
      </c>
      <c r="N1122" s="3">
        <v>18303300</v>
      </c>
      <c r="O1122" s="3">
        <v>18303300</v>
      </c>
      <c r="P1122" s="3">
        <v>3083700</v>
      </c>
      <c r="Q1122" s="3">
        <v>3083700</v>
      </c>
      <c r="R1122" s="3">
        <v>-3500</v>
      </c>
      <c r="S1122" s="3">
        <v>0</v>
      </c>
      <c r="T1122" s="3">
        <v>0</v>
      </c>
      <c r="U1122" s="3">
        <v>0</v>
      </c>
      <c r="V1122" s="3">
        <v>2008</v>
      </c>
      <c r="W1122" s="3">
        <v>16600500</v>
      </c>
      <c r="X1122" s="3">
        <v>35144900</v>
      </c>
      <c r="Y1122" s="3">
        <v>18544400</v>
      </c>
      <c r="Z1122" s="3">
        <v>33189000</v>
      </c>
      <c r="AA1122" s="3">
        <v>1955900</v>
      </c>
      <c r="AB1122" s="3">
        <v>6</v>
      </c>
    </row>
    <row r="1123" spans="1:28" x14ac:dyDescent="0.35">
      <c r="A1123">
        <v>2022</v>
      </c>
      <c r="B1123" t="str">
        <f t="shared" si="143"/>
        <v>59</v>
      </c>
      <c r="C1123" t="s">
        <v>397</v>
      </c>
      <c r="D1123" t="s">
        <v>35</v>
      </c>
      <c r="E1123" t="str">
        <f>"271"</f>
        <v>271</v>
      </c>
      <c r="F1123" t="s">
        <v>404</v>
      </c>
      <c r="G1123" t="str">
        <f>"006"</f>
        <v>006</v>
      </c>
      <c r="H1123" t="str">
        <f>"4473"</f>
        <v>4473</v>
      </c>
      <c r="I1123" s="3">
        <v>0</v>
      </c>
      <c r="J1123" s="3">
        <v>100</v>
      </c>
      <c r="K1123" s="3">
        <v>0</v>
      </c>
      <c r="L1123" s="3">
        <v>0</v>
      </c>
      <c r="M1123" s="3">
        <v>0</v>
      </c>
      <c r="N1123" s="3">
        <v>7244700</v>
      </c>
      <c r="O1123" s="3">
        <v>7244700</v>
      </c>
      <c r="P1123" s="3">
        <v>447300</v>
      </c>
      <c r="Q1123" s="3">
        <v>447300</v>
      </c>
      <c r="R1123" s="3">
        <v>0</v>
      </c>
      <c r="S1123" s="3">
        <v>0</v>
      </c>
      <c r="T1123" s="3">
        <v>0</v>
      </c>
      <c r="U1123" s="3">
        <v>0</v>
      </c>
      <c r="V1123" s="3">
        <v>2011</v>
      </c>
      <c r="W1123" s="3">
        <v>42600</v>
      </c>
      <c r="X1123" s="3">
        <v>7692000</v>
      </c>
      <c r="Y1123" s="3">
        <v>7649400</v>
      </c>
      <c r="Z1123" s="3">
        <v>7954700</v>
      </c>
      <c r="AA1123" s="3">
        <v>-262700</v>
      </c>
      <c r="AB1123" s="3">
        <v>-3</v>
      </c>
    </row>
    <row r="1124" spans="1:28" x14ac:dyDescent="0.35">
      <c r="A1124">
        <v>2022</v>
      </c>
      <c r="B1124" t="str">
        <f t="shared" si="143"/>
        <v>59</v>
      </c>
      <c r="C1124" t="s">
        <v>397</v>
      </c>
      <c r="D1124" t="s">
        <v>35</v>
      </c>
      <c r="E1124" t="str">
        <f t="shared" ref="E1124:E1135" si="144">"281"</f>
        <v>281</v>
      </c>
      <c r="F1124" t="s">
        <v>397</v>
      </c>
      <c r="G1124" t="str">
        <f>"001E"</f>
        <v>001E</v>
      </c>
      <c r="H1124" t="str">
        <f t="shared" ref="H1124:H1135" si="145">"5271"</f>
        <v>5271</v>
      </c>
      <c r="I1124" s="3">
        <v>7591400</v>
      </c>
      <c r="J1124" s="3">
        <v>100</v>
      </c>
      <c r="K1124" s="3">
        <v>7591400</v>
      </c>
      <c r="L1124" s="3">
        <v>0</v>
      </c>
      <c r="M1124" s="3">
        <v>7591400</v>
      </c>
      <c r="N1124" s="3">
        <v>0</v>
      </c>
      <c r="O1124" s="3">
        <v>0</v>
      </c>
      <c r="P1124" s="3">
        <v>0</v>
      </c>
      <c r="Q1124" s="3">
        <v>0</v>
      </c>
      <c r="R1124" s="3">
        <v>23800</v>
      </c>
      <c r="S1124" s="3">
        <v>0</v>
      </c>
      <c r="T1124" s="3">
        <v>0</v>
      </c>
      <c r="U1124" s="3">
        <v>0</v>
      </c>
      <c r="V1124" s="3">
        <v>2003</v>
      </c>
      <c r="W1124" s="3">
        <v>1864600</v>
      </c>
      <c r="X1124" s="3">
        <v>7615200</v>
      </c>
      <c r="Y1124" s="3">
        <v>5750600</v>
      </c>
      <c r="Z1124" s="3">
        <v>10510100</v>
      </c>
      <c r="AA1124" s="3">
        <v>-2894900</v>
      </c>
      <c r="AB1124" s="3">
        <v>-28</v>
      </c>
    </row>
    <row r="1125" spans="1:28" x14ac:dyDescent="0.35">
      <c r="A1125">
        <v>2022</v>
      </c>
      <c r="B1125" t="str">
        <f t="shared" si="143"/>
        <v>59</v>
      </c>
      <c r="C1125" t="s">
        <v>397</v>
      </c>
      <c r="D1125" t="s">
        <v>35</v>
      </c>
      <c r="E1125" t="str">
        <f t="shared" si="144"/>
        <v>281</v>
      </c>
      <c r="F1125" t="s">
        <v>397</v>
      </c>
      <c r="G1125" t="str">
        <f>"006"</f>
        <v>006</v>
      </c>
      <c r="H1125" t="str">
        <f t="shared" si="145"/>
        <v>5271</v>
      </c>
      <c r="I1125" s="3">
        <v>78957100</v>
      </c>
      <c r="J1125" s="3">
        <v>100</v>
      </c>
      <c r="K1125" s="3">
        <v>78957100</v>
      </c>
      <c r="L1125" s="3">
        <v>0</v>
      </c>
      <c r="M1125" s="3">
        <v>78957100</v>
      </c>
      <c r="N1125" s="3">
        <v>0</v>
      </c>
      <c r="O1125" s="3">
        <v>0</v>
      </c>
      <c r="P1125" s="3">
        <v>0</v>
      </c>
      <c r="Q1125" s="3">
        <v>0</v>
      </c>
      <c r="R1125" s="3">
        <v>200800</v>
      </c>
      <c r="S1125" s="3">
        <v>0</v>
      </c>
      <c r="T1125" s="3">
        <v>0</v>
      </c>
      <c r="U1125" s="3">
        <v>14840100</v>
      </c>
      <c r="V1125" s="3">
        <v>1992</v>
      </c>
      <c r="W1125" s="3">
        <v>19579000</v>
      </c>
      <c r="X1125" s="3">
        <v>93998000</v>
      </c>
      <c r="Y1125" s="3">
        <v>74419000</v>
      </c>
      <c r="Z1125" s="3">
        <v>89560300</v>
      </c>
      <c r="AA1125" s="3">
        <v>4437700</v>
      </c>
      <c r="AB1125" s="3">
        <v>5</v>
      </c>
    </row>
    <row r="1126" spans="1:28" x14ac:dyDescent="0.35">
      <c r="A1126">
        <v>2022</v>
      </c>
      <c r="B1126" t="str">
        <f t="shared" si="143"/>
        <v>59</v>
      </c>
      <c r="C1126" t="s">
        <v>397</v>
      </c>
      <c r="D1126" t="s">
        <v>35</v>
      </c>
      <c r="E1126" t="str">
        <f t="shared" si="144"/>
        <v>281</v>
      </c>
      <c r="F1126" t="s">
        <v>397</v>
      </c>
      <c r="G1126" t="str">
        <f>"010"</f>
        <v>010</v>
      </c>
      <c r="H1126" t="str">
        <f t="shared" si="145"/>
        <v>5271</v>
      </c>
      <c r="I1126" s="3">
        <v>23352100</v>
      </c>
      <c r="J1126" s="3">
        <v>100</v>
      </c>
      <c r="K1126" s="3">
        <v>23352100</v>
      </c>
      <c r="L1126" s="3">
        <v>0</v>
      </c>
      <c r="M1126" s="3">
        <v>23352100</v>
      </c>
      <c r="N1126" s="3">
        <v>142100</v>
      </c>
      <c r="O1126" s="3">
        <v>142100</v>
      </c>
      <c r="P1126" s="3">
        <v>800</v>
      </c>
      <c r="Q1126" s="3">
        <v>800</v>
      </c>
      <c r="R1126" s="3">
        <v>58700</v>
      </c>
      <c r="S1126" s="3">
        <v>0</v>
      </c>
      <c r="T1126" s="3">
        <v>0</v>
      </c>
      <c r="U1126" s="3">
        <v>0</v>
      </c>
      <c r="V1126" s="3">
        <v>1997</v>
      </c>
      <c r="W1126" s="3">
        <v>3250600</v>
      </c>
      <c r="X1126" s="3">
        <v>23553700</v>
      </c>
      <c r="Y1126" s="3">
        <v>20303100</v>
      </c>
      <c r="Z1126" s="3">
        <v>22052900</v>
      </c>
      <c r="AA1126" s="3">
        <v>1500800</v>
      </c>
      <c r="AB1126" s="3">
        <v>7</v>
      </c>
    </row>
    <row r="1127" spans="1:28" x14ac:dyDescent="0.35">
      <c r="A1127">
        <v>2022</v>
      </c>
      <c r="B1127" t="str">
        <f t="shared" si="143"/>
        <v>59</v>
      </c>
      <c r="C1127" t="s">
        <v>397</v>
      </c>
      <c r="D1127" t="s">
        <v>35</v>
      </c>
      <c r="E1127" t="str">
        <f t="shared" si="144"/>
        <v>281</v>
      </c>
      <c r="F1127" t="s">
        <v>397</v>
      </c>
      <c r="G1127" t="str">
        <f>"012"</f>
        <v>012</v>
      </c>
      <c r="H1127" t="str">
        <f t="shared" si="145"/>
        <v>5271</v>
      </c>
      <c r="I1127" s="3">
        <v>11691400</v>
      </c>
      <c r="J1127" s="3">
        <v>100</v>
      </c>
      <c r="K1127" s="3">
        <v>11691400</v>
      </c>
      <c r="L1127" s="3">
        <v>0</v>
      </c>
      <c r="M1127" s="3">
        <v>11691400</v>
      </c>
      <c r="N1127" s="3">
        <v>0</v>
      </c>
      <c r="O1127" s="3">
        <v>0</v>
      </c>
      <c r="P1127" s="3">
        <v>29300</v>
      </c>
      <c r="Q1127" s="3">
        <v>29300</v>
      </c>
      <c r="R1127" s="3">
        <v>34400</v>
      </c>
      <c r="S1127" s="3">
        <v>0</v>
      </c>
      <c r="T1127" s="3">
        <v>0</v>
      </c>
      <c r="U1127" s="3">
        <v>0</v>
      </c>
      <c r="V1127" s="3">
        <v>2000</v>
      </c>
      <c r="W1127" s="3">
        <v>3825700</v>
      </c>
      <c r="X1127" s="3">
        <v>11755100</v>
      </c>
      <c r="Y1127" s="3">
        <v>7929400</v>
      </c>
      <c r="Z1127" s="3">
        <v>12871100</v>
      </c>
      <c r="AA1127" s="3">
        <v>-1116000</v>
      </c>
      <c r="AB1127" s="3">
        <v>-9</v>
      </c>
    </row>
    <row r="1128" spans="1:28" x14ac:dyDescent="0.35">
      <c r="A1128">
        <v>2022</v>
      </c>
      <c r="B1128" t="str">
        <f t="shared" si="143"/>
        <v>59</v>
      </c>
      <c r="C1128" t="s">
        <v>397</v>
      </c>
      <c r="D1128" t="s">
        <v>35</v>
      </c>
      <c r="E1128" t="str">
        <f t="shared" si="144"/>
        <v>281</v>
      </c>
      <c r="F1128" t="s">
        <v>397</v>
      </c>
      <c r="G1128" t="str">
        <f>"013"</f>
        <v>013</v>
      </c>
      <c r="H1128" t="str">
        <f t="shared" si="145"/>
        <v>5271</v>
      </c>
      <c r="I1128" s="3">
        <v>18301300</v>
      </c>
      <c r="J1128" s="3">
        <v>100</v>
      </c>
      <c r="K1128" s="3">
        <v>18301300</v>
      </c>
      <c r="L1128" s="3">
        <v>0</v>
      </c>
      <c r="M1128" s="3">
        <v>18301300</v>
      </c>
      <c r="N1128" s="3">
        <v>0</v>
      </c>
      <c r="O1128" s="3">
        <v>0</v>
      </c>
      <c r="P1128" s="3">
        <v>0</v>
      </c>
      <c r="Q1128" s="3">
        <v>0</v>
      </c>
      <c r="R1128" s="3">
        <v>52900</v>
      </c>
      <c r="S1128" s="3">
        <v>0</v>
      </c>
      <c r="T1128" s="3">
        <v>0</v>
      </c>
      <c r="U1128" s="3">
        <v>0</v>
      </c>
      <c r="V1128" s="3">
        <v>2006</v>
      </c>
      <c r="W1128" s="3">
        <v>294400</v>
      </c>
      <c r="X1128" s="3">
        <v>18354200</v>
      </c>
      <c r="Y1128" s="3">
        <v>18059800</v>
      </c>
      <c r="Z1128" s="3">
        <v>19726400</v>
      </c>
      <c r="AA1128" s="3">
        <v>-1372200</v>
      </c>
      <c r="AB1128" s="3">
        <v>-7</v>
      </c>
    </row>
    <row r="1129" spans="1:28" x14ac:dyDescent="0.35">
      <c r="A1129">
        <v>2022</v>
      </c>
      <c r="B1129" t="str">
        <f t="shared" si="143"/>
        <v>59</v>
      </c>
      <c r="C1129" t="s">
        <v>397</v>
      </c>
      <c r="D1129" t="s">
        <v>35</v>
      </c>
      <c r="E1129" t="str">
        <f t="shared" si="144"/>
        <v>281</v>
      </c>
      <c r="F1129" t="s">
        <v>397</v>
      </c>
      <c r="G1129" t="str">
        <f>"014"</f>
        <v>014</v>
      </c>
      <c r="H1129" t="str">
        <f t="shared" si="145"/>
        <v>5271</v>
      </c>
      <c r="I1129" s="3">
        <v>75453900</v>
      </c>
      <c r="J1129" s="3">
        <v>100</v>
      </c>
      <c r="K1129" s="3">
        <v>75453900</v>
      </c>
      <c r="L1129" s="3">
        <v>0</v>
      </c>
      <c r="M1129" s="3">
        <v>75453900</v>
      </c>
      <c r="N1129" s="3">
        <v>0</v>
      </c>
      <c r="O1129" s="3">
        <v>0</v>
      </c>
      <c r="P1129" s="3">
        <v>0</v>
      </c>
      <c r="Q1129" s="3">
        <v>0</v>
      </c>
      <c r="R1129" s="3">
        <v>206900</v>
      </c>
      <c r="S1129" s="3">
        <v>0</v>
      </c>
      <c r="T1129" s="3">
        <v>0</v>
      </c>
      <c r="U1129" s="3">
        <v>0</v>
      </c>
      <c r="V1129" s="3">
        <v>2011</v>
      </c>
      <c r="W1129" s="3">
        <v>21193800</v>
      </c>
      <c r="X1129" s="3">
        <v>75660800</v>
      </c>
      <c r="Y1129" s="3">
        <v>54467000</v>
      </c>
      <c r="Z1129" s="3">
        <v>84035500</v>
      </c>
      <c r="AA1129" s="3">
        <v>-8374700</v>
      </c>
      <c r="AB1129" s="3">
        <v>-10</v>
      </c>
    </row>
    <row r="1130" spans="1:28" x14ac:dyDescent="0.35">
      <c r="A1130">
        <v>2022</v>
      </c>
      <c r="B1130" t="str">
        <f t="shared" si="143"/>
        <v>59</v>
      </c>
      <c r="C1130" t="s">
        <v>397</v>
      </c>
      <c r="D1130" t="s">
        <v>35</v>
      </c>
      <c r="E1130" t="str">
        <f t="shared" si="144"/>
        <v>281</v>
      </c>
      <c r="F1130" t="s">
        <v>397</v>
      </c>
      <c r="G1130" t="str">
        <f>"015"</f>
        <v>015</v>
      </c>
      <c r="H1130" t="str">
        <f t="shared" si="145"/>
        <v>5271</v>
      </c>
      <c r="I1130" s="3">
        <v>22414000</v>
      </c>
      <c r="J1130" s="3">
        <v>100</v>
      </c>
      <c r="K1130" s="3">
        <v>22414000</v>
      </c>
      <c r="L1130" s="3">
        <v>0</v>
      </c>
      <c r="M1130" s="3">
        <v>22414000</v>
      </c>
      <c r="N1130" s="3">
        <v>0</v>
      </c>
      <c r="O1130" s="3">
        <v>0</v>
      </c>
      <c r="P1130" s="3">
        <v>0</v>
      </c>
      <c r="Q1130" s="3">
        <v>0</v>
      </c>
      <c r="R1130" s="3">
        <v>59400</v>
      </c>
      <c r="S1130" s="3">
        <v>0</v>
      </c>
      <c r="T1130" s="3">
        <v>0</v>
      </c>
      <c r="U1130" s="3">
        <v>0</v>
      </c>
      <c r="V1130" s="3">
        <v>2011</v>
      </c>
      <c r="W1130" s="3">
        <v>12434900</v>
      </c>
      <c r="X1130" s="3">
        <v>22473400</v>
      </c>
      <c r="Y1130" s="3">
        <v>10038500</v>
      </c>
      <c r="Z1130" s="3">
        <v>22148500</v>
      </c>
      <c r="AA1130" s="3">
        <v>324900</v>
      </c>
      <c r="AB1130" s="3">
        <v>1</v>
      </c>
    </row>
    <row r="1131" spans="1:28" x14ac:dyDescent="0.35">
      <c r="A1131">
        <v>2022</v>
      </c>
      <c r="B1131" t="str">
        <f t="shared" si="143"/>
        <v>59</v>
      </c>
      <c r="C1131" t="s">
        <v>397</v>
      </c>
      <c r="D1131" t="s">
        <v>35</v>
      </c>
      <c r="E1131" t="str">
        <f t="shared" si="144"/>
        <v>281</v>
      </c>
      <c r="F1131" t="s">
        <v>397</v>
      </c>
      <c r="G1131" t="str">
        <f>"016"</f>
        <v>016</v>
      </c>
      <c r="H1131" t="str">
        <f t="shared" si="145"/>
        <v>5271</v>
      </c>
      <c r="I1131" s="3">
        <v>47144400</v>
      </c>
      <c r="J1131" s="3">
        <v>100</v>
      </c>
      <c r="K1131" s="3">
        <v>47144400</v>
      </c>
      <c r="L1131" s="3">
        <v>0</v>
      </c>
      <c r="M1131" s="3">
        <v>47144400</v>
      </c>
      <c r="N1131" s="3">
        <v>0</v>
      </c>
      <c r="O1131" s="3">
        <v>0</v>
      </c>
      <c r="P1131" s="3">
        <v>0</v>
      </c>
      <c r="Q1131" s="3">
        <v>0</v>
      </c>
      <c r="R1131" s="3">
        <v>138700</v>
      </c>
      <c r="S1131" s="3">
        <v>0</v>
      </c>
      <c r="T1131" s="3">
        <v>0</v>
      </c>
      <c r="U1131" s="3">
        <v>0</v>
      </c>
      <c r="V1131" s="3">
        <v>2015</v>
      </c>
      <c r="W1131" s="3">
        <v>22459200</v>
      </c>
      <c r="X1131" s="3">
        <v>47283100</v>
      </c>
      <c r="Y1131" s="3">
        <v>24823900</v>
      </c>
      <c r="Z1131" s="3">
        <v>50912800</v>
      </c>
      <c r="AA1131" s="3">
        <v>-3629700</v>
      </c>
      <c r="AB1131" s="3">
        <v>-7</v>
      </c>
    </row>
    <row r="1132" spans="1:28" x14ac:dyDescent="0.35">
      <c r="A1132">
        <v>2022</v>
      </c>
      <c r="B1132" t="str">
        <f t="shared" si="143"/>
        <v>59</v>
      </c>
      <c r="C1132" t="s">
        <v>397</v>
      </c>
      <c r="D1132" t="s">
        <v>35</v>
      </c>
      <c r="E1132" t="str">
        <f t="shared" si="144"/>
        <v>281</v>
      </c>
      <c r="F1132" t="s">
        <v>397</v>
      </c>
      <c r="G1132" t="str">
        <f>"017"</f>
        <v>017</v>
      </c>
      <c r="H1132" t="str">
        <f t="shared" si="145"/>
        <v>5271</v>
      </c>
      <c r="I1132" s="3">
        <v>45860600</v>
      </c>
      <c r="J1132" s="3">
        <v>100</v>
      </c>
      <c r="K1132" s="3">
        <v>45860600</v>
      </c>
      <c r="L1132" s="3">
        <v>0</v>
      </c>
      <c r="M1132" s="3">
        <v>45860600</v>
      </c>
      <c r="N1132" s="3">
        <v>8579800</v>
      </c>
      <c r="O1132" s="3">
        <v>8579800</v>
      </c>
      <c r="P1132" s="3">
        <v>689100</v>
      </c>
      <c r="Q1132" s="3">
        <v>689100</v>
      </c>
      <c r="R1132" s="3">
        <v>144800</v>
      </c>
      <c r="S1132" s="3">
        <v>-610900</v>
      </c>
      <c r="T1132" s="3">
        <v>0</v>
      </c>
      <c r="U1132" s="3">
        <v>0</v>
      </c>
      <c r="V1132" s="3">
        <v>2018</v>
      </c>
      <c r="W1132" s="3">
        <v>34021700</v>
      </c>
      <c r="X1132" s="3">
        <v>54663400</v>
      </c>
      <c r="Y1132" s="3">
        <v>20641700</v>
      </c>
      <c r="Z1132" s="3">
        <v>62739700</v>
      </c>
      <c r="AA1132" s="3">
        <v>-8076300</v>
      </c>
      <c r="AB1132" s="3">
        <v>-13</v>
      </c>
    </row>
    <row r="1133" spans="1:28" x14ac:dyDescent="0.35">
      <c r="A1133">
        <v>2022</v>
      </c>
      <c r="B1133" t="str">
        <f t="shared" si="143"/>
        <v>59</v>
      </c>
      <c r="C1133" t="s">
        <v>397</v>
      </c>
      <c r="D1133" t="s">
        <v>35</v>
      </c>
      <c r="E1133" t="str">
        <f t="shared" si="144"/>
        <v>281</v>
      </c>
      <c r="F1133" t="s">
        <v>397</v>
      </c>
      <c r="G1133" t="str">
        <f>"018"</f>
        <v>018</v>
      </c>
      <c r="H1133" t="str">
        <f t="shared" si="145"/>
        <v>5271</v>
      </c>
      <c r="I1133" s="3">
        <v>25686800</v>
      </c>
      <c r="J1133" s="3">
        <v>100</v>
      </c>
      <c r="K1133" s="3">
        <v>25686800</v>
      </c>
      <c r="L1133" s="3">
        <v>0</v>
      </c>
      <c r="M1133" s="3">
        <v>25686800</v>
      </c>
      <c r="N1133" s="3">
        <v>5035700</v>
      </c>
      <c r="O1133" s="3">
        <v>5035700</v>
      </c>
      <c r="P1133" s="3">
        <v>4900</v>
      </c>
      <c r="Q1133" s="3">
        <v>4900</v>
      </c>
      <c r="R1133" s="3">
        <v>56600</v>
      </c>
      <c r="S1133" s="3">
        <v>0</v>
      </c>
      <c r="T1133" s="3">
        <v>0</v>
      </c>
      <c r="U1133" s="3">
        <v>0</v>
      </c>
      <c r="V1133" s="3">
        <v>2018</v>
      </c>
      <c r="W1133" s="3">
        <v>12444200</v>
      </c>
      <c r="X1133" s="3">
        <v>30784000</v>
      </c>
      <c r="Y1133" s="3">
        <v>18339800</v>
      </c>
      <c r="Z1133" s="3">
        <v>26051800</v>
      </c>
      <c r="AA1133" s="3">
        <v>4732200</v>
      </c>
      <c r="AB1133" s="3">
        <v>18</v>
      </c>
    </row>
    <row r="1134" spans="1:28" x14ac:dyDescent="0.35">
      <c r="A1134">
        <v>2022</v>
      </c>
      <c r="B1134" t="str">
        <f t="shared" si="143"/>
        <v>59</v>
      </c>
      <c r="C1134" t="s">
        <v>397</v>
      </c>
      <c r="D1134" t="s">
        <v>35</v>
      </c>
      <c r="E1134" t="str">
        <f t="shared" si="144"/>
        <v>281</v>
      </c>
      <c r="F1134" t="s">
        <v>397</v>
      </c>
      <c r="G1134" t="str">
        <f>"019"</f>
        <v>019</v>
      </c>
      <c r="H1134" t="str">
        <f t="shared" si="145"/>
        <v>5271</v>
      </c>
      <c r="I1134" s="3">
        <v>7080600</v>
      </c>
      <c r="J1134" s="3">
        <v>100</v>
      </c>
      <c r="K1134" s="3">
        <v>7080600</v>
      </c>
      <c r="L1134" s="3">
        <v>0</v>
      </c>
      <c r="M1134" s="3">
        <v>7080600</v>
      </c>
      <c r="N1134" s="3">
        <v>0</v>
      </c>
      <c r="O1134" s="3">
        <v>0</v>
      </c>
      <c r="P1134" s="3">
        <v>0</v>
      </c>
      <c r="Q1134" s="3">
        <v>0</v>
      </c>
      <c r="R1134" s="3">
        <v>20000</v>
      </c>
      <c r="S1134" s="3">
        <v>0</v>
      </c>
      <c r="T1134" s="3">
        <v>0</v>
      </c>
      <c r="U1134" s="3">
        <v>0</v>
      </c>
      <c r="V1134" s="3">
        <v>2018</v>
      </c>
      <c r="W1134" s="3">
        <v>3399200</v>
      </c>
      <c r="X1134" s="3">
        <v>7100600</v>
      </c>
      <c r="Y1134" s="3">
        <v>3701400</v>
      </c>
      <c r="Z1134" s="3">
        <v>7483300</v>
      </c>
      <c r="AA1134" s="3">
        <v>-382700</v>
      </c>
      <c r="AB1134" s="3">
        <v>-5</v>
      </c>
    </row>
    <row r="1135" spans="1:28" x14ac:dyDescent="0.35">
      <c r="A1135">
        <v>2022</v>
      </c>
      <c r="B1135" t="str">
        <f t="shared" si="143"/>
        <v>59</v>
      </c>
      <c r="C1135" t="s">
        <v>397</v>
      </c>
      <c r="D1135" t="s">
        <v>35</v>
      </c>
      <c r="E1135" t="str">
        <f t="shared" si="144"/>
        <v>281</v>
      </c>
      <c r="F1135" t="s">
        <v>397</v>
      </c>
      <c r="G1135" t="str">
        <f>"020"</f>
        <v>020</v>
      </c>
      <c r="H1135" t="str">
        <f t="shared" si="145"/>
        <v>5271</v>
      </c>
      <c r="I1135" s="3">
        <v>25603800</v>
      </c>
      <c r="J1135" s="3">
        <v>100</v>
      </c>
      <c r="K1135" s="3">
        <v>25603800</v>
      </c>
      <c r="L1135" s="3">
        <v>0</v>
      </c>
      <c r="M1135" s="3">
        <v>25603800</v>
      </c>
      <c r="N1135" s="3">
        <v>0</v>
      </c>
      <c r="O1135" s="3">
        <v>0</v>
      </c>
      <c r="P1135" s="3">
        <v>0</v>
      </c>
      <c r="Q1135" s="3">
        <v>0</v>
      </c>
      <c r="R1135" s="3">
        <v>12600</v>
      </c>
      <c r="S1135" s="3">
        <v>0</v>
      </c>
      <c r="T1135" s="3">
        <v>0</v>
      </c>
      <c r="U1135" s="3">
        <v>0</v>
      </c>
      <c r="V1135" s="3">
        <v>2020</v>
      </c>
      <c r="W1135" s="3">
        <v>1408500</v>
      </c>
      <c r="X1135" s="3">
        <v>25616400</v>
      </c>
      <c r="Y1135" s="3">
        <v>24207900</v>
      </c>
      <c r="Z1135" s="3">
        <v>4700600</v>
      </c>
      <c r="AA1135" s="3">
        <v>20915800</v>
      </c>
      <c r="AB1135" s="3">
        <v>445</v>
      </c>
    </row>
    <row r="1136" spans="1:28" x14ac:dyDescent="0.35">
      <c r="A1136">
        <v>2022</v>
      </c>
      <c r="B1136" t="str">
        <f t="shared" si="143"/>
        <v>59</v>
      </c>
      <c r="C1136" t="s">
        <v>397</v>
      </c>
      <c r="D1136" t="s">
        <v>35</v>
      </c>
      <c r="E1136" t="str">
        <f>"282"</f>
        <v>282</v>
      </c>
      <c r="F1136" t="s">
        <v>405</v>
      </c>
      <c r="G1136" t="str">
        <f>"003"</f>
        <v>003</v>
      </c>
      <c r="H1136" t="str">
        <f>"5278"</f>
        <v>5278</v>
      </c>
      <c r="I1136" s="3">
        <v>63200</v>
      </c>
      <c r="J1136" s="3">
        <v>80.849999999999994</v>
      </c>
      <c r="K1136" s="3">
        <v>78200</v>
      </c>
      <c r="L1136" s="3">
        <v>0</v>
      </c>
      <c r="M1136" s="3">
        <v>78200</v>
      </c>
      <c r="N1136" s="3">
        <v>16606900</v>
      </c>
      <c r="O1136" s="3">
        <v>16606900</v>
      </c>
      <c r="P1136" s="3">
        <v>1731900</v>
      </c>
      <c r="Q1136" s="3">
        <v>1731900</v>
      </c>
      <c r="R1136" s="3">
        <v>-300</v>
      </c>
      <c r="S1136" s="3">
        <v>0</v>
      </c>
      <c r="T1136" s="3">
        <v>0</v>
      </c>
      <c r="U1136" s="3">
        <v>10376000</v>
      </c>
      <c r="V1136" s="3">
        <v>1994</v>
      </c>
      <c r="W1136" s="3">
        <v>6188300</v>
      </c>
      <c r="X1136" s="3">
        <v>28792700</v>
      </c>
      <c r="Y1136" s="3">
        <v>22604400</v>
      </c>
      <c r="Z1136" s="3">
        <v>28812400</v>
      </c>
      <c r="AA1136" s="3">
        <v>-19700</v>
      </c>
      <c r="AB1136" s="3">
        <v>0</v>
      </c>
    </row>
    <row r="1137" spans="1:28" x14ac:dyDescent="0.35">
      <c r="A1137">
        <v>2022</v>
      </c>
      <c r="B1137" t="str">
        <f t="shared" si="143"/>
        <v>59</v>
      </c>
      <c r="C1137" t="s">
        <v>397</v>
      </c>
      <c r="D1137" t="s">
        <v>35</v>
      </c>
      <c r="E1137" t="str">
        <f>"282"</f>
        <v>282</v>
      </c>
      <c r="F1137" t="s">
        <v>405</v>
      </c>
      <c r="G1137" t="str">
        <f>"004"</f>
        <v>004</v>
      </c>
      <c r="H1137" t="str">
        <f>"5278"</f>
        <v>5278</v>
      </c>
      <c r="I1137" s="3">
        <v>16080700</v>
      </c>
      <c r="J1137" s="3">
        <v>80.849999999999994</v>
      </c>
      <c r="K1137" s="3">
        <v>19889500</v>
      </c>
      <c r="L1137" s="3">
        <v>0</v>
      </c>
      <c r="M1137" s="3">
        <v>19889500</v>
      </c>
      <c r="N1137" s="3">
        <v>0</v>
      </c>
      <c r="O1137" s="3">
        <v>0</v>
      </c>
      <c r="P1137" s="3">
        <v>0</v>
      </c>
      <c r="Q1137" s="3">
        <v>0</v>
      </c>
      <c r="R1137" s="3">
        <v>-69400</v>
      </c>
      <c r="S1137" s="3">
        <v>0</v>
      </c>
      <c r="T1137" s="3">
        <v>0</v>
      </c>
      <c r="U1137" s="3">
        <v>0</v>
      </c>
      <c r="V1137" s="3">
        <v>2016</v>
      </c>
      <c r="W1137" s="3">
        <v>2510100</v>
      </c>
      <c r="X1137" s="3">
        <v>19820100</v>
      </c>
      <c r="Y1137" s="3">
        <v>17310000</v>
      </c>
      <c r="Z1137" s="3">
        <v>19040700</v>
      </c>
      <c r="AA1137" s="3">
        <v>779400</v>
      </c>
      <c r="AB1137" s="3">
        <v>4</v>
      </c>
    </row>
    <row r="1138" spans="1:28" x14ac:dyDescent="0.35">
      <c r="A1138">
        <v>2022</v>
      </c>
      <c r="B1138" t="str">
        <f t="shared" si="143"/>
        <v>59</v>
      </c>
      <c r="C1138" t="s">
        <v>397</v>
      </c>
      <c r="D1138" t="s">
        <v>35</v>
      </c>
      <c r="E1138" t="str">
        <f>"282"</f>
        <v>282</v>
      </c>
      <c r="F1138" t="s">
        <v>405</v>
      </c>
      <c r="G1138" t="str">
        <f>"005"</f>
        <v>005</v>
      </c>
      <c r="H1138" t="str">
        <f>"5278"</f>
        <v>5278</v>
      </c>
      <c r="I1138" s="3">
        <v>9910800</v>
      </c>
      <c r="J1138" s="3">
        <v>80.849999999999994</v>
      </c>
      <c r="K1138" s="3">
        <v>12258300</v>
      </c>
      <c r="L1138" s="3">
        <v>0</v>
      </c>
      <c r="M1138" s="3">
        <v>12258300</v>
      </c>
      <c r="N1138" s="3">
        <v>23312300</v>
      </c>
      <c r="O1138" s="3">
        <v>23312300</v>
      </c>
      <c r="P1138" s="3">
        <v>609700</v>
      </c>
      <c r="Q1138" s="3">
        <v>609700</v>
      </c>
      <c r="R1138" s="3">
        <v>-30200</v>
      </c>
      <c r="S1138" s="3">
        <v>0</v>
      </c>
      <c r="T1138" s="3">
        <v>0</v>
      </c>
      <c r="U1138" s="3">
        <v>0</v>
      </c>
      <c r="V1138" s="3">
        <v>2018</v>
      </c>
      <c r="W1138" s="3">
        <v>10785500</v>
      </c>
      <c r="X1138" s="3">
        <v>36150100</v>
      </c>
      <c r="Y1138" s="3">
        <v>25364600</v>
      </c>
      <c r="Z1138" s="3">
        <v>26442900</v>
      </c>
      <c r="AA1138" s="3">
        <v>9707200</v>
      </c>
      <c r="AB1138" s="3">
        <v>37</v>
      </c>
    </row>
    <row r="1139" spans="1:28" x14ac:dyDescent="0.35">
      <c r="A1139">
        <v>2022</v>
      </c>
      <c r="B1139" t="str">
        <f t="shared" si="143"/>
        <v>59</v>
      </c>
      <c r="C1139" t="s">
        <v>397</v>
      </c>
      <c r="D1139" t="s">
        <v>35</v>
      </c>
      <c r="E1139" t="str">
        <f>"282"</f>
        <v>282</v>
      </c>
      <c r="F1139" t="s">
        <v>405</v>
      </c>
      <c r="G1139" t="str">
        <f>"006"</f>
        <v>006</v>
      </c>
      <c r="H1139" t="str">
        <f>"5278"</f>
        <v>5278</v>
      </c>
      <c r="I1139" s="3">
        <v>3480600</v>
      </c>
      <c r="J1139" s="3">
        <v>80.849999999999994</v>
      </c>
      <c r="K1139" s="3">
        <v>4305000</v>
      </c>
      <c r="L1139" s="3">
        <v>0</v>
      </c>
      <c r="M1139" s="3">
        <v>4305000</v>
      </c>
      <c r="N1139" s="3">
        <v>0</v>
      </c>
      <c r="O1139" s="3">
        <v>0</v>
      </c>
      <c r="P1139" s="3">
        <v>0</v>
      </c>
      <c r="Q1139" s="3">
        <v>0</v>
      </c>
      <c r="R1139" s="3">
        <v>-3341800</v>
      </c>
      <c r="S1139" s="3">
        <v>0</v>
      </c>
      <c r="T1139" s="3">
        <v>0</v>
      </c>
      <c r="U1139" s="3">
        <v>0</v>
      </c>
      <c r="V1139" s="3">
        <v>2019</v>
      </c>
      <c r="W1139" s="3">
        <v>0</v>
      </c>
      <c r="X1139" s="3">
        <v>963200</v>
      </c>
      <c r="Y1139" s="3">
        <v>963200</v>
      </c>
      <c r="Z1139" s="3">
        <v>10670600</v>
      </c>
      <c r="AA1139" s="3">
        <v>-9707400</v>
      </c>
      <c r="AB1139" s="3">
        <v>-91</v>
      </c>
    </row>
    <row r="1140" spans="1:28" x14ac:dyDescent="0.35">
      <c r="A1140">
        <v>2022</v>
      </c>
      <c r="B1140" t="str">
        <f t="shared" si="143"/>
        <v>59</v>
      </c>
      <c r="C1140" t="s">
        <v>397</v>
      </c>
      <c r="D1140" t="s">
        <v>35</v>
      </c>
      <c r="E1140" t="str">
        <f>"282"</f>
        <v>282</v>
      </c>
      <c r="F1140" t="s">
        <v>405</v>
      </c>
      <c r="G1140" t="str">
        <f>"007"</f>
        <v>007</v>
      </c>
      <c r="H1140" t="str">
        <f>"5278"</f>
        <v>5278</v>
      </c>
      <c r="I1140" s="3">
        <v>10571000</v>
      </c>
      <c r="J1140" s="3">
        <v>80.849999999999994</v>
      </c>
      <c r="K1140" s="3">
        <v>13074800</v>
      </c>
      <c r="L1140" s="3">
        <v>0</v>
      </c>
      <c r="M1140" s="3">
        <v>13074800</v>
      </c>
      <c r="N1140" s="3">
        <v>0</v>
      </c>
      <c r="O1140" s="3">
        <v>0</v>
      </c>
      <c r="P1140" s="3">
        <v>0</v>
      </c>
      <c r="Q1140" s="3">
        <v>0</v>
      </c>
      <c r="R1140" s="3">
        <v>-27400</v>
      </c>
      <c r="S1140" s="3">
        <v>0</v>
      </c>
      <c r="T1140" s="3">
        <v>0</v>
      </c>
      <c r="U1140" s="3">
        <v>0</v>
      </c>
      <c r="V1140" s="3">
        <v>2019</v>
      </c>
      <c r="W1140" s="3">
        <v>319500</v>
      </c>
      <c r="X1140" s="3">
        <v>13047400</v>
      </c>
      <c r="Y1140" s="3">
        <v>12727900</v>
      </c>
      <c r="Z1140" s="3">
        <v>7519900</v>
      </c>
      <c r="AA1140" s="3">
        <v>5527500</v>
      </c>
      <c r="AB1140" s="3">
        <v>74</v>
      </c>
    </row>
    <row r="1141" spans="1:28" x14ac:dyDescent="0.35">
      <c r="A1141">
        <v>2022</v>
      </c>
      <c r="B1141" t="str">
        <f t="shared" ref="B1141:B1147" si="146">"60"</f>
        <v>60</v>
      </c>
      <c r="C1141" t="s">
        <v>201</v>
      </c>
      <c r="D1141" t="s">
        <v>33</v>
      </c>
      <c r="E1141" t="str">
        <f>"181"</f>
        <v>181</v>
      </c>
      <c r="F1141" t="s">
        <v>406</v>
      </c>
      <c r="G1141" t="str">
        <f>"001"</f>
        <v>001</v>
      </c>
      <c r="H1141" t="str">
        <f t="shared" ref="H1141:H1147" si="147">"3409"</f>
        <v>3409</v>
      </c>
      <c r="I1141" s="3">
        <v>2215700</v>
      </c>
      <c r="J1141" s="3">
        <v>78.819999999999993</v>
      </c>
      <c r="K1141" s="3">
        <v>2811100</v>
      </c>
      <c r="L1141" s="3">
        <v>0</v>
      </c>
      <c r="M1141" s="3">
        <v>2811100</v>
      </c>
      <c r="N1141" s="3">
        <v>5300</v>
      </c>
      <c r="O1141" s="3">
        <v>5300</v>
      </c>
      <c r="P1141" s="3">
        <v>0</v>
      </c>
      <c r="Q1141" s="3">
        <v>0</v>
      </c>
      <c r="R1141" s="3">
        <v>-8000</v>
      </c>
      <c r="S1141" s="3">
        <v>0</v>
      </c>
      <c r="T1141" s="3">
        <v>0</v>
      </c>
      <c r="U1141" s="3">
        <v>0</v>
      </c>
      <c r="V1141" s="3">
        <v>2013</v>
      </c>
      <c r="W1141" s="3">
        <v>1003000</v>
      </c>
      <c r="X1141" s="3">
        <v>2808400</v>
      </c>
      <c r="Y1141" s="3">
        <v>1805400</v>
      </c>
      <c r="Z1141" s="3">
        <v>1807800</v>
      </c>
      <c r="AA1141" s="3">
        <v>1000600</v>
      </c>
      <c r="AB1141" s="3">
        <v>55</v>
      </c>
    </row>
    <row r="1142" spans="1:28" x14ac:dyDescent="0.35">
      <c r="A1142">
        <v>2022</v>
      </c>
      <c r="B1142" t="str">
        <f t="shared" si="146"/>
        <v>60</v>
      </c>
      <c r="C1142" t="s">
        <v>201</v>
      </c>
      <c r="D1142" t="s">
        <v>35</v>
      </c>
      <c r="E1142" t="str">
        <f t="shared" ref="E1142:E1147" si="148">"251"</f>
        <v>251</v>
      </c>
      <c r="F1142" t="s">
        <v>407</v>
      </c>
      <c r="G1142" t="str">
        <f>"005"</f>
        <v>005</v>
      </c>
      <c r="H1142" t="str">
        <f t="shared" si="147"/>
        <v>3409</v>
      </c>
      <c r="I1142" s="3">
        <v>8297500</v>
      </c>
      <c r="J1142" s="3">
        <v>96.49</v>
      </c>
      <c r="K1142" s="3">
        <v>8599300</v>
      </c>
      <c r="L1142" s="3">
        <v>0</v>
      </c>
      <c r="M1142" s="3">
        <v>8599300</v>
      </c>
      <c r="N1142" s="3">
        <v>0</v>
      </c>
      <c r="O1142" s="3">
        <v>0</v>
      </c>
      <c r="P1142" s="3">
        <v>0</v>
      </c>
      <c r="Q1142" s="3">
        <v>0</v>
      </c>
      <c r="R1142" s="3">
        <v>-101800</v>
      </c>
      <c r="S1142" s="3">
        <v>0</v>
      </c>
      <c r="T1142" s="3">
        <v>0</v>
      </c>
      <c r="U1142" s="3">
        <v>0</v>
      </c>
      <c r="V1142" s="3">
        <v>1989</v>
      </c>
      <c r="W1142" s="3">
        <v>5187900</v>
      </c>
      <c r="X1142" s="3">
        <v>8497500</v>
      </c>
      <c r="Y1142" s="3">
        <v>3309600</v>
      </c>
      <c r="Z1142" s="3">
        <v>7877200</v>
      </c>
      <c r="AA1142" s="3">
        <v>620300</v>
      </c>
      <c r="AB1142" s="3">
        <v>8</v>
      </c>
    </row>
    <row r="1143" spans="1:28" x14ac:dyDescent="0.35">
      <c r="A1143">
        <v>2022</v>
      </c>
      <c r="B1143" t="str">
        <f t="shared" si="146"/>
        <v>60</v>
      </c>
      <c r="C1143" t="s">
        <v>201</v>
      </c>
      <c r="D1143" t="s">
        <v>35</v>
      </c>
      <c r="E1143" t="str">
        <f t="shared" si="148"/>
        <v>251</v>
      </c>
      <c r="F1143" t="s">
        <v>407</v>
      </c>
      <c r="G1143" t="str">
        <f>"006"</f>
        <v>006</v>
      </c>
      <c r="H1143" t="str">
        <f t="shared" si="147"/>
        <v>3409</v>
      </c>
      <c r="I1143" s="3">
        <v>3024200</v>
      </c>
      <c r="J1143" s="3">
        <v>96.49</v>
      </c>
      <c r="K1143" s="3">
        <v>3134200</v>
      </c>
      <c r="L1143" s="3">
        <v>0</v>
      </c>
      <c r="M1143" s="3">
        <v>3134200</v>
      </c>
      <c r="N1143" s="3">
        <v>1413100</v>
      </c>
      <c r="O1143" s="3">
        <v>1413100</v>
      </c>
      <c r="P1143" s="3">
        <v>16300</v>
      </c>
      <c r="Q1143" s="3">
        <v>16300</v>
      </c>
      <c r="R1143" s="3">
        <v>-418800</v>
      </c>
      <c r="S1143" s="3">
        <v>0</v>
      </c>
      <c r="T1143" s="3">
        <v>0</v>
      </c>
      <c r="U1143" s="3">
        <v>0</v>
      </c>
      <c r="V1143" s="3">
        <v>1996</v>
      </c>
      <c r="W1143" s="3">
        <v>1417600</v>
      </c>
      <c r="X1143" s="3">
        <v>4144800</v>
      </c>
      <c r="Y1143" s="3">
        <v>2727200</v>
      </c>
      <c r="Z1143" s="3">
        <v>4628600</v>
      </c>
      <c r="AA1143" s="3">
        <v>-483800</v>
      </c>
      <c r="AB1143" s="3">
        <v>-10</v>
      </c>
    </row>
    <row r="1144" spans="1:28" x14ac:dyDescent="0.35">
      <c r="A1144">
        <v>2022</v>
      </c>
      <c r="B1144" t="str">
        <f t="shared" si="146"/>
        <v>60</v>
      </c>
      <c r="C1144" t="s">
        <v>201</v>
      </c>
      <c r="D1144" t="s">
        <v>35</v>
      </c>
      <c r="E1144" t="str">
        <f t="shared" si="148"/>
        <v>251</v>
      </c>
      <c r="F1144" t="s">
        <v>407</v>
      </c>
      <c r="G1144" t="str">
        <f>"007"</f>
        <v>007</v>
      </c>
      <c r="H1144" t="str">
        <f t="shared" si="147"/>
        <v>3409</v>
      </c>
      <c r="I1144" s="3">
        <v>119400</v>
      </c>
      <c r="J1144" s="3">
        <v>96.49</v>
      </c>
      <c r="K1144" s="3">
        <v>123700</v>
      </c>
      <c r="L1144" s="3">
        <v>0</v>
      </c>
      <c r="M1144" s="3">
        <v>123700</v>
      </c>
      <c r="N1144" s="3">
        <v>2702300</v>
      </c>
      <c r="O1144" s="3">
        <v>2702300</v>
      </c>
      <c r="P1144" s="3">
        <v>223000</v>
      </c>
      <c r="Q1144" s="3">
        <v>223000</v>
      </c>
      <c r="R1144" s="3">
        <v>7100</v>
      </c>
      <c r="S1144" s="3">
        <v>0</v>
      </c>
      <c r="T1144" s="3">
        <v>0</v>
      </c>
      <c r="U1144" s="3">
        <v>0</v>
      </c>
      <c r="V1144" s="3">
        <v>1997</v>
      </c>
      <c r="W1144" s="3">
        <v>1488900</v>
      </c>
      <c r="X1144" s="3">
        <v>3056100</v>
      </c>
      <c r="Y1144" s="3">
        <v>1567200</v>
      </c>
      <c r="Z1144" s="3">
        <v>2956200</v>
      </c>
      <c r="AA1144" s="3">
        <v>99900</v>
      </c>
      <c r="AB1144" s="3">
        <v>3</v>
      </c>
    </row>
    <row r="1145" spans="1:28" x14ac:dyDescent="0.35">
      <c r="A1145">
        <v>2022</v>
      </c>
      <c r="B1145" t="str">
        <f t="shared" si="146"/>
        <v>60</v>
      </c>
      <c r="C1145" t="s">
        <v>201</v>
      </c>
      <c r="D1145" t="s">
        <v>35</v>
      </c>
      <c r="E1145" t="str">
        <f t="shared" si="148"/>
        <v>251</v>
      </c>
      <c r="F1145" t="s">
        <v>407</v>
      </c>
      <c r="G1145" t="str">
        <f>"010"</f>
        <v>010</v>
      </c>
      <c r="H1145" t="str">
        <f t="shared" si="147"/>
        <v>3409</v>
      </c>
      <c r="I1145" s="3">
        <v>2812300</v>
      </c>
      <c r="J1145" s="3">
        <v>96.49</v>
      </c>
      <c r="K1145" s="3">
        <v>2914600</v>
      </c>
      <c r="L1145" s="3">
        <v>0</v>
      </c>
      <c r="M1145" s="3">
        <v>2914600</v>
      </c>
      <c r="N1145" s="3">
        <v>0</v>
      </c>
      <c r="O1145" s="3">
        <v>0</v>
      </c>
      <c r="P1145" s="3">
        <v>0</v>
      </c>
      <c r="Q1145" s="3">
        <v>0</v>
      </c>
      <c r="R1145" s="3">
        <v>-249300</v>
      </c>
      <c r="S1145" s="3">
        <v>0</v>
      </c>
      <c r="T1145" s="3">
        <v>0</v>
      </c>
      <c r="U1145" s="3">
        <v>0</v>
      </c>
      <c r="V1145" s="3">
        <v>1999</v>
      </c>
      <c r="W1145" s="3">
        <v>240200</v>
      </c>
      <c r="X1145" s="3">
        <v>2665300</v>
      </c>
      <c r="Y1145" s="3">
        <v>2425100</v>
      </c>
      <c r="Z1145" s="3">
        <v>2883400</v>
      </c>
      <c r="AA1145" s="3">
        <v>-218100</v>
      </c>
      <c r="AB1145" s="3">
        <v>-8</v>
      </c>
    </row>
    <row r="1146" spans="1:28" x14ac:dyDescent="0.35">
      <c r="A1146">
        <v>2022</v>
      </c>
      <c r="B1146" t="str">
        <f t="shared" si="146"/>
        <v>60</v>
      </c>
      <c r="C1146" t="s">
        <v>201</v>
      </c>
      <c r="D1146" t="s">
        <v>35</v>
      </c>
      <c r="E1146" t="str">
        <f t="shared" si="148"/>
        <v>251</v>
      </c>
      <c r="F1146" t="s">
        <v>407</v>
      </c>
      <c r="G1146" t="str">
        <f>"011"</f>
        <v>011</v>
      </c>
      <c r="H1146" t="str">
        <f t="shared" si="147"/>
        <v>3409</v>
      </c>
      <c r="I1146" s="3">
        <v>431200</v>
      </c>
      <c r="J1146" s="3">
        <v>96.49</v>
      </c>
      <c r="K1146" s="3">
        <v>446900</v>
      </c>
      <c r="L1146" s="3">
        <v>0</v>
      </c>
      <c r="M1146" s="3">
        <v>446900</v>
      </c>
      <c r="N1146" s="3">
        <v>2038600</v>
      </c>
      <c r="O1146" s="3">
        <v>2038600</v>
      </c>
      <c r="P1146" s="3">
        <v>1571800</v>
      </c>
      <c r="Q1146" s="3">
        <v>1571800</v>
      </c>
      <c r="R1146" s="3">
        <v>-110700</v>
      </c>
      <c r="S1146" s="3">
        <v>0</v>
      </c>
      <c r="T1146" s="3">
        <v>0</v>
      </c>
      <c r="U1146" s="3">
        <v>0</v>
      </c>
      <c r="V1146" s="3">
        <v>1999</v>
      </c>
      <c r="W1146" s="3">
        <v>1184000</v>
      </c>
      <c r="X1146" s="3">
        <v>3946600</v>
      </c>
      <c r="Y1146" s="3">
        <v>2762600</v>
      </c>
      <c r="Z1146" s="3">
        <v>4208500</v>
      </c>
      <c r="AA1146" s="3">
        <v>-261900</v>
      </c>
      <c r="AB1146" s="3">
        <v>-6</v>
      </c>
    </row>
    <row r="1147" spans="1:28" x14ac:dyDescent="0.35">
      <c r="A1147">
        <v>2022</v>
      </c>
      <c r="B1147" t="str">
        <f t="shared" si="146"/>
        <v>60</v>
      </c>
      <c r="C1147" t="s">
        <v>201</v>
      </c>
      <c r="D1147" t="s">
        <v>35</v>
      </c>
      <c r="E1147" t="str">
        <f t="shared" si="148"/>
        <v>251</v>
      </c>
      <c r="F1147" t="s">
        <v>407</v>
      </c>
      <c r="G1147" t="str">
        <f>"013"</f>
        <v>013</v>
      </c>
      <c r="H1147" t="str">
        <f t="shared" si="147"/>
        <v>3409</v>
      </c>
      <c r="I1147" s="3">
        <v>15577900</v>
      </c>
      <c r="J1147" s="3">
        <v>96.49</v>
      </c>
      <c r="K1147" s="3">
        <v>16144600</v>
      </c>
      <c r="L1147" s="3">
        <v>18906100</v>
      </c>
      <c r="M1147" s="3">
        <v>18906100</v>
      </c>
      <c r="N1147" s="3">
        <v>0</v>
      </c>
      <c r="O1147" s="3">
        <v>0</v>
      </c>
      <c r="P1147" s="3">
        <v>0</v>
      </c>
      <c r="Q1147" s="3">
        <v>0</v>
      </c>
      <c r="R1147" s="3">
        <v>-2289300</v>
      </c>
      <c r="S1147" s="3">
        <v>0</v>
      </c>
      <c r="T1147" s="3">
        <v>0</v>
      </c>
      <c r="U1147" s="3">
        <v>0</v>
      </c>
      <c r="V1147" s="3">
        <v>2005</v>
      </c>
      <c r="W1147" s="3">
        <v>3382000</v>
      </c>
      <c r="X1147" s="3">
        <v>16616800</v>
      </c>
      <c r="Y1147" s="3">
        <v>13234800</v>
      </c>
      <c r="Z1147" s="3">
        <v>16874300</v>
      </c>
      <c r="AA1147" s="3">
        <v>-257500</v>
      </c>
      <c r="AB1147" s="3">
        <v>-2</v>
      </c>
    </row>
    <row r="1148" spans="1:28" x14ac:dyDescent="0.35">
      <c r="A1148">
        <v>2022</v>
      </c>
      <c r="B1148" t="str">
        <f t="shared" ref="B1148:B1163" si="149">"61"</f>
        <v>61</v>
      </c>
      <c r="C1148" t="s">
        <v>408</v>
      </c>
      <c r="D1148" t="s">
        <v>33</v>
      </c>
      <c r="E1148" t="str">
        <f>"181"</f>
        <v>181</v>
      </c>
      <c r="F1148" t="s">
        <v>409</v>
      </c>
      <c r="G1148" t="str">
        <f>"001"</f>
        <v>001</v>
      </c>
      <c r="H1148" t="str">
        <f>"1600"</f>
        <v>1600</v>
      </c>
      <c r="I1148" s="3">
        <v>0</v>
      </c>
      <c r="J1148" s="3">
        <v>64.959999999999994</v>
      </c>
      <c r="K1148" s="3">
        <v>0</v>
      </c>
      <c r="L1148" s="3">
        <v>9400</v>
      </c>
      <c r="M1148" s="3">
        <v>9400</v>
      </c>
      <c r="N1148" s="3">
        <v>0</v>
      </c>
      <c r="O1148" s="3">
        <v>0</v>
      </c>
      <c r="P1148" s="3">
        <v>0</v>
      </c>
      <c r="Q1148" s="3">
        <v>0</v>
      </c>
      <c r="R1148" s="3">
        <v>0</v>
      </c>
      <c r="S1148" s="3">
        <v>0</v>
      </c>
      <c r="T1148" s="3">
        <v>0</v>
      </c>
      <c r="U1148" s="3">
        <v>0</v>
      </c>
      <c r="V1148" s="3">
        <v>2009</v>
      </c>
      <c r="W1148" s="3">
        <v>5600</v>
      </c>
      <c r="X1148" s="3">
        <v>9400</v>
      </c>
      <c r="Y1148" s="3">
        <v>3800</v>
      </c>
      <c r="Z1148" s="3">
        <v>9400</v>
      </c>
      <c r="AA1148" s="3">
        <v>0</v>
      </c>
      <c r="AB1148" s="3">
        <v>0</v>
      </c>
    </row>
    <row r="1149" spans="1:28" x14ac:dyDescent="0.35">
      <c r="A1149">
        <v>2022</v>
      </c>
      <c r="B1149" t="str">
        <f t="shared" si="149"/>
        <v>61</v>
      </c>
      <c r="C1149" t="s">
        <v>408</v>
      </c>
      <c r="D1149" t="s">
        <v>33</v>
      </c>
      <c r="E1149" t="str">
        <f>"186"</f>
        <v>186</v>
      </c>
      <c r="F1149" t="s">
        <v>408</v>
      </c>
      <c r="G1149" t="str">
        <f>"001"</f>
        <v>001</v>
      </c>
      <c r="H1149" t="str">
        <f>"2009"</f>
        <v>2009</v>
      </c>
      <c r="I1149" s="3">
        <v>4187400</v>
      </c>
      <c r="J1149" s="3">
        <v>69.760000000000005</v>
      </c>
      <c r="K1149" s="3">
        <v>6002600</v>
      </c>
      <c r="L1149" s="3">
        <v>0</v>
      </c>
      <c r="M1149" s="3">
        <v>6002600</v>
      </c>
      <c r="N1149" s="3">
        <v>170200</v>
      </c>
      <c r="O1149" s="3">
        <v>170200</v>
      </c>
      <c r="P1149" s="3">
        <v>5100</v>
      </c>
      <c r="Q1149" s="3">
        <v>5100</v>
      </c>
      <c r="R1149" s="3">
        <v>-3200</v>
      </c>
      <c r="S1149" s="3">
        <v>0</v>
      </c>
      <c r="T1149" s="3">
        <v>0</v>
      </c>
      <c r="U1149" s="3">
        <v>0</v>
      </c>
      <c r="V1149" s="3">
        <v>1997</v>
      </c>
      <c r="W1149" s="3">
        <v>2003400</v>
      </c>
      <c r="X1149" s="3">
        <v>6174700</v>
      </c>
      <c r="Y1149" s="3">
        <v>4171300</v>
      </c>
      <c r="Z1149" s="3">
        <v>5338300</v>
      </c>
      <c r="AA1149" s="3">
        <v>836400</v>
      </c>
      <c r="AB1149" s="3">
        <v>16</v>
      </c>
    </row>
    <row r="1150" spans="1:28" x14ac:dyDescent="0.35">
      <c r="A1150">
        <v>2022</v>
      </c>
      <c r="B1150" t="str">
        <f t="shared" si="149"/>
        <v>61</v>
      </c>
      <c r="C1150" t="s">
        <v>408</v>
      </c>
      <c r="D1150" t="s">
        <v>35</v>
      </c>
      <c r="E1150" t="str">
        <f>"201"</f>
        <v>201</v>
      </c>
      <c r="F1150" t="s">
        <v>410</v>
      </c>
      <c r="G1150" t="str">
        <f>"003"</f>
        <v>003</v>
      </c>
      <c r="H1150" t="str">
        <f>"0154"</f>
        <v>0154</v>
      </c>
      <c r="I1150" s="3">
        <v>68300</v>
      </c>
      <c r="J1150" s="3">
        <v>83.61</v>
      </c>
      <c r="K1150" s="3">
        <v>81700</v>
      </c>
      <c r="L1150" s="3">
        <v>0</v>
      </c>
      <c r="M1150" s="3">
        <v>81700</v>
      </c>
      <c r="N1150" s="3">
        <v>10364400</v>
      </c>
      <c r="O1150" s="3">
        <v>10364400</v>
      </c>
      <c r="P1150" s="3">
        <v>12693400</v>
      </c>
      <c r="Q1150" s="3">
        <v>12693400</v>
      </c>
      <c r="R1150" s="3">
        <v>-300</v>
      </c>
      <c r="S1150" s="3">
        <v>0</v>
      </c>
      <c r="T1150" s="3">
        <v>0</v>
      </c>
      <c r="U1150" s="3">
        <v>0</v>
      </c>
      <c r="V1150" s="3">
        <v>1994</v>
      </c>
      <c r="W1150" s="3">
        <v>180100</v>
      </c>
      <c r="X1150" s="3">
        <v>23139200</v>
      </c>
      <c r="Y1150" s="3">
        <v>22959100</v>
      </c>
      <c r="Z1150" s="3">
        <v>21292800</v>
      </c>
      <c r="AA1150" s="3">
        <v>1846400</v>
      </c>
      <c r="AB1150" s="3">
        <v>9</v>
      </c>
    </row>
    <row r="1151" spans="1:28" x14ac:dyDescent="0.35">
      <c r="A1151">
        <v>2022</v>
      </c>
      <c r="B1151" t="str">
        <f t="shared" si="149"/>
        <v>61</v>
      </c>
      <c r="C1151" t="s">
        <v>408</v>
      </c>
      <c r="D1151" t="s">
        <v>35</v>
      </c>
      <c r="E1151" t="str">
        <f>"201"</f>
        <v>201</v>
      </c>
      <c r="F1151" t="s">
        <v>410</v>
      </c>
      <c r="G1151" t="str">
        <f>"004"</f>
        <v>004</v>
      </c>
      <c r="H1151" t="str">
        <f>"0154"</f>
        <v>0154</v>
      </c>
      <c r="I1151" s="3">
        <v>23052200</v>
      </c>
      <c r="J1151" s="3">
        <v>83.61</v>
      </c>
      <c r="K1151" s="3">
        <v>27571100</v>
      </c>
      <c r="L1151" s="3">
        <v>0</v>
      </c>
      <c r="M1151" s="3">
        <v>27571100</v>
      </c>
      <c r="N1151" s="3">
        <v>1544700</v>
      </c>
      <c r="O1151" s="3">
        <v>1544700</v>
      </c>
      <c r="P1151" s="3">
        <v>2500</v>
      </c>
      <c r="Q1151" s="3">
        <v>2500</v>
      </c>
      <c r="R1151" s="3">
        <v>-91500</v>
      </c>
      <c r="S1151" s="3">
        <v>0</v>
      </c>
      <c r="T1151" s="3">
        <v>0</v>
      </c>
      <c r="U1151" s="3">
        <v>0</v>
      </c>
      <c r="V1151" s="3">
        <v>1994</v>
      </c>
      <c r="W1151" s="3">
        <v>587100</v>
      </c>
      <c r="X1151" s="3">
        <v>29026800</v>
      </c>
      <c r="Y1151" s="3">
        <v>28439700</v>
      </c>
      <c r="Z1151" s="3">
        <v>25509400</v>
      </c>
      <c r="AA1151" s="3">
        <v>3517400</v>
      </c>
      <c r="AB1151" s="3">
        <v>14</v>
      </c>
    </row>
    <row r="1152" spans="1:28" x14ac:dyDescent="0.35">
      <c r="A1152">
        <v>2022</v>
      </c>
      <c r="B1152" t="str">
        <f t="shared" si="149"/>
        <v>61</v>
      </c>
      <c r="C1152" t="s">
        <v>408</v>
      </c>
      <c r="D1152" t="s">
        <v>35</v>
      </c>
      <c r="E1152" t="str">
        <f>"206"</f>
        <v>206</v>
      </c>
      <c r="F1152" t="s">
        <v>411</v>
      </c>
      <c r="G1152" t="str">
        <f>"004"</f>
        <v>004</v>
      </c>
      <c r="H1152" t="str">
        <f>"0485"</f>
        <v>0485</v>
      </c>
      <c r="I1152" s="3">
        <v>3888300</v>
      </c>
      <c r="J1152" s="3">
        <v>69.67</v>
      </c>
      <c r="K1152" s="3">
        <v>5581000</v>
      </c>
      <c r="L1152" s="3">
        <v>0</v>
      </c>
      <c r="M1152" s="3">
        <v>5581000</v>
      </c>
      <c r="N1152" s="3">
        <v>0</v>
      </c>
      <c r="O1152" s="3">
        <v>0</v>
      </c>
      <c r="P1152" s="3">
        <v>0</v>
      </c>
      <c r="Q1152" s="3">
        <v>0</v>
      </c>
      <c r="R1152" s="3">
        <v>1100</v>
      </c>
      <c r="S1152" s="3">
        <v>0</v>
      </c>
      <c r="T1152" s="3">
        <v>0</v>
      </c>
      <c r="U1152" s="3">
        <v>0</v>
      </c>
      <c r="V1152" s="3">
        <v>2007</v>
      </c>
      <c r="W1152" s="3">
        <v>17900</v>
      </c>
      <c r="X1152" s="3">
        <v>5582100</v>
      </c>
      <c r="Y1152" s="3">
        <v>5564200</v>
      </c>
      <c r="Z1152" s="3">
        <v>4753700</v>
      </c>
      <c r="AA1152" s="3">
        <v>828400</v>
      </c>
      <c r="AB1152" s="3">
        <v>17</v>
      </c>
    </row>
    <row r="1153" spans="1:28" x14ac:dyDescent="0.35">
      <c r="A1153">
        <v>2022</v>
      </c>
      <c r="B1153" t="str">
        <f t="shared" si="149"/>
        <v>61</v>
      </c>
      <c r="C1153" t="s">
        <v>408</v>
      </c>
      <c r="D1153" t="s">
        <v>35</v>
      </c>
      <c r="E1153" t="str">
        <f>"206"</f>
        <v>206</v>
      </c>
      <c r="F1153" t="s">
        <v>411</v>
      </c>
      <c r="G1153" t="str">
        <f>"005"</f>
        <v>005</v>
      </c>
      <c r="H1153" t="str">
        <f>"0485"</f>
        <v>0485</v>
      </c>
      <c r="I1153" s="3">
        <v>2394800</v>
      </c>
      <c r="J1153" s="3">
        <v>69.67</v>
      </c>
      <c r="K1153" s="3">
        <v>3437300</v>
      </c>
      <c r="L1153" s="3">
        <v>0</v>
      </c>
      <c r="M1153" s="3">
        <v>3437300</v>
      </c>
      <c r="N1153" s="3">
        <v>0</v>
      </c>
      <c r="O1153" s="3">
        <v>0</v>
      </c>
      <c r="P1153" s="3">
        <v>0</v>
      </c>
      <c r="Q1153" s="3">
        <v>0</v>
      </c>
      <c r="R1153" s="3">
        <v>700</v>
      </c>
      <c r="S1153" s="3">
        <v>0</v>
      </c>
      <c r="T1153" s="3">
        <v>0</v>
      </c>
      <c r="U1153" s="3">
        <v>0</v>
      </c>
      <c r="V1153" s="3">
        <v>2008</v>
      </c>
      <c r="W1153" s="3">
        <v>54100</v>
      </c>
      <c r="X1153" s="3">
        <v>3438000</v>
      </c>
      <c r="Y1153" s="3">
        <v>3383900</v>
      </c>
      <c r="Z1153" s="3">
        <v>2932800</v>
      </c>
      <c r="AA1153" s="3">
        <v>505200</v>
      </c>
      <c r="AB1153" s="3">
        <v>17</v>
      </c>
    </row>
    <row r="1154" spans="1:28" x14ac:dyDescent="0.35">
      <c r="A1154">
        <v>2022</v>
      </c>
      <c r="B1154" t="str">
        <f t="shared" si="149"/>
        <v>61</v>
      </c>
      <c r="C1154" t="s">
        <v>408</v>
      </c>
      <c r="D1154" t="s">
        <v>35</v>
      </c>
      <c r="E1154" t="str">
        <f>"206"</f>
        <v>206</v>
      </c>
      <c r="F1154" t="s">
        <v>411</v>
      </c>
      <c r="G1154" t="str">
        <f>"006"</f>
        <v>006</v>
      </c>
      <c r="H1154" t="str">
        <f>"0485"</f>
        <v>0485</v>
      </c>
      <c r="I1154" s="3">
        <v>5052200</v>
      </c>
      <c r="J1154" s="3">
        <v>69.67</v>
      </c>
      <c r="K1154" s="3">
        <v>7251600</v>
      </c>
      <c r="L1154" s="3">
        <v>0</v>
      </c>
      <c r="M1154" s="3">
        <v>7251600</v>
      </c>
      <c r="N1154" s="3">
        <v>0</v>
      </c>
      <c r="O1154" s="3">
        <v>0</v>
      </c>
      <c r="P1154" s="3">
        <v>0</v>
      </c>
      <c r="Q1154" s="3">
        <v>0</v>
      </c>
      <c r="R1154" s="3">
        <v>900</v>
      </c>
      <c r="S1154" s="3">
        <v>0</v>
      </c>
      <c r="T1154" s="3">
        <v>0</v>
      </c>
      <c r="U1154" s="3">
        <v>0</v>
      </c>
      <c r="V1154" s="3">
        <v>2015</v>
      </c>
      <c r="W1154" s="3">
        <v>5512200</v>
      </c>
      <c r="X1154" s="3">
        <v>7252500</v>
      </c>
      <c r="Y1154" s="3">
        <v>1740300</v>
      </c>
      <c r="Z1154" s="3">
        <v>3812400</v>
      </c>
      <c r="AA1154" s="3">
        <v>3440100</v>
      </c>
      <c r="AB1154" s="3">
        <v>90</v>
      </c>
    </row>
    <row r="1155" spans="1:28" x14ac:dyDescent="0.35">
      <c r="A1155">
        <v>2022</v>
      </c>
      <c r="B1155" t="str">
        <f t="shared" si="149"/>
        <v>61</v>
      </c>
      <c r="C1155" t="s">
        <v>408</v>
      </c>
      <c r="D1155" t="s">
        <v>35</v>
      </c>
      <c r="E1155" t="str">
        <f>"206"</f>
        <v>206</v>
      </c>
      <c r="F1155" t="s">
        <v>411</v>
      </c>
      <c r="G1155" t="str">
        <f>"007"</f>
        <v>007</v>
      </c>
      <c r="H1155" t="str">
        <f>"0485"</f>
        <v>0485</v>
      </c>
      <c r="I1155" s="3">
        <v>1855000</v>
      </c>
      <c r="J1155" s="3">
        <v>69.67</v>
      </c>
      <c r="K1155" s="3">
        <v>2662600</v>
      </c>
      <c r="L1155" s="3">
        <v>0</v>
      </c>
      <c r="M1155" s="3">
        <v>2662600</v>
      </c>
      <c r="N1155" s="3">
        <v>610200</v>
      </c>
      <c r="O1155" s="3">
        <v>610200</v>
      </c>
      <c r="P1155" s="3">
        <v>70800</v>
      </c>
      <c r="Q1155" s="3">
        <v>70800</v>
      </c>
      <c r="R1155" s="3">
        <v>500</v>
      </c>
      <c r="S1155" s="3">
        <v>0</v>
      </c>
      <c r="T1155" s="3">
        <v>0</v>
      </c>
      <c r="U1155" s="3">
        <v>0</v>
      </c>
      <c r="V1155" s="3">
        <v>2015</v>
      </c>
      <c r="W1155" s="3">
        <v>1725000</v>
      </c>
      <c r="X1155" s="3">
        <v>3344100</v>
      </c>
      <c r="Y1155" s="3">
        <v>1619100</v>
      </c>
      <c r="Z1155" s="3">
        <v>2895700</v>
      </c>
      <c r="AA1155" s="3">
        <v>448400</v>
      </c>
      <c r="AB1155" s="3">
        <v>15</v>
      </c>
    </row>
    <row r="1156" spans="1:28" x14ac:dyDescent="0.35">
      <c r="A1156">
        <v>2022</v>
      </c>
      <c r="B1156" t="str">
        <f t="shared" si="149"/>
        <v>61</v>
      </c>
      <c r="C1156" t="s">
        <v>408</v>
      </c>
      <c r="D1156" t="s">
        <v>35</v>
      </c>
      <c r="E1156" t="str">
        <f>"231"</f>
        <v>231</v>
      </c>
      <c r="F1156" t="s">
        <v>412</v>
      </c>
      <c r="G1156" t="str">
        <f>"002"</f>
        <v>002</v>
      </c>
      <c r="H1156" t="str">
        <f>"2009"</f>
        <v>2009</v>
      </c>
      <c r="I1156" s="3">
        <v>10918700</v>
      </c>
      <c r="J1156" s="3">
        <v>90.22</v>
      </c>
      <c r="K1156" s="3">
        <v>12102300</v>
      </c>
      <c r="L1156" s="3">
        <v>0</v>
      </c>
      <c r="M1156" s="3">
        <v>12102300</v>
      </c>
      <c r="N1156" s="3">
        <v>0</v>
      </c>
      <c r="O1156" s="3">
        <v>0</v>
      </c>
      <c r="P1156" s="3">
        <v>0</v>
      </c>
      <c r="Q1156" s="3">
        <v>0</v>
      </c>
      <c r="R1156" s="3">
        <v>-2463200</v>
      </c>
      <c r="S1156" s="3">
        <v>0</v>
      </c>
      <c r="T1156" s="3">
        <v>0</v>
      </c>
      <c r="U1156" s="3">
        <v>0</v>
      </c>
      <c r="V1156" s="3">
        <v>2001</v>
      </c>
      <c r="W1156" s="3">
        <v>1038600</v>
      </c>
      <c r="X1156" s="3">
        <v>9639100</v>
      </c>
      <c r="Y1156" s="3">
        <v>8600500</v>
      </c>
      <c r="Z1156" s="3">
        <v>13110400</v>
      </c>
      <c r="AA1156" s="3">
        <v>-3471300</v>
      </c>
      <c r="AB1156" s="3">
        <v>-26</v>
      </c>
    </row>
    <row r="1157" spans="1:28" x14ac:dyDescent="0.35">
      <c r="A1157">
        <v>2022</v>
      </c>
      <c r="B1157" t="str">
        <f t="shared" si="149"/>
        <v>61</v>
      </c>
      <c r="C1157" t="s">
        <v>408</v>
      </c>
      <c r="D1157" t="s">
        <v>35</v>
      </c>
      <c r="E1157" t="str">
        <f>"241"</f>
        <v>241</v>
      </c>
      <c r="F1157" t="s">
        <v>413</v>
      </c>
      <c r="G1157" t="str">
        <f>"002"</f>
        <v>002</v>
      </c>
      <c r="H1157" t="str">
        <f>"2632"</f>
        <v>2632</v>
      </c>
      <c r="I1157" s="3">
        <v>5550200</v>
      </c>
      <c r="J1157" s="3">
        <v>86.43</v>
      </c>
      <c r="K1157" s="3">
        <v>6421600</v>
      </c>
      <c r="L1157" s="3">
        <v>0</v>
      </c>
      <c r="M1157" s="3">
        <v>6421600</v>
      </c>
      <c r="N1157" s="3">
        <v>0</v>
      </c>
      <c r="O1157" s="3">
        <v>0</v>
      </c>
      <c r="P1157" s="3">
        <v>0</v>
      </c>
      <c r="Q1157" s="3">
        <v>0</v>
      </c>
      <c r="R1157" s="3">
        <v>-3738100</v>
      </c>
      <c r="S1157" s="3">
        <v>0</v>
      </c>
      <c r="T1157" s="3">
        <v>0</v>
      </c>
      <c r="U1157" s="3">
        <v>3571300</v>
      </c>
      <c r="V1157" s="3">
        <v>2006</v>
      </c>
      <c r="W1157" s="3">
        <v>2007200</v>
      </c>
      <c r="X1157" s="3">
        <v>6254800</v>
      </c>
      <c r="Y1157" s="3">
        <v>4247600</v>
      </c>
      <c r="Z1157" s="3">
        <v>13038800</v>
      </c>
      <c r="AA1157" s="3">
        <v>-6784000</v>
      </c>
      <c r="AB1157" s="3">
        <v>-52</v>
      </c>
    </row>
    <row r="1158" spans="1:28" x14ac:dyDescent="0.35">
      <c r="A1158">
        <v>2022</v>
      </c>
      <c r="B1158" t="str">
        <f t="shared" si="149"/>
        <v>61</v>
      </c>
      <c r="C1158" t="s">
        <v>408</v>
      </c>
      <c r="D1158" t="s">
        <v>35</v>
      </c>
      <c r="E1158" t="str">
        <f>"241"</f>
        <v>241</v>
      </c>
      <c r="F1158" t="s">
        <v>413</v>
      </c>
      <c r="G1158" t="str">
        <f>"003"</f>
        <v>003</v>
      </c>
      <c r="H1158" t="str">
        <f>"2632"</f>
        <v>2632</v>
      </c>
      <c r="I1158" s="3">
        <v>6120900</v>
      </c>
      <c r="J1158" s="3">
        <v>86.43</v>
      </c>
      <c r="K1158" s="3">
        <v>7081900</v>
      </c>
      <c r="L1158" s="3">
        <v>0</v>
      </c>
      <c r="M1158" s="3">
        <v>7081900</v>
      </c>
      <c r="N1158" s="3">
        <v>221500</v>
      </c>
      <c r="O1158" s="3">
        <v>221500</v>
      </c>
      <c r="P1158" s="3">
        <v>5000</v>
      </c>
      <c r="Q1158" s="3">
        <v>5000</v>
      </c>
      <c r="R1158" s="3">
        <v>-1122900</v>
      </c>
      <c r="S1158" s="3">
        <v>0</v>
      </c>
      <c r="T1158" s="3">
        <v>0</v>
      </c>
      <c r="U1158" s="3">
        <v>0</v>
      </c>
      <c r="V1158" s="3">
        <v>2020</v>
      </c>
      <c r="W1158" s="3">
        <v>3783300</v>
      </c>
      <c r="X1158" s="3">
        <v>6185500</v>
      </c>
      <c r="Y1158" s="3">
        <v>2402200</v>
      </c>
      <c r="Z1158" s="3">
        <v>6574100</v>
      </c>
      <c r="AA1158" s="3">
        <v>-388600</v>
      </c>
      <c r="AB1158" s="3">
        <v>-6</v>
      </c>
    </row>
    <row r="1159" spans="1:28" x14ac:dyDescent="0.35">
      <c r="A1159">
        <v>2022</v>
      </c>
      <c r="B1159" t="str">
        <f t="shared" si="149"/>
        <v>61</v>
      </c>
      <c r="C1159" t="s">
        <v>408</v>
      </c>
      <c r="D1159" t="s">
        <v>35</v>
      </c>
      <c r="E1159" t="str">
        <f>"265"</f>
        <v>265</v>
      </c>
      <c r="F1159" t="s">
        <v>414</v>
      </c>
      <c r="G1159" t="str">
        <f>"002"</f>
        <v>002</v>
      </c>
      <c r="H1159" t="str">
        <f>"4186"</f>
        <v>4186</v>
      </c>
      <c r="I1159" s="3">
        <v>21963900</v>
      </c>
      <c r="J1159" s="3">
        <v>89.1</v>
      </c>
      <c r="K1159" s="3">
        <v>24650800</v>
      </c>
      <c r="L1159" s="3">
        <v>0</v>
      </c>
      <c r="M1159" s="3">
        <v>24650800</v>
      </c>
      <c r="N1159" s="3">
        <v>10860200</v>
      </c>
      <c r="O1159" s="3">
        <v>10860200</v>
      </c>
      <c r="P1159" s="3">
        <v>1872700</v>
      </c>
      <c r="Q1159" s="3">
        <v>1872700</v>
      </c>
      <c r="R1159" s="3">
        <v>-4600</v>
      </c>
      <c r="S1159" s="3">
        <v>0</v>
      </c>
      <c r="T1159" s="3">
        <v>0</v>
      </c>
      <c r="U1159" s="3">
        <v>0</v>
      </c>
      <c r="V1159" s="3">
        <v>1994</v>
      </c>
      <c r="W1159" s="3">
        <v>358000</v>
      </c>
      <c r="X1159" s="3">
        <v>37379100</v>
      </c>
      <c r="Y1159" s="3">
        <v>37021100</v>
      </c>
      <c r="Z1159" s="3">
        <v>38483800</v>
      </c>
      <c r="AA1159" s="3">
        <v>-1104700</v>
      </c>
      <c r="AB1159" s="3">
        <v>-3</v>
      </c>
    </row>
    <row r="1160" spans="1:28" x14ac:dyDescent="0.35">
      <c r="A1160">
        <v>2022</v>
      </c>
      <c r="B1160" t="str">
        <f t="shared" si="149"/>
        <v>61</v>
      </c>
      <c r="C1160" t="s">
        <v>408</v>
      </c>
      <c r="D1160" t="s">
        <v>35</v>
      </c>
      <c r="E1160" t="str">
        <f>"265"</f>
        <v>265</v>
      </c>
      <c r="F1160" t="s">
        <v>414</v>
      </c>
      <c r="G1160" t="str">
        <f>"003"</f>
        <v>003</v>
      </c>
      <c r="H1160" t="str">
        <f>"4186"</f>
        <v>4186</v>
      </c>
      <c r="I1160" s="3">
        <v>2950300</v>
      </c>
      <c r="J1160" s="3">
        <v>89.1</v>
      </c>
      <c r="K1160" s="3">
        <v>3311200</v>
      </c>
      <c r="L1160" s="3">
        <v>0</v>
      </c>
      <c r="M1160" s="3">
        <v>3311200</v>
      </c>
      <c r="N1160" s="3">
        <v>0</v>
      </c>
      <c r="O1160" s="3">
        <v>0</v>
      </c>
      <c r="P1160" s="3">
        <v>0</v>
      </c>
      <c r="Q1160" s="3">
        <v>0</v>
      </c>
      <c r="R1160" s="3">
        <v>-700</v>
      </c>
      <c r="S1160" s="3">
        <v>0</v>
      </c>
      <c r="T1160" s="3">
        <v>0</v>
      </c>
      <c r="U1160" s="3">
        <v>0</v>
      </c>
      <c r="V1160" s="3">
        <v>2009</v>
      </c>
      <c r="W1160" s="3">
        <v>2470500</v>
      </c>
      <c r="X1160" s="3">
        <v>3310500</v>
      </c>
      <c r="Y1160" s="3">
        <v>840000</v>
      </c>
      <c r="Z1160" s="3">
        <v>2837200</v>
      </c>
      <c r="AA1160" s="3">
        <v>473300</v>
      </c>
      <c r="AB1160" s="3">
        <v>17</v>
      </c>
    </row>
    <row r="1161" spans="1:28" x14ac:dyDescent="0.35">
      <c r="A1161">
        <v>2022</v>
      </c>
      <c r="B1161" t="str">
        <f t="shared" si="149"/>
        <v>61</v>
      </c>
      <c r="C1161" t="s">
        <v>408</v>
      </c>
      <c r="D1161" t="s">
        <v>35</v>
      </c>
      <c r="E1161" t="str">
        <f>"291"</f>
        <v>291</v>
      </c>
      <c r="F1161" t="s">
        <v>415</v>
      </c>
      <c r="G1161" t="str">
        <f>"002"</f>
        <v>002</v>
      </c>
      <c r="H1161" t="str">
        <f>"6426"</f>
        <v>6426</v>
      </c>
      <c r="I1161" s="3">
        <v>714200</v>
      </c>
      <c r="J1161" s="3">
        <v>80</v>
      </c>
      <c r="K1161" s="3">
        <v>892800</v>
      </c>
      <c r="L1161" s="3">
        <v>0</v>
      </c>
      <c r="M1161" s="3">
        <v>892800</v>
      </c>
      <c r="N1161" s="3">
        <v>4683100</v>
      </c>
      <c r="O1161" s="3">
        <v>4683100</v>
      </c>
      <c r="P1161" s="3">
        <v>767700</v>
      </c>
      <c r="Q1161" s="3">
        <v>767700</v>
      </c>
      <c r="R1161" s="3">
        <v>300</v>
      </c>
      <c r="S1161" s="3">
        <v>0</v>
      </c>
      <c r="T1161" s="3">
        <v>0</v>
      </c>
      <c r="U1161" s="3">
        <v>0</v>
      </c>
      <c r="V1161" s="3">
        <v>2006</v>
      </c>
      <c r="W1161" s="3">
        <v>989100</v>
      </c>
      <c r="X1161" s="3">
        <v>6343900</v>
      </c>
      <c r="Y1161" s="3">
        <v>5354800</v>
      </c>
      <c r="Z1161" s="3">
        <v>6411900</v>
      </c>
      <c r="AA1161" s="3">
        <v>-68000</v>
      </c>
      <c r="AB1161" s="3">
        <v>-1</v>
      </c>
    </row>
    <row r="1162" spans="1:28" x14ac:dyDescent="0.35">
      <c r="A1162">
        <v>2022</v>
      </c>
      <c r="B1162" t="str">
        <f t="shared" si="149"/>
        <v>61</v>
      </c>
      <c r="C1162" t="s">
        <v>408</v>
      </c>
      <c r="D1162" t="s">
        <v>35</v>
      </c>
      <c r="E1162" t="str">
        <f>"291"</f>
        <v>291</v>
      </c>
      <c r="F1162" t="s">
        <v>415</v>
      </c>
      <c r="G1162" t="str">
        <f>"003"</f>
        <v>003</v>
      </c>
      <c r="H1162" t="str">
        <f>"2632"</f>
        <v>2632</v>
      </c>
      <c r="I1162" s="3">
        <v>0</v>
      </c>
      <c r="J1162" s="3">
        <v>80</v>
      </c>
      <c r="K1162" s="3">
        <v>0</v>
      </c>
      <c r="L1162" s="3">
        <v>337500</v>
      </c>
      <c r="M1162" s="3">
        <v>337500</v>
      </c>
      <c r="N1162" s="3">
        <v>0</v>
      </c>
      <c r="O1162" s="3">
        <v>0</v>
      </c>
      <c r="P1162" s="3">
        <v>0</v>
      </c>
      <c r="Q1162" s="3">
        <v>0</v>
      </c>
      <c r="R1162" s="3">
        <v>0</v>
      </c>
      <c r="S1162" s="3">
        <v>0</v>
      </c>
      <c r="T1162" s="3">
        <v>0</v>
      </c>
      <c r="U1162" s="3">
        <v>0</v>
      </c>
      <c r="V1162" s="3">
        <v>2006</v>
      </c>
      <c r="W1162" s="3">
        <v>356800</v>
      </c>
      <c r="X1162" s="3">
        <v>337500</v>
      </c>
      <c r="Y1162" s="3">
        <v>-19300</v>
      </c>
      <c r="Z1162" s="3">
        <v>337500</v>
      </c>
      <c r="AA1162" s="3">
        <v>0</v>
      </c>
      <c r="AB1162" s="3">
        <v>0</v>
      </c>
    </row>
    <row r="1163" spans="1:28" x14ac:dyDescent="0.35">
      <c r="A1163">
        <v>2022</v>
      </c>
      <c r="B1163" t="str">
        <f t="shared" si="149"/>
        <v>61</v>
      </c>
      <c r="C1163" t="s">
        <v>408</v>
      </c>
      <c r="D1163" t="s">
        <v>35</v>
      </c>
      <c r="E1163" t="str">
        <f>"291"</f>
        <v>291</v>
      </c>
      <c r="F1163" t="s">
        <v>415</v>
      </c>
      <c r="G1163" t="str">
        <f>"003"</f>
        <v>003</v>
      </c>
      <c r="H1163" t="str">
        <f>"6426"</f>
        <v>6426</v>
      </c>
      <c r="I1163" s="3">
        <v>11757200</v>
      </c>
      <c r="J1163" s="3">
        <v>80</v>
      </c>
      <c r="K1163" s="3">
        <v>14696500</v>
      </c>
      <c r="L1163" s="3">
        <v>0</v>
      </c>
      <c r="M1163" s="3">
        <v>14696500</v>
      </c>
      <c r="N1163" s="3">
        <v>2620900</v>
      </c>
      <c r="O1163" s="3">
        <v>2620900</v>
      </c>
      <c r="P1163" s="3">
        <v>0</v>
      </c>
      <c r="Q1163" s="3">
        <v>0</v>
      </c>
      <c r="R1163" s="3">
        <v>5600</v>
      </c>
      <c r="S1163" s="3">
        <v>-1371800</v>
      </c>
      <c r="T1163" s="3">
        <v>-61500</v>
      </c>
      <c r="U1163" s="3">
        <v>0</v>
      </c>
      <c r="V1163" s="3">
        <v>2006</v>
      </c>
      <c r="W1163" s="3">
        <v>7349200</v>
      </c>
      <c r="X1163" s="3">
        <v>15889700</v>
      </c>
      <c r="Y1163" s="3">
        <v>8540500</v>
      </c>
      <c r="Z1163" s="3">
        <v>20400500</v>
      </c>
      <c r="AA1163" s="3">
        <v>-4510800</v>
      </c>
      <c r="AB1163" s="3">
        <v>-22</v>
      </c>
    </row>
    <row r="1164" spans="1:28" x14ac:dyDescent="0.35">
      <c r="A1164">
        <v>2022</v>
      </c>
      <c r="B1164" t="str">
        <f t="shared" ref="B1164:B1177" si="150">"62"</f>
        <v>62</v>
      </c>
      <c r="C1164" t="s">
        <v>416</v>
      </c>
      <c r="D1164" t="s">
        <v>33</v>
      </c>
      <c r="E1164" t="str">
        <f>"116"</f>
        <v>116</v>
      </c>
      <c r="F1164" t="s">
        <v>107</v>
      </c>
      <c r="G1164" t="str">
        <f>"001"</f>
        <v>001</v>
      </c>
      <c r="H1164" t="str">
        <f>"1421"</f>
        <v>1421</v>
      </c>
      <c r="I1164" s="3">
        <v>646000</v>
      </c>
      <c r="J1164" s="3">
        <v>76.42</v>
      </c>
      <c r="K1164" s="3">
        <v>845300</v>
      </c>
      <c r="L1164" s="3">
        <v>0</v>
      </c>
      <c r="M1164" s="3">
        <v>845300</v>
      </c>
      <c r="N1164" s="3">
        <v>0</v>
      </c>
      <c r="O1164" s="3">
        <v>0</v>
      </c>
      <c r="P1164" s="3">
        <v>0</v>
      </c>
      <c r="Q1164" s="3">
        <v>0</v>
      </c>
      <c r="R1164" s="3">
        <v>5400</v>
      </c>
      <c r="S1164" s="3">
        <v>0</v>
      </c>
      <c r="T1164" s="3">
        <v>0</v>
      </c>
      <c r="U1164" s="3">
        <v>0</v>
      </c>
      <c r="V1164" s="3">
        <v>2001</v>
      </c>
      <c r="W1164" s="3">
        <v>340200</v>
      </c>
      <c r="X1164" s="3">
        <v>850700</v>
      </c>
      <c r="Y1164" s="3">
        <v>510500</v>
      </c>
      <c r="Z1164" s="3">
        <v>737500</v>
      </c>
      <c r="AA1164" s="3">
        <v>113200</v>
      </c>
      <c r="AB1164" s="3">
        <v>15</v>
      </c>
    </row>
    <row r="1165" spans="1:28" x14ac:dyDescent="0.35">
      <c r="A1165">
        <v>2022</v>
      </c>
      <c r="B1165" t="str">
        <f t="shared" si="150"/>
        <v>62</v>
      </c>
      <c r="C1165" t="s">
        <v>416</v>
      </c>
      <c r="D1165" t="s">
        <v>33</v>
      </c>
      <c r="E1165" t="str">
        <f>"146"</f>
        <v>146</v>
      </c>
      <c r="F1165" t="s">
        <v>417</v>
      </c>
      <c r="G1165" t="str">
        <f>"001"</f>
        <v>001</v>
      </c>
      <c r="H1165" t="str">
        <f>"2863"</f>
        <v>2863</v>
      </c>
      <c r="I1165" s="3">
        <v>9567200</v>
      </c>
      <c r="J1165" s="3">
        <v>78.540000000000006</v>
      </c>
      <c r="K1165" s="3">
        <v>12181300</v>
      </c>
      <c r="L1165" s="3">
        <v>0</v>
      </c>
      <c r="M1165" s="3">
        <v>12181300</v>
      </c>
      <c r="N1165" s="3">
        <v>0</v>
      </c>
      <c r="O1165" s="3">
        <v>0</v>
      </c>
      <c r="P1165" s="3">
        <v>0</v>
      </c>
      <c r="Q1165" s="3">
        <v>0</v>
      </c>
      <c r="R1165" s="3">
        <v>-39000</v>
      </c>
      <c r="S1165" s="3">
        <v>0</v>
      </c>
      <c r="T1165" s="3">
        <v>0</v>
      </c>
      <c r="U1165" s="3">
        <v>0</v>
      </c>
      <c r="V1165" s="3">
        <v>2003</v>
      </c>
      <c r="W1165" s="3">
        <v>118300</v>
      </c>
      <c r="X1165" s="3">
        <v>12142300</v>
      </c>
      <c r="Y1165" s="3">
        <v>12024000</v>
      </c>
      <c r="Z1165" s="3">
        <v>11370600</v>
      </c>
      <c r="AA1165" s="3">
        <v>771700</v>
      </c>
      <c r="AB1165" s="3">
        <v>7</v>
      </c>
    </row>
    <row r="1166" spans="1:28" x14ac:dyDescent="0.35">
      <c r="A1166">
        <v>2022</v>
      </c>
      <c r="B1166" t="str">
        <f t="shared" si="150"/>
        <v>62</v>
      </c>
      <c r="C1166" t="s">
        <v>416</v>
      </c>
      <c r="D1166" t="s">
        <v>33</v>
      </c>
      <c r="E1166" t="str">
        <f>"165"</f>
        <v>165</v>
      </c>
      <c r="F1166" t="s">
        <v>418</v>
      </c>
      <c r="G1166" t="str">
        <f>"001"</f>
        <v>001</v>
      </c>
      <c r="H1166" t="str">
        <f>"3990"</f>
        <v>3990</v>
      </c>
      <c r="I1166" s="3">
        <v>2898400</v>
      </c>
      <c r="J1166" s="3">
        <v>80.16</v>
      </c>
      <c r="K1166" s="3">
        <v>3615800</v>
      </c>
      <c r="L1166" s="3">
        <v>0</v>
      </c>
      <c r="M1166" s="3">
        <v>3615800</v>
      </c>
      <c r="N1166" s="3">
        <v>0</v>
      </c>
      <c r="O1166" s="3">
        <v>0</v>
      </c>
      <c r="P1166" s="3">
        <v>0</v>
      </c>
      <c r="Q1166" s="3">
        <v>0</v>
      </c>
      <c r="R1166" s="3">
        <v>-8200</v>
      </c>
      <c r="S1166" s="3">
        <v>0</v>
      </c>
      <c r="T1166" s="3">
        <v>0</v>
      </c>
      <c r="U1166" s="3">
        <v>245100</v>
      </c>
      <c r="V1166" s="3">
        <v>1998</v>
      </c>
      <c r="W1166" s="3">
        <v>486500</v>
      </c>
      <c r="X1166" s="3">
        <v>3852700</v>
      </c>
      <c r="Y1166" s="3">
        <v>3366200</v>
      </c>
      <c r="Z1166" s="3">
        <v>3680900</v>
      </c>
      <c r="AA1166" s="3">
        <v>171800</v>
      </c>
      <c r="AB1166" s="3">
        <v>5</v>
      </c>
    </row>
    <row r="1167" spans="1:28" x14ac:dyDescent="0.35">
      <c r="A1167">
        <v>2022</v>
      </c>
      <c r="B1167" t="str">
        <f t="shared" si="150"/>
        <v>62</v>
      </c>
      <c r="C1167" t="s">
        <v>416</v>
      </c>
      <c r="D1167" t="s">
        <v>33</v>
      </c>
      <c r="E1167" t="str">
        <f>"165"</f>
        <v>165</v>
      </c>
      <c r="F1167" t="s">
        <v>418</v>
      </c>
      <c r="G1167" t="str">
        <f>"002"</f>
        <v>002</v>
      </c>
      <c r="H1167" t="str">
        <f>"3990"</f>
        <v>3990</v>
      </c>
      <c r="I1167" s="3">
        <v>710600</v>
      </c>
      <c r="J1167" s="3">
        <v>80.16</v>
      </c>
      <c r="K1167" s="3">
        <v>886500</v>
      </c>
      <c r="L1167" s="3">
        <v>0</v>
      </c>
      <c r="M1167" s="3">
        <v>886500</v>
      </c>
      <c r="N1167" s="3">
        <v>7600</v>
      </c>
      <c r="O1167" s="3">
        <v>7600</v>
      </c>
      <c r="P1167" s="3">
        <v>41900</v>
      </c>
      <c r="Q1167" s="3">
        <v>41900</v>
      </c>
      <c r="R1167" s="3">
        <v>-2000</v>
      </c>
      <c r="S1167" s="3">
        <v>0</v>
      </c>
      <c r="T1167" s="3">
        <v>0</v>
      </c>
      <c r="U1167" s="3">
        <v>0</v>
      </c>
      <c r="V1167" s="3">
        <v>2020</v>
      </c>
      <c r="W1167" s="3">
        <v>668000</v>
      </c>
      <c r="X1167" s="3">
        <v>934000</v>
      </c>
      <c r="Y1167" s="3">
        <v>266000</v>
      </c>
      <c r="Z1167" s="3">
        <v>882300</v>
      </c>
      <c r="AA1167" s="3">
        <v>51700</v>
      </c>
      <c r="AB1167" s="3">
        <v>6</v>
      </c>
    </row>
    <row r="1168" spans="1:28" x14ac:dyDescent="0.35">
      <c r="A1168">
        <v>2022</v>
      </c>
      <c r="B1168" t="str">
        <f t="shared" si="150"/>
        <v>62</v>
      </c>
      <c r="C1168" t="s">
        <v>416</v>
      </c>
      <c r="D1168" t="s">
        <v>33</v>
      </c>
      <c r="E1168" t="str">
        <f>"186"</f>
        <v>186</v>
      </c>
      <c r="F1168" t="s">
        <v>354</v>
      </c>
      <c r="G1168" t="str">
        <f>"004"</f>
        <v>004</v>
      </c>
      <c r="H1168" t="str">
        <f>"5960"</f>
        <v>5960</v>
      </c>
      <c r="I1168" s="3">
        <v>113600</v>
      </c>
      <c r="J1168" s="3">
        <v>100</v>
      </c>
      <c r="K1168" s="3">
        <v>113600</v>
      </c>
      <c r="L1168" s="3">
        <v>0</v>
      </c>
      <c r="M1168" s="3">
        <v>113600</v>
      </c>
      <c r="N1168" s="3">
        <v>5633200</v>
      </c>
      <c r="O1168" s="3">
        <v>5633200</v>
      </c>
      <c r="P1168" s="3">
        <v>1792400</v>
      </c>
      <c r="Q1168" s="3">
        <v>1792400</v>
      </c>
      <c r="R1168" s="3">
        <v>-300</v>
      </c>
      <c r="S1168" s="3">
        <v>0</v>
      </c>
      <c r="T1168" s="3">
        <v>0</v>
      </c>
      <c r="U1168" s="3">
        <v>270800</v>
      </c>
      <c r="V1168" s="3">
        <v>2007</v>
      </c>
      <c r="W1168" s="3">
        <v>319500</v>
      </c>
      <c r="X1168" s="3">
        <v>7809700</v>
      </c>
      <c r="Y1168" s="3">
        <v>7490200</v>
      </c>
      <c r="Z1168" s="3">
        <v>5603500</v>
      </c>
      <c r="AA1168" s="3">
        <v>2206200</v>
      </c>
      <c r="AB1168" s="3">
        <v>39</v>
      </c>
    </row>
    <row r="1169" spans="1:28" x14ac:dyDescent="0.35">
      <c r="A1169">
        <v>2022</v>
      </c>
      <c r="B1169" t="str">
        <f t="shared" si="150"/>
        <v>62</v>
      </c>
      <c r="C1169" t="s">
        <v>416</v>
      </c>
      <c r="D1169" t="s">
        <v>33</v>
      </c>
      <c r="E1169" t="str">
        <f>"186"</f>
        <v>186</v>
      </c>
      <c r="F1169" t="s">
        <v>354</v>
      </c>
      <c r="G1169" t="str">
        <f>"005"</f>
        <v>005</v>
      </c>
      <c r="H1169" t="str">
        <f>"5960"</f>
        <v>5960</v>
      </c>
      <c r="I1169" s="3">
        <v>1561400</v>
      </c>
      <c r="J1169" s="3">
        <v>100</v>
      </c>
      <c r="K1169" s="3">
        <v>1561400</v>
      </c>
      <c r="L1169" s="3">
        <v>0</v>
      </c>
      <c r="M1169" s="3">
        <v>1561400</v>
      </c>
      <c r="N1169" s="3">
        <v>0</v>
      </c>
      <c r="O1169" s="3">
        <v>0</v>
      </c>
      <c r="P1169" s="3">
        <v>0</v>
      </c>
      <c r="Q1169" s="3">
        <v>0</v>
      </c>
      <c r="R1169" s="3">
        <v>-3000</v>
      </c>
      <c r="S1169" s="3">
        <v>0</v>
      </c>
      <c r="T1169" s="3">
        <v>0</v>
      </c>
      <c r="U1169" s="3">
        <v>0</v>
      </c>
      <c r="V1169" s="3">
        <v>2019</v>
      </c>
      <c r="W1169" s="3">
        <v>1059900</v>
      </c>
      <c r="X1169" s="3">
        <v>1558400</v>
      </c>
      <c r="Y1169" s="3">
        <v>498500</v>
      </c>
      <c r="Z1169" s="3">
        <v>1475800</v>
      </c>
      <c r="AA1169" s="3">
        <v>82600</v>
      </c>
      <c r="AB1169" s="3">
        <v>6</v>
      </c>
    </row>
    <row r="1170" spans="1:28" x14ac:dyDescent="0.35">
      <c r="A1170">
        <v>2022</v>
      </c>
      <c r="B1170" t="str">
        <f t="shared" si="150"/>
        <v>62</v>
      </c>
      <c r="C1170" t="s">
        <v>416</v>
      </c>
      <c r="D1170" t="s">
        <v>35</v>
      </c>
      <c r="E1170" t="str">
        <f>"236"</f>
        <v>236</v>
      </c>
      <c r="F1170" t="s">
        <v>419</v>
      </c>
      <c r="G1170" t="str">
        <f>"004"</f>
        <v>004</v>
      </c>
      <c r="H1170" t="str">
        <f>"2541"</f>
        <v>2541</v>
      </c>
      <c r="I1170" s="3">
        <v>8353200</v>
      </c>
      <c r="J1170" s="3">
        <v>71.959999999999994</v>
      </c>
      <c r="K1170" s="3">
        <v>11608100</v>
      </c>
      <c r="L1170" s="3">
        <v>0</v>
      </c>
      <c r="M1170" s="3">
        <v>11608100</v>
      </c>
      <c r="N1170" s="3">
        <v>3861800</v>
      </c>
      <c r="O1170" s="3">
        <v>3861800</v>
      </c>
      <c r="P1170" s="3">
        <v>915700</v>
      </c>
      <c r="Q1170" s="3">
        <v>915700</v>
      </c>
      <c r="R1170" s="3">
        <v>0</v>
      </c>
      <c r="S1170" s="3">
        <v>0</v>
      </c>
      <c r="T1170" s="3">
        <v>0</v>
      </c>
      <c r="U1170" s="3">
        <v>0</v>
      </c>
      <c r="V1170" s="3">
        <v>1998</v>
      </c>
      <c r="W1170" s="3">
        <v>2715800</v>
      </c>
      <c r="X1170" s="3">
        <v>16385600</v>
      </c>
      <c r="Y1170" s="3">
        <v>13669800</v>
      </c>
      <c r="Z1170" s="3">
        <v>15624200</v>
      </c>
      <c r="AA1170" s="3">
        <v>761400</v>
      </c>
      <c r="AB1170" s="3">
        <v>5</v>
      </c>
    </row>
    <row r="1171" spans="1:28" x14ac:dyDescent="0.35">
      <c r="A1171">
        <v>2022</v>
      </c>
      <c r="B1171" t="str">
        <f t="shared" si="150"/>
        <v>62</v>
      </c>
      <c r="C1171" t="s">
        <v>416</v>
      </c>
      <c r="D1171" t="s">
        <v>35</v>
      </c>
      <c r="E1171" t="str">
        <f>"286"</f>
        <v>286</v>
      </c>
      <c r="F1171" t="s">
        <v>420</v>
      </c>
      <c r="G1171" t="str">
        <f>"003"</f>
        <v>003</v>
      </c>
      <c r="H1171" t="str">
        <f>"5985"</f>
        <v>5985</v>
      </c>
      <c r="I1171" s="3">
        <v>15157700</v>
      </c>
      <c r="J1171" s="3">
        <v>78.37</v>
      </c>
      <c r="K1171" s="3">
        <v>19341200</v>
      </c>
      <c r="L1171" s="3">
        <v>0</v>
      </c>
      <c r="M1171" s="3">
        <v>19341200</v>
      </c>
      <c r="N1171" s="3">
        <v>0</v>
      </c>
      <c r="O1171" s="3">
        <v>0</v>
      </c>
      <c r="P1171" s="3">
        <v>33400</v>
      </c>
      <c r="Q1171" s="3">
        <v>33400</v>
      </c>
      <c r="R1171" s="3">
        <v>-41800</v>
      </c>
      <c r="S1171" s="3">
        <v>0</v>
      </c>
      <c r="T1171" s="3">
        <v>0</v>
      </c>
      <c r="U1171" s="3">
        <v>1045600</v>
      </c>
      <c r="V1171" s="3">
        <v>1995</v>
      </c>
      <c r="W1171" s="3">
        <v>3810600</v>
      </c>
      <c r="X1171" s="3">
        <v>20378400</v>
      </c>
      <c r="Y1171" s="3">
        <v>16567800</v>
      </c>
      <c r="Z1171" s="3">
        <v>18061300</v>
      </c>
      <c r="AA1171" s="3">
        <v>2317100</v>
      </c>
      <c r="AB1171" s="3">
        <v>13</v>
      </c>
    </row>
    <row r="1172" spans="1:28" x14ac:dyDescent="0.35">
      <c r="A1172">
        <v>2022</v>
      </c>
      <c r="B1172" t="str">
        <f t="shared" si="150"/>
        <v>62</v>
      </c>
      <c r="C1172" t="s">
        <v>416</v>
      </c>
      <c r="D1172" t="s">
        <v>35</v>
      </c>
      <c r="E1172" t="str">
        <f>"286"</f>
        <v>286</v>
      </c>
      <c r="F1172" t="s">
        <v>420</v>
      </c>
      <c r="G1172" t="str">
        <f>"004"</f>
        <v>004</v>
      </c>
      <c r="H1172" t="str">
        <f>"5985"</f>
        <v>5985</v>
      </c>
      <c r="I1172" s="3">
        <v>2075100</v>
      </c>
      <c r="J1172" s="3">
        <v>78.37</v>
      </c>
      <c r="K1172" s="3">
        <v>2647800</v>
      </c>
      <c r="L1172" s="3">
        <v>0</v>
      </c>
      <c r="M1172" s="3">
        <v>2647800</v>
      </c>
      <c r="N1172" s="3">
        <v>0</v>
      </c>
      <c r="O1172" s="3">
        <v>0</v>
      </c>
      <c r="P1172" s="3">
        <v>0</v>
      </c>
      <c r="Q1172" s="3">
        <v>0</v>
      </c>
      <c r="R1172" s="3">
        <v>-5700</v>
      </c>
      <c r="S1172" s="3">
        <v>0</v>
      </c>
      <c r="T1172" s="3">
        <v>0</v>
      </c>
      <c r="U1172" s="3">
        <v>1401600</v>
      </c>
      <c r="V1172" s="3">
        <v>1999</v>
      </c>
      <c r="W1172" s="3">
        <v>293000</v>
      </c>
      <c r="X1172" s="3">
        <v>4043700</v>
      </c>
      <c r="Y1172" s="3">
        <v>3750700</v>
      </c>
      <c r="Z1172" s="3">
        <v>3714700</v>
      </c>
      <c r="AA1172" s="3">
        <v>329000</v>
      </c>
      <c r="AB1172" s="3">
        <v>9</v>
      </c>
    </row>
    <row r="1173" spans="1:28" x14ac:dyDescent="0.35">
      <c r="A1173">
        <v>2022</v>
      </c>
      <c r="B1173" t="str">
        <f t="shared" si="150"/>
        <v>62</v>
      </c>
      <c r="C1173" t="s">
        <v>416</v>
      </c>
      <c r="D1173" t="s">
        <v>35</v>
      </c>
      <c r="E1173" t="str">
        <f>"286"</f>
        <v>286</v>
      </c>
      <c r="F1173" t="s">
        <v>420</v>
      </c>
      <c r="G1173" t="str">
        <f>"005"</f>
        <v>005</v>
      </c>
      <c r="H1173" t="str">
        <f>"5985"</f>
        <v>5985</v>
      </c>
      <c r="I1173" s="3">
        <v>0</v>
      </c>
      <c r="J1173" s="3">
        <v>78.37</v>
      </c>
      <c r="K1173" s="3">
        <v>0</v>
      </c>
      <c r="L1173" s="3">
        <v>0</v>
      </c>
      <c r="M1173" s="3">
        <v>0</v>
      </c>
      <c r="N1173" s="3">
        <v>0</v>
      </c>
      <c r="O1173" s="3">
        <v>0</v>
      </c>
      <c r="P1173" s="3">
        <v>0</v>
      </c>
      <c r="Q1173" s="3">
        <v>0</v>
      </c>
      <c r="R1173" s="3">
        <v>0</v>
      </c>
      <c r="S1173" s="3">
        <v>0</v>
      </c>
      <c r="T1173" s="3">
        <v>0</v>
      </c>
      <c r="U1173" s="3">
        <v>3146700</v>
      </c>
      <c r="V1173" s="3">
        <v>2006</v>
      </c>
      <c r="W1173" s="3">
        <v>279600</v>
      </c>
      <c r="X1173" s="3">
        <v>3146700</v>
      </c>
      <c r="Y1173" s="3">
        <v>2867100</v>
      </c>
      <c r="Z1173" s="3">
        <v>3146700</v>
      </c>
      <c r="AA1173" s="3">
        <v>0</v>
      </c>
      <c r="AB1173" s="3">
        <v>0</v>
      </c>
    </row>
    <row r="1174" spans="1:28" x14ac:dyDescent="0.35">
      <c r="A1174">
        <v>2022</v>
      </c>
      <c r="B1174" t="str">
        <f t="shared" si="150"/>
        <v>62</v>
      </c>
      <c r="C1174" t="s">
        <v>416</v>
      </c>
      <c r="D1174" t="s">
        <v>35</v>
      </c>
      <c r="E1174" t="str">
        <f>"286"</f>
        <v>286</v>
      </c>
      <c r="F1174" t="s">
        <v>420</v>
      </c>
      <c r="G1174" t="str">
        <f>"006"</f>
        <v>006</v>
      </c>
      <c r="H1174" t="str">
        <f>"5985"</f>
        <v>5985</v>
      </c>
      <c r="I1174" s="3">
        <v>20272800</v>
      </c>
      <c r="J1174" s="3">
        <v>78.37</v>
      </c>
      <c r="K1174" s="3">
        <v>25868100</v>
      </c>
      <c r="L1174" s="3">
        <v>0</v>
      </c>
      <c r="M1174" s="3">
        <v>25868100</v>
      </c>
      <c r="N1174" s="3">
        <v>0</v>
      </c>
      <c r="O1174" s="3">
        <v>0</v>
      </c>
      <c r="P1174" s="3">
        <v>12600</v>
      </c>
      <c r="Q1174" s="3">
        <v>12600</v>
      </c>
      <c r="R1174" s="3">
        <v>-53700</v>
      </c>
      <c r="S1174" s="3">
        <v>0</v>
      </c>
      <c r="T1174" s="3">
        <v>0</v>
      </c>
      <c r="U1174" s="3">
        <v>0</v>
      </c>
      <c r="V1174" s="3">
        <v>2015</v>
      </c>
      <c r="W1174" s="3">
        <v>13024300</v>
      </c>
      <c r="X1174" s="3">
        <v>25827000</v>
      </c>
      <c r="Y1174" s="3">
        <v>12802700</v>
      </c>
      <c r="Z1174" s="3">
        <v>21833900</v>
      </c>
      <c r="AA1174" s="3">
        <v>3993100</v>
      </c>
      <c r="AB1174" s="3">
        <v>18</v>
      </c>
    </row>
    <row r="1175" spans="1:28" x14ac:dyDescent="0.35">
      <c r="A1175">
        <v>2022</v>
      </c>
      <c r="B1175" t="str">
        <f t="shared" si="150"/>
        <v>62</v>
      </c>
      <c r="C1175" t="s">
        <v>416</v>
      </c>
      <c r="D1175" t="s">
        <v>35</v>
      </c>
      <c r="E1175" t="str">
        <f>"286"</f>
        <v>286</v>
      </c>
      <c r="F1175" t="s">
        <v>420</v>
      </c>
      <c r="G1175" t="str">
        <f>"007"</f>
        <v>007</v>
      </c>
      <c r="H1175" t="str">
        <f>"5985"</f>
        <v>5985</v>
      </c>
      <c r="I1175" s="3">
        <v>10712700</v>
      </c>
      <c r="J1175" s="3">
        <v>78.37</v>
      </c>
      <c r="K1175" s="3">
        <v>13669400</v>
      </c>
      <c r="L1175" s="3">
        <v>0</v>
      </c>
      <c r="M1175" s="3">
        <v>13669400</v>
      </c>
      <c r="N1175" s="3">
        <v>256700</v>
      </c>
      <c r="O1175" s="3">
        <v>256700</v>
      </c>
      <c r="P1175" s="3">
        <v>8000</v>
      </c>
      <c r="Q1175" s="3">
        <v>8000</v>
      </c>
      <c r="R1175" s="3">
        <v>-19200</v>
      </c>
      <c r="S1175" s="3">
        <v>0</v>
      </c>
      <c r="T1175" s="3">
        <v>0</v>
      </c>
      <c r="U1175" s="3">
        <v>0</v>
      </c>
      <c r="V1175" s="3">
        <v>2019</v>
      </c>
      <c r="W1175" s="3">
        <v>5761300</v>
      </c>
      <c r="X1175" s="3">
        <v>13914900</v>
      </c>
      <c r="Y1175" s="3">
        <v>8153600</v>
      </c>
      <c r="Z1175" s="3">
        <v>8056000</v>
      </c>
      <c r="AA1175" s="3">
        <v>5858900</v>
      </c>
      <c r="AB1175" s="3">
        <v>73</v>
      </c>
    </row>
    <row r="1176" spans="1:28" x14ac:dyDescent="0.35">
      <c r="A1176">
        <v>2022</v>
      </c>
      <c r="B1176" t="str">
        <f t="shared" si="150"/>
        <v>62</v>
      </c>
      <c r="C1176" t="s">
        <v>416</v>
      </c>
      <c r="D1176" t="s">
        <v>35</v>
      </c>
      <c r="E1176" t="str">
        <f>"291"</f>
        <v>291</v>
      </c>
      <c r="F1176" t="s">
        <v>421</v>
      </c>
      <c r="G1176" t="str">
        <f>"002"</f>
        <v>002</v>
      </c>
      <c r="H1176" t="str">
        <f>"6321"</f>
        <v>6321</v>
      </c>
      <c r="I1176" s="3">
        <v>11846700</v>
      </c>
      <c r="J1176" s="3">
        <v>74.13</v>
      </c>
      <c r="K1176" s="3">
        <v>15981000</v>
      </c>
      <c r="L1176" s="3">
        <v>0</v>
      </c>
      <c r="M1176" s="3">
        <v>15981000</v>
      </c>
      <c r="N1176" s="3">
        <v>0</v>
      </c>
      <c r="O1176" s="3">
        <v>0</v>
      </c>
      <c r="P1176" s="3">
        <v>0</v>
      </c>
      <c r="Q1176" s="3">
        <v>0</v>
      </c>
      <c r="R1176" s="3">
        <v>-27900</v>
      </c>
      <c r="S1176" s="3">
        <v>0</v>
      </c>
      <c r="T1176" s="3">
        <v>0</v>
      </c>
      <c r="U1176" s="3">
        <v>0</v>
      </c>
      <c r="V1176" s="3">
        <v>2007</v>
      </c>
      <c r="W1176" s="3">
        <v>6226700</v>
      </c>
      <c r="X1176" s="3">
        <v>15953100</v>
      </c>
      <c r="Y1176" s="3">
        <v>9726400</v>
      </c>
      <c r="Z1176" s="3">
        <v>15303300</v>
      </c>
      <c r="AA1176" s="3">
        <v>649800</v>
      </c>
      <c r="AB1176" s="3">
        <v>4</v>
      </c>
    </row>
    <row r="1177" spans="1:28" x14ac:dyDescent="0.35">
      <c r="A1177">
        <v>2022</v>
      </c>
      <c r="B1177" t="str">
        <f t="shared" si="150"/>
        <v>62</v>
      </c>
      <c r="C1177" t="s">
        <v>416</v>
      </c>
      <c r="D1177" t="s">
        <v>35</v>
      </c>
      <c r="E1177" t="str">
        <f>"291"</f>
        <v>291</v>
      </c>
      <c r="F1177" t="s">
        <v>421</v>
      </c>
      <c r="G1177" t="str">
        <f>"003"</f>
        <v>003</v>
      </c>
      <c r="H1177" t="str">
        <f>"6321"</f>
        <v>6321</v>
      </c>
      <c r="I1177" s="3">
        <v>11780900</v>
      </c>
      <c r="J1177" s="3">
        <v>74.13</v>
      </c>
      <c r="K1177" s="3">
        <v>15892200</v>
      </c>
      <c r="L1177" s="3">
        <v>0</v>
      </c>
      <c r="M1177" s="3">
        <v>15892200</v>
      </c>
      <c r="N1177" s="3">
        <v>2298000</v>
      </c>
      <c r="O1177" s="3">
        <v>2298000</v>
      </c>
      <c r="P1177" s="3">
        <v>68900</v>
      </c>
      <c r="Q1177" s="3">
        <v>68900</v>
      </c>
      <c r="R1177" s="3">
        <v>-28200</v>
      </c>
      <c r="S1177" s="3">
        <v>0</v>
      </c>
      <c r="T1177" s="3">
        <v>0</v>
      </c>
      <c r="U1177" s="3">
        <v>0</v>
      </c>
      <c r="V1177" s="3">
        <v>2008</v>
      </c>
      <c r="W1177" s="3">
        <v>6591700</v>
      </c>
      <c r="X1177" s="3">
        <v>18230900</v>
      </c>
      <c r="Y1177" s="3">
        <v>11639200</v>
      </c>
      <c r="Z1177" s="3">
        <v>17689100</v>
      </c>
      <c r="AA1177" s="3">
        <v>541800</v>
      </c>
      <c r="AB1177" s="3">
        <v>3</v>
      </c>
    </row>
    <row r="1178" spans="1:28" x14ac:dyDescent="0.35">
      <c r="A1178">
        <v>2022</v>
      </c>
      <c r="B1178" t="str">
        <f>"63"</f>
        <v>63</v>
      </c>
      <c r="C1178" t="s">
        <v>422</v>
      </c>
      <c r="D1178" t="s">
        <v>35</v>
      </c>
      <c r="E1178" t="str">
        <f>"221"</f>
        <v>221</v>
      </c>
      <c r="F1178" t="s">
        <v>423</v>
      </c>
      <c r="G1178" t="str">
        <f>"002"</f>
        <v>002</v>
      </c>
      <c r="H1178" t="str">
        <f>"1526"</f>
        <v>1526</v>
      </c>
      <c r="I1178" s="3">
        <v>11632900</v>
      </c>
      <c r="J1178" s="3">
        <v>82.87</v>
      </c>
      <c r="K1178" s="3">
        <v>14037500</v>
      </c>
      <c r="L1178" s="3">
        <v>0</v>
      </c>
      <c r="M1178" s="3">
        <v>14037500</v>
      </c>
      <c r="N1178" s="3">
        <v>505000</v>
      </c>
      <c r="O1178" s="3">
        <v>505000</v>
      </c>
      <c r="P1178" s="3">
        <v>52600</v>
      </c>
      <c r="Q1178" s="3">
        <v>52600</v>
      </c>
      <c r="R1178" s="3">
        <v>10900</v>
      </c>
      <c r="S1178" s="3">
        <v>0</v>
      </c>
      <c r="T1178" s="3">
        <v>0</v>
      </c>
      <c r="U1178" s="3">
        <v>0</v>
      </c>
      <c r="V1178" s="3">
        <v>2007</v>
      </c>
      <c r="W1178" s="3">
        <v>4062400</v>
      </c>
      <c r="X1178" s="3">
        <v>14606000</v>
      </c>
      <c r="Y1178" s="3">
        <v>10543600</v>
      </c>
      <c r="Z1178" s="3">
        <v>13021700</v>
      </c>
      <c r="AA1178" s="3">
        <v>1584300</v>
      </c>
      <c r="AB1178" s="3">
        <v>12</v>
      </c>
    </row>
    <row r="1179" spans="1:28" x14ac:dyDescent="0.35">
      <c r="A1179">
        <v>2022</v>
      </c>
      <c r="B1179" t="str">
        <f>"63"</f>
        <v>63</v>
      </c>
      <c r="C1179" t="s">
        <v>422</v>
      </c>
      <c r="D1179" t="s">
        <v>35</v>
      </c>
      <c r="E1179" t="str">
        <f>"221"</f>
        <v>221</v>
      </c>
      <c r="F1179" t="s">
        <v>423</v>
      </c>
      <c r="G1179" t="str">
        <f>"003"</f>
        <v>003</v>
      </c>
      <c r="H1179" t="str">
        <f>"1526"</f>
        <v>1526</v>
      </c>
      <c r="I1179" s="3">
        <v>20800900</v>
      </c>
      <c r="J1179" s="3">
        <v>82.87</v>
      </c>
      <c r="K1179" s="3">
        <v>25100600</v>
      </c>
      <c r="L1179" s="3">
        <v>0</v>
      </c>
      <c r="M1179" s="3">
        <v>25100600</v>
      </c>
      <c r="N1179" s="3">
        <v>0</v>
      </c>
      <c r="O1179" s="3">
        <v>0</v>
      </c>
      <c r="P1179" s="3">
        <v>0</v>
      </c>
      <c r="Q1179" s="3">
        <v>0</v>
      </c>
      <c r="R1179" s="3">
        <v>18300</v>
      </c>
      <c r="S1179" s="3">
        <v>0</v>
      </c>
      <c r="T1179" s="3">
        <v>0</v>
      </c>
      <c r="U1179" s="3">
        <v>523500</v>
      </c>
      <c r="V1179" s="3">
        <v>2007</v>
      </c>
      <c r="W1179" s="3">
        <v>8138700</v>
      </c>
      <c r="X1179" s="3">
        <v>25642400</v>
      </c>
      <c r="Y1179" s="3">
        <v>17503700</v>
      </c>
      <c r="Z1179" s="3">
        <v>21353200</v>
      </c>
      <c r="AA1179" s="3">
        <v>4289200</v>
      </c>
      <c r="AB1179" s="3">
        <v>20</v>
      </c>
    </row>
    <row r="1180" spans="1:28" x14ac:dyDescent="0.35">
      <c r="A1180">
        <v>2022</v>
      </c>
      <c r="B1180" t="str">
        <f t="shared" ref="B1180:B1195" si="151">"64"</f>
        <v>64</v>
      </c>
      <c r="C1180" t="s">
        <v>424</v>
      </c>
      <c r="D1180" t="s">
        <v>33</v>
      </c>
      <c r="E1180" t="str">
        <f>"115"</f>
        <v>115</v>
      </c>
      <c r="F1180" t="s">
        <v>425</v>
      </c>
      <c r="G1180" t="str">
        <f>"001"</f>
        <v>001</v>
      </c>
      <c r="H1180" t="str">
        <f>"2885"</f>
        <v>2885</v>
      </c>
      <c r="I1180" s="3">
        <v>842100</v>
      </c>
      <c r="J1180" s="3">
        <v>71.16</v>
      </c>
      <c r="K1180" s="3">
        <v>1183400</v>
      </c>
      <c r="L1180" s="3">
        <v>0</v>
      </c>
      <c r="M1180" s="3">
        <v>1183400</v>
      </c>
      <c r="N1180" s="3">
        <v>0</v>
      </c>
      <c r="O1180" s="3">
        <v>0</v>
      </c>
      <c r="P1180" s="3">
        <v>0</v>
      </c>
      <c r="Q1180" s="3">
        <v>0</v>
      </c>
      <c r="R1180" s="3">
        <v>-300</v>
      </c>
      <c r="S1180" s="3">
        <v>0</v>
      </c>
      <c r="T1180" s="3">
        <v>0</v>
      </c>
      <c r="U1180" s="3">
        <v>0</v>
      </c>
      <c r="V1180" s="3">
        <v>2020</v>
      </c>
      <c r="W1180" s="3">
        <v>202800</v>
      </c>
      <c r="X1180" s="3">
        <v>1183100</v>
      </c>
      <c r="Y1180" s="3">
        <v>980300</v>
      </c>
      <c r="Z1180" s="3">
        <v>295000</v>
      </c>
      <c r="AA1180" s="3">
        <v>888100</v>
      </c>
      <c r="AB1180" s="3">
        <v>301</v>
      </c>
    </row>
    <row r="1181" spans="1:28" x14ac:dyDescent="0.35">
      <c r="A1181">
        <v>2022</v>
      </c>
      <c r="B1181" t="str">
        <f t="shared" si="151"/>
        <v>64</v>
      </c>
      <c r="C1181" t="s">
        <v>424</v>
      </c>
      <c r="D1181" t="s">
        <v>33</v>
      </c>
      <c r="E1181" t="str">
        <f>"116"</f>
        <v>116</v>
      </c>
      <c r="F1181" t="s">
        <v>426</v>
      </c>
      <c r="G1181" t="str">
        <f>"003"</f>
        <v>003</v>
      </c>
      <c r="H1181" t="str">
        <f>"1380"</f>
        <v>1380</v>
      </c>
      <c r="I1181" s="3">
        <v>6822500</v>
      </c>
      <c r="J1181" s="3">
        <v>75.430000000000007</v>
      </c>
      <c r="K1181" s="3">
        <v>9044800</v>
      </c>
      <c r="L1181" s="3">
        <v>0</v>
      </c>
      <c r="M1181" s="3">
        <v>9044800</v>
      </c>
      <c r="N1181" s="3">
        <v>1568400</v>
      </c>
      <c r="O1181" s="3">
        <v>1568400</v>
      </c>
      <c r="P1181" s="3">
        <v>434000</v>
      </c>
      <c r="Q1181" s="3">
        <v>434000</v>
      </c>
      <c r="R1181" s="3">
        <v>4800</v>
      </c>
      <c r="S1181" s="3">
        <v>0</v>
      </c>
      <c r="T1181" s="3">
        <v>0</v>
      </c>
      <c r="U1181" s="3">
        <v>0</v>
      </c>
      <c r="V1181" s="3">
        <v>2015</v>
      </c>
      <c r="W1181" s="3">
        <v>2174600</v>
      </c>
      <c r="X1181" s="3">
        <v>11052000</v>
      </c>
      <c r="Y1181" s="3">
        <v>8877400</v>
      </c>
      <c r="Z1181" s="3">
        <v>9422100</v>
      </c>
      <c r="AA1181" s="3">
        <v>1629900</v>
      </c>
      <c r="AB1181" s="3">
        <v>17</v>
      </c>
    </row>
    <row r="1182" spans="1:28" x14ac:dyDescent="0.35">
      <c r="A1182">
        <v>2022</v>
      </c>
      <c r="B1182" t="str">
        <f t="shared" si="151"/>
        <v>64</v>
      </c>
      <c r="C1182" t="s">
        <v>424</v>
      </c>
      <c r="D1182" t="s">
        <v>33</v>
      </c>
      <c r="E1182" t="str">
        <f>"121"</f>
        <v>121</v>
      </c>
      <c r="F1182" t="s">
        <v>427</v>
      </c>
      <c r="G1182" t="str">
        <f>"004"</f>
        <v>004</v>
      </c>
      <c r="H1182" t="str">
        <f>"1540"</f>
        <v>1540</v>
      </c>
      <c r="I1182" s="3">
        <v>4158600</v>
      </c>
      <c r="J1182" s="3">
        <v>89.05</v>
      </c>
      <c r="K1182" s="3">
        <v>4670000</v>
      </c>
      <c r="L1182" s="3">
        <v>0</v>
      </c>
      <c r="M1182" s="3">
        <v>4670000</v>
      </c>
      <c r="N1182" s="3">
        <v>1083300</v>
      </c>
      <c r="O1182" s="3">
        <v>1083300</v>
      </c>
      <c r="P1182" s="3">
        <v>31100</v>
      </c>
      <c r="Q1182" s="3">
        <v>31100</v>
      </c>
      <c r="R1182" s="3">
        <v>733900</v>
      </c>
      <c r="S1182" s="3">
        <v>0</v>
      </c>
      <c r="T1182" s="3">
        <v>0</v>
      </c>
      <c r="U1182" s="3">
        <v>0</v>
      </c>
      <c r="V1182" s="3">
        <v>2018</v>
      </c>
      <c r="W1182" s="3">
        <v>1792100</v>
      </c>
      <c r="X1182" s="3">
        <v>6518300</v>
      </c>
      <c r="Y1182" s="3">
        <v>4726200</v>
      </c>
      <c r="Z1182" s="3">
        <v>2610300</v>
      </c>
      <c r="AA1182" s="3">
        <v>3908000</v>
      </c>
      <c r="AB1182" s="3">
        <v>150</v>
      </c>
    </row>
    <row r="1183" spans="1:28" x14ac:dyDescent="0.35">
      <c r="A1183">
        <v>2022</v>
      </c>
      <c r="B1183" t="str">
        <f t="shared" si="151"/>
        <v>64</v>
      </c>
      <c r="C1183" t="s">
        <v>424</v>
      </c>
      <c r="D1183" t="s">
        <v>33</v>
      </c>
      <c r="E1183" t="str">
        <f>"126"</f>
        <v>126</v>
      </c>
      <c r="F1183" t="s">
        <v>428</v>
      </c>
      <c r="G1183" t="str">
        <f>"001"</f>
        <v>001</v>
      </c>
      <c r="H1183" t="str">
        <f>"1870"</f>
        <v>1870</v>
      </c>
      <c r="I1183" s="3">
        <v>142842700</v>
      </c>
      <c r="J1183" s="3">
        <v>78.66</v>
      </c>
      <c r="K1183" s="3">
        <v>181595100</v>
      </c>
      <c r="L1183" s="3">
        <v>0</v>
      </c>
      <c r="M1183" s="3">
        <v>181595100</v>
      </c>
      <c r="N1183" s="3">
        <v>0</v>
      </c>
      <c r="O1183" s="3">
        <v>0</v>
      </c>
      <c r="P1183" s="3">
        <v>0</v>
      </c>
      <c r="Q1183" s="3">
        <v>0</v>
      </c>
      <c r="R1183" s="3">
        <v>3770800</v>
      </c>
      <c r="S1183" s="3">
        <v>0</v>
      </c>
      <c r="T1183" s="3">
        <v>0</v>
      </c>
      <c r="U1183" s="3">
        <v>0</v>
      </c>
      <c r="V1183" s="3">
        <v>2001</v>
      </c>
      <c r="W1183" s="3">
        <v>30220400</v>
      </c>
      <c r="X1183" s="3">
        <v>185365900</v>
      </c>
      <c r="Y1183" s="3">
        <v>155145500</v>
      </c>
      <c r="Z1183" s="3">
        <v>143477200</v>
      </c>
      <c r="AA1183" s="3">
        <v>41888700</v>
      </c>
      <c r="AB1183" s="3">
        <v>29</v>
      </c>
    </row>
    <row r="1184" spans="1:28" x14ac:dyDescent="0.35">
      <c r="A1184">
        <v>2022</v>
      </c>
      <c r="B1184" t="str">
        <f t="shared" si="151"/>
        <v>64</v>
      </c>
      <c r="C1184" t="s">
        <v>424</v>
      </c>
      <c r="D1184" t="s">
        <v>33</v>
      </c>
      <c r="E1184" t="str">
        <f>"153"</f>
        <v>153</v>
      </c>
      <c r="F1184" t="s">
        <v>429</v>
      </c>
      <c r="G1184" t="str">
        <f>"005"</f>
        <v>005</v>
      </c>
      <c r="H1184" t="str">
        <f>"3822"</f>
        <v>3822</v>
      </c>
      <c r="I1184" s="3">
        <v>18251400</v>
      </c>
      <c r="J1184" s="3">
        <v>79.27</v>
      </c>
      <c r="K1184" s="3">
        <v>23024300</v>
      </c>
      <c r="L1184" s="3">
        <v>0</v>
      </c>
      <c r="M1184" s="3">
        <v>23024300</v>
      </c>
      <c r="N1184" s="3">
        <v>27419600</v>
      </c>
      <c r="O1184" s="3">
        <v>27419600</v>
      </c>
      <c r="P1184" s="3">
        <v>4517900</v>
      </c>
      <c r="Q1184" s="3">
        <v>4517900</v>
      </c>
      <c r="R1184" s="3">
        <v>-550600</v>
      </c>
      <c r="S1184" s="3">
        <v>0</v>
      </c>
      <c r="T1184" s="3">
        <v>0</v>
      </c>
      <c r="U1184" s="3">
        <v>0</v>
      </c>
      <c r="V1184" s="3">
        <v>2018</v>
      </c>
      <c r="W1184" s="3">
        <v>315200</v>
      </c>
      <c r="X1184" s="3">
        <v>54411200</v>
      </c>
      <c r="Y1184" s="3">
        <v>54096000</v>
      </c>
      <c r="Z1184" s="3">
        <v>38358800</v>
      </c>
      <c r="AA1184" s="3">
        <v>16052400</v>
      </c>
      <c r="AB1184" s="3">
        <v>42</v>
      </c>
    </row>
    <row r="1185" spans="1:28" x14ac:dyDescent="0.35">
      <c r="A1185">
        <v>2022</v>
      </c>
      <c r="B1185" t="str">
        <f t="shared" si="151"/>
        <v>64</v>
      </c>
      <c r="C1185" t="s">
        <v>424</v>
      </c>
      <c r="D1185" t="s">
        <v>33</v>
      </c>
      <c r="E1185" t="str">
        <f>"181"</f>
        <v>181</v>
      </c>
      <c r="F1185" t="s">
        <v>430</v>
      </c>
      <c r="G1185" t="str">
        <f>"004"</f>
        <v>004</v>
      </c>
      <c r="H1185" t="str">
        <f>"5258"</f>
        <v>5258</v>
      </c>
      <c r="I1185" s="3">
        <v>100</v>
      </c>
      <c r="J1185" s="3">
        <v>86.02</v>
      </c>
      <c r="K1185" s="3">
        <v>100</v>
      </c>
      <c r="L1185" s="3">
        <v>0</v>
      </c>
      <c r="M1185" s="3">
        <v>100</v>
      </c>
      <c r="N1185" s="3">
        <v>0</v>
      </c>
      <c r="O1185" s="3">
        <v>0</v>
      </c>
      <c r="P1185" s="3">
        <v>0</v>
      </c>
      <c r="Q1185" s="3">
        <v>0</v>
      </c>
      <c r="R1185" s="3">
        <v>100</v>
      </c>
      <c r="S1185" s="3">
        <v>0</v>
      </c>
      <c r="T1185" s="3">
        <v>0</v>
      </c>
      <c r="U1185" s="3">
        <v>1317500</v>
      </c>
      <c r="V1185" s="3">
        <v>2007</v>
      </c>
      <c r="W1185" s="3">
        <v>1067100</v>
      </c>
      <c r="X1185" s="3">
        <v>1317700</v>
      </c>
      <c r="Y1185" s="3">
        <v>250600</v>
      </c>
      <c r="Z1185" s="3">
        <v>1108100</v>
      </c>
      <c r="AA1185" s="3">
        <v>209600</v>
      </c>
      <c r="AB1185" s="3">
        <v>19</v>
      </c>
    </row>
    <row r="1186" spans="1:28" x14ac:dyDescent="0.35">
      <c r="A1186">
        <v>2022</v>
      </c>
      <c r="B1186" t="str">
        <f t="shared" si="151"/>
        <v>64</v>
      </c>
      <c r="C1186" t="s">
        <v>424</v>
      </c>
      <c r="D1186" t="s">
        <v>33</v>
      </c>
      <c r="E1186" t="str">
        <f>"181"</f>
        <v>181</v>
      </c>
      <c r="F1186" t="s">
        <v>430</v>
      </c>
      <c r="G1186" t="str">
        <f>"005"</f>
        <v>005</v>
      </c>
      <c r="H1186" t="str">
        <f>"5258"</f>
        <v>5258</v>
      </c>
      <c r="I1186" s="3">
        <v>1251800</v>
      </c>
      <c r="J1186" s="3">
        <v>86.02</v>
      </c>
      <c r="K1186" s="3">
        <v>1455200</v>
      </c>
      <c r="L1186" s="3">
        <v>0</v>
      </c>
      <c r="M1186" s="3">
        <v>1455200</v>
      </c>
      <c r="N1186" s="3">
        <v>0</v>
      </c>
      <c r="O1186" s="3">
        <v>0</v>
      </c>
      <c r="P1186" s="3">
        <v>0</v>
      </c>
      <c r="Q1186" s="3">
        <v>0</v>
      </c>
      <c r="R1186" s="3">
        <v>0</v>
      </c>
      <c r="S1186" s="3">
        <v>0</v>
      </c>
      <c r="T1186" s="3">
        <v>0</v>
      </c>
      <c r="U1186" s="3">
        <v>0</v>
      </c>
      <c r="V1186" s="3">
        <v>2021</v>
      </c>
      <c r="W1186" s="3">
        <v>1317500</v>
      </c>
      <c r="X1186" s="3">
        <v>1455200</v>
      </c>
      <c r="Y1186" s="3">
        <v>137700</v>
      </c>
      <c r="Z1186" s="3">
        <v>1317500</v>
      </c>
      <c r="AA1186" s="3">
        <v>137700</v>
      </c>
      <c r="AB1186" s="3">
        <v>10</v>
      </c>
    </row>
    <row r="1187" spans="1:28" x14ac:dyDescent="0.35">
      <c r="A1187">
        <v>2022</v>
      </c>
      <c r="B1187" t="str">
        <f t="shared" si="151"/>
        <v>64</v>
      </c>
      <c r="C1187" t="s">
        <v>424</v>
      </c>
      <c r="D1187" t="s">
        <v>33</v>
      </c>
      <c r="E1187" t="str">
        <f>"191"</f>
        <v>191</v>
      </c>
      <c r="F1187" t="s">
        <v>424</v>
      </c>
      <c r="G1187" t="str">
        <f>"001"</f>
        <v>001</v>
      </c>
      <c r="H1187" t="str">
        <f>"6022"</f>
        <v>6022</v>
      </c>
      <c r="I1187" s="3">
        <v>4082100</v>
      </c>
      <c r="J1187" s="3">
        <v>72.819999999999993</v>
      </c>
      <c r="K1187" s="3">
        <v>5605700</v>
      </c>
      <c r="L1187" s="3">
        <v>0</v>
      </c>
      <c r="M1187" s="3">
        <v>5605700</v>
      </c>
      <c r="N1187" s="3">
        <v>3587700</v>
      </c>
      <c r="O1187" s="3">
        <v>3587700</v>
      </c>
      <c r="P1187" s="3">
        <v>350700</v>
      </c>
      <c r="Q1187" s="3">
        <v>350700</v>
      </c>
      <c r="R1187" s="3">
        <v>28600</v>
      </c>
      <c r="S1187" s="3">
        <v>0</v>
      </c>
      <c r="T1187" s="3">
        <v>0</v>
      </c>
      <c r="U1187" s="3">
        <v>0</v>
      </c>
      <c r="V1187" s="3">
        <v>2011</v>
      </c>
      <c r="W1187" s="3">
        <v>6963900</v>
      </c>
      <c r="X1187" s="3">
        <v>9572700</v>
      </c>
      <c r="Y1187" s="3">
        <v>2608800</v>
      </c>
      <c r="Z1187" s="3">
        <v>8571800</v>
      </c>
      <c r="AA1187" s="3">
        <v>1000900</v>
      </c>
      <c r="AB1187" s="3">
        <v>12</v>
      </c>
    </row>
    <row r="1188" spans="1:28" x14ac:dyDescent="0.35">
      <c r="A1188">
        <v>2022</v>
      </c>
      <c r="B1188" t="str">
        <f t="shared" si="151"/>
        <v>64</v>
      </c>
      <c r="C1188" t="s">
        <v>424</v>
      </c>
      <c r="D1188" t="s">
        <v>35</v>
      </c>
      <c r="E1188" t="str">
        <f>"216"</f>
        <v>216</v>
      </c>
      <c r="F1188" t="s">
        <v>431</v>
      </c>
      <c r="G1188" t="str">
        <f>"004"</f>
        <v>004</v>
      </c>
      <c r="H1188" t="str">
        <f>"1380"</f>
        <v>1380</v>
      </c>
      <c r="I1188" s="3">
        <v>54112200</v>
      </c>
      <c r="J1188" s="3">
        <v>76.83</v>
      </c>
      <c r="K1188" s="3">
        <v>70431100</v>
      </c>
      <c r="L1188" s="3">
        <v>0</v>
      </c>
      <c r="M1188" s="3">
        <v>70431100</v>
      </c>
      <c r="N1188" s="3">
        <v>12583600</v>
      </c>
      <c r="O1188" s="3">
        <v>12583600</v>
      </c>
      <c r="P1188" s="3">
        <v>865500</v>
      </c>
      <c r="Q1188" s="3">
        <v>865500</v>
      </c>
      <c r="R1188" s="3">
        <v>154000</v>
      </c>
      <c r="S1188" s="3">
        <v>0</v>
      </c>
      <c r="T1188" s="3">
        <v>0</v>
      </c>
      <c r="U1188" s="3">
        <v>0</v>
      </c>
      <c r="V1188" s="3">
        <v>2003</v>
      </c>
      <c r="W1188" s="3">
        <v>22997800</v>
      </c>
      <c r="X1188" s="3">
        <v>84034200</v>
      </c>
      <c r="Y1188" s="3">
        <v>61036400</v>
      </c>
      <c r="Z1188" s="3">
        <v>73467500</v>
      </c>
      <c r="AA1188" s="3">
        <v>10566700</v>
      </c>
      <c r="AB1188" s="3">
        <v>14</v>
      </c>
    </row>
    <row r="1189" spans="1:28" x14ac:dyDescent="0.35">
      <c r="A1189">
        <v>2022</v>
      </c>
      <c r="B1189" t="str">
        <f t="shared" si="151"/>
        <v>64</v>
      </c>
      <c r="C1189" t="s">
        <v>424</v>
      </c>
      <c r="D1189" t="s">
        <v>35</v>
      </c>
      <c r="E1189" t="str">
        <f>"216"</f>
        <v>216</v>
      </c>
      <c r="F1189" t="s">
        <v>431</v>
      </c>
      <c r="G1189" t="str">
        <f>"005"</f>
        <v>005</v>
      </c>
      <c r="H1189" t="str">
        <f>"1380"</f>
        <v>1380</v>
      </c>
      <c r="I1189" s="3">
        <v>27421200</v>
      </c>
      <c r="J1189" s="3">
        <v>76.83</v>
      </c>
      <c r="K1189" s="3">
        <v>35690700</v>
      </c>
      <c r="L1189" s="3">
        <v>0</v>
      </c>
      <c r="M1189" s="3">
        <v>35690700</v>
      </c>
      <c r="N1189" s="3">
        <v>0</v>
      </c>
      <c r="O1189" s="3">
        <v>0</v>
      </c>
      <c r="P1189" s="3">
        <v>0</v>
      </c>
      <c r="Q1189" s="3">
        <v>0</v>
      </c>
      <c r="R1189" s="3">
        <v>79200</v>
      </c>
      <c r="S1189" s="3">
        <v>0</v>
      </c>
      <c r="T1189" s="3">
        <v>0</v>
      </c>
      <c r="U1189" s="3">
        <v>0</v>
      </c>
      <c r="V1189" s="3">
        <v>2012</v>
      </c>
      <c r="W1189" s="3">
        <v>21830800</v>
      </c>
      <c r="X1189" s="3">
        <v>35769900</v>
      </c>
      <c r="Y1189" s="3">
        <v>13939100</v>
      </c>
      <c r="Z1189" s="3">
        <v>31180400</v>
      </c>
      <c r="AA1189" s="3">
        <v>4589500</v>
      </c>
      <c r="AB1189" s="3">
        <v>15</v>
      </c>
    </row>
    <row r="1190" spans="1:28" x14ac:dyDescent="0.35">
      <c r="A1190">
        <v>2022</v>
      </c>
      <c r="B1190" t="str">
        <f t="shared" si="151"/>
        <v>64</v>
      </c>
      <c r="C1190" t="s">
        <v>424</v>
      </c>
      <c r="D1190" t="s">
        <v>35</v>
      </c>
      <c r="E1190" t="str">
        <f>"221"</f>
        <v>221</v>
      </c>
      <c r="F1190" t="s">
        <v>432</v>
      </c>
      <c r="G1190" t="str">
        <f>"004"</f>
        <v>004</v>
      </c>
      <c r="H1190" t="str">
        <f>"1638"</f>
        <v>1638</v>
      </c>
      <c r="I1190" s="3">
        <v>16116100</v>
      </c>
      <c r="J1190" s="3">
        <v>100</v>
      </c>
      <c r="K1190" s="3">
        <v>16116100</v>
      </c>
      <c r="L1190" s="3">
        <v>0</v>
      </c>
      <c r="M1190" s="3">
        <v>16116100</v>
      </c>
      <c r="N1190" s="3">
        <v>0</v>
      </c>
      <c r="O1190" s="3">
        <v>0</v>
      </c>
      <c r="P1190" s="3">
        <v>0</v>
      </c>
      <c r="Q1190" s="3">
        <v>0</v>
      </c>
      <c r="R1190" s="3">
        <v>603300</v>
      </c>
      <c r="S1190" s="3">
        <v>0</v>
      </c>
      <c r="T1190" s="3">
        <v>0</v>
      </c>
      <c r="U1190" s="3">
        <v>0</v>
      </c>
      <c r="V1190" s="3">
        <v>2017</v>
      </c>
      <c r="W1190" s="3">
        <v>3533700</v>
      </c>
      <c r="X1190" s="3">
        <v>16719400</v>
      </c>
      <c r="Y1190" s="3">
        <v>13185700</v>
      </c>
      <c r="Z1190" s="3">
        <v>15935900</v>
      </c>
      <c r="AA1190" s="3">
        <v>783500</v>
      </c>
      <c r="AB1190" s="3">
        <v>5</v>
      </c>
    </row>
    <row r="1191" spans="1:28" x14ac:dyDescent="0.35">
      <c r="A1191">
        <v>2022</v>
      </c>
      <c r="B1191" t="str">
        <f t="shared" si="151"/>
        <v>64</v>
      </c>
      <c r="C1191" t="s">
        <v>424</v>
      </c>
      <c r="D1191" t="s">
        <v>35</v>
      </c>
      <c r="E1191" t="str">
        <f>"291"</f>
        <v>291</v>
      </c>
      <c r="F1191" t="s">
        <v>210</v>
      </c>
      <c r="G1191" t="str">
        <f>"010"</f>
        <v>010</v>
      </c>
      <c r="H1191" t="str">
        <f>"6461"</f>
        <v>6461</v>
      </c>
      <c r="I1191" s="3">
        <v>23053400</v>
      </c>
      <c r="J1191" s="3">
        <v>100</v>
      </c>
      <c r="K1191" s="3">
        <v>23053400</v>
      </c>
      <c r="L1191" s="3">
        <v>25881000</v>
      </c>
      <c r="M1191" s="3">
        <v>25881000</v>
      </c>
      <c r="N1191" s="3">
        <v>18368200</v>
      </c>
      <c r="O1191" s="3">
        <v>18368200</v>
      </c>
      <c r="P1191" s="3">
        <v>2053800</v>
      </c>
      <c r="Q1191" s="3">
        <v>2053800</v>
      </c>
      <c r="R1191" s="3">
        <v>0</v>
      </c>
      <c r="S1191" s="3">
        <v>0</v>
      </c>
      <c r="T1191" s="3">
        <v>0</v>
      </c>
      <c r="U1191" s="3">
        <v>0</v>
      </c>
      <c r="V1191" s="3">
        <v>2021</v>
      </c>
      <c r="W1191" s="3">
        <v>46380200</v>
      </c>
      <c r="X1191" s="3">
        <v>46303000</v>
      </c>
      <c r="Y1191" s="3">
        <v>-77200</v>
      </c>
      <c r="Z1191" s="3">
        <v>46380200</v>
      </c>
      <c r="AA1191" s="3">
        <v>-77200</v>
      </c>
      <c r="AB1191" s="3">
        <v>0</v>
      </c>
    </row>
    <row r="1192" spans="1:28" x14ac:dyDescent="0.35">
      <c r="A1192">
        <v>2022</v>
      </c>
      <c r="B1192" t="str">
        <f t="shared" si="151"/>
        <v>64</v>
      </c>
      <c r="C1192" t="s">
        <v>424</v>
      </c>
      <c r="D1192" t="s">
        <v>35</v>
      </c>
      <c r="E1192" t="str">
        <f>"291"</f>
        <v>291</v>
      </c>
      <c r="F1192" t="s">
        <v>210</v>
      </c>
      <c r="G1192" t="str">
        <f>"011"</f>
        <v>011</v>
      </c>
      <c r="H1192" t="str">
        <f>"6461"</f>
        <v>6461</v>
      </c>
      <c r="I1192" s="3">
        <v>6010400</v>
      </c>
      <c r="J1192" s="3">
        <v>100</v>
      </c>
      <c r="K1192" s="3">
        <v>6010400</v>
      </c>
      <c r="L1192" s="3">
        <v>0</v>
      </c>
      <c r="M1192" s="3">
        <v>6010400</v>
      </c>
      <c r="N1192" s="3">
        <v>0</v>
      </c>
      <c r="O1192" s="3">
        <v>0</v>
      </c>
      <c r="P1192" s="3">
        <v>0</v>
      </c>
      <c r="Q1192" s="3">
        <v>0</v>
      </c>
      <c r="R1192" s="3">
        <v>0</v>
      </c>
      <c r="S1192" s="3">
        <v>0</v>
      </c>
      <c r="T1192" s="3">
        <v>0</v>
      </c>
      <c r="U1192" s="3">
        <v>0</v>
      </c>
      <c r="V1192" s="3">
        <v>2021</v>
      </c>
      <c r="W1192" s="3">
        <v>4603000</v>
      </c>
      <c r="X1192" s="3">
        <v>6010400</v>
      </c>
      <c r="Y1192" s="3">
        <v>1407400</v>
      </c>
      <c r="Z1192" s="3">
        <v>4603000</v>
      </c>
      <c r="AA1192" s="3">
        <v>1407400</v>
      </c>
      <c r="AB1192" s="3">
        <v>31</v>
      </c>
    </row>
    <row r="1193" spans="1:28" x14ac:dyDescent="0.35">
      <c r="A1193">
        <v>2022</v>
      </c>
      <c r="B1193" t="str">
        <f t="shared" si="151"/>
        <v>64</v>
      </c>
      <c r="C1193" t="s">
        <v>424</v>
      </c>
      <c r="D1193" t="s">
        <v>35</v>
      </c>
      <c r="E1193" t="str">
        <f>"291"</f>
        <v>291</v>
      </c>
      <c r="F1193" t="s">
        <v>210</v>
      </c>
      <c r="G1193" t="str">
        <f>"012"</f>
        <v>012</v>
      </c>
      <c r="H1193" t="str">
        <f>"6461"</f>
        <v>6461</v>
      </c>
      <c r="I1193" s="3">
        <v>20492500</v>
      </c>
      <c r="J1193" s="3">
        <v>100</v>
      </c>
      <c r="K1193" s="3">
        <v>20492500</v>
      </c>
      <c r="L1193" s="3">
        <v>0</v>
      </c>
      <c r="M1193" s="3">
        <v>20492500</v>
      </c>
      <c r="N1193" s="3">
        <v>0</v>
      </c>
      <c r="O1193" s="3">
        <v>0</v>
      </c>
      <c r="P1193" s="3">
        <v>0</v>
      </c>
      <c r="Q1193" s="3">
        <v>0</v>
      </c>
      <c r="R1193" s="3">
        <v>0</v>
      </c>
      <c r="S1193" s="3">
        <v>0</v>
      </c>
      <c r="T1193" s="3">
        <v>0</v>
      </c>
      <c r="U1193" s="3">
        <v>0</v>
      </c>
      <c r="V1193" s="3">
        <v>2021</v>
      </c>
      <c r="W1193" s="3">
        <v>19817700</v>
      </c>
      <c r="X1193" s="3">
        <v>20492500</v>
      </c>
      <c r="Y1193" s="3">
        <v>674800</v>
      </c>
      <c r="Z1193" s="3">
        <v>19817700</v>
      </c>
      <c r="AA1193" s="3">
        <v>674800</v>
      </c>
      <c r="AB1193" s="3">
        <v>3</v>
      </c>
    </row>
    <row r="1194" spans="1:28" x14ac:dyDescent="0.35">
      <c r="A1194">
        <v>2022</v>
      </c>
      <c r="B1194" t="str">
        <f t="shared" si="151"/>
        <v>64</v>
      </c>
      <c r="C1194" t="s">
        <v>424</v>
      </c>
      <c r="D1194" t="s">
        <v>35</v>
      </c>
      <c r="E1194" t="str">
        <f>"291"</f>
        <v>291</v>
      </c>
      <c r="F1194" t="s">
        <v>210</v>
      </c>
      <c r="G1194" t="str">
        <f>"013"</f>
        <v>013</v>
      </c>
      <c r="H1194" t="str">
        <f>"6461"</f>
        <v>6461</v>
      </c>
      <c r="I1194" s="3">
        <v>7883100</v>
      </c>
      <c r="J1194" s="3">
        <v>100</v>
      </c>
      <c r="K1194" s="3">
        <v>7883100</v>
      </c>
      <c r="L1194" s="3">
        <v>0</v>
      </c>
      <c r="M1194" s="3">
        <v>7883100</v>
      </c>
      <c r="N1194" s="3">
        <v>0</v>
      </c>
      <c r="O1194" s="3">
        <v>0</v>
      </c>
      <c r="P1194" s="3">
        <v>0</v>
      </c>
      <c r="Q1194" s="3">
        <v>0</v>
      </c>
      <c r="R1194" s="3">
        <v>0</v>
      </c>
      <c r="S1194" s="3">
        <v>0</v>
      </c>
      <c r="T1194" s="3">
        <v>0</v>
      </c>
      <c r="U1194" s="3">
        <v>0</v>
      </c>
      <c r="V1194" s="3">
        <v>2021</v>
      </c>
      <c r="W1194" s="3">
        <v>7583900</v>
      </c>
      <c r="X1194" s="3">
        <v>7883100</v>
      </c>
      <c r="Y1194" s="3">
        <v>299200</v>
      </c>
      <c r="Z1194" s="3">
        <v>7583900</v>
      </c>
      <c r="AA1194" s="3">
        <v>299200</v>
      </c>
      <c r="AB1194" s="3">
        <v>4</v>
      </c>
    </row>
    <row r="1195" spans="1:28" x14ac:dyDescent="0.35">
      <c r="A1195">
        <v>2022</v>
      </c>
      <c r="B1195" t="str">
        <f t="shared" si="151"/>
        <v>64</v>
      </c>
      <c r="C1195" t="s">
        <v>424</v>
      </c>
      <c r="D1195" t="s">
        <v>35</v>
      </c>
      <c r="E1195" t="str">
        <f>"291"</f>
        <v>291</v>
      </c>
      <c r="F1195" t="s">
        <v>210</v>
      </c>
      <c r="G1195" t="str">
        <f>"014"</f>
        <v>014</v>
      </c>
      <c r="H1195" t="str">
        <f>"6461"</f>
        <v>6461</v>
      </c>
      <c r="I1195" s="3">
        <v>15781300</v>
      </c>
      <c r="J1195" s="3">
        <v>100</v>
      </c>
      <c r="K1195" s="3">
        <v>15781300</v>
      </c>
      <c r="L1195" s="3">
        <v>0</v>
      </c>
      <c r="M1195" s="3">
        <v>15781300</v>
      </c>
      <c r="N1195" s="3">
        <v>0</v>
      </c>
      <c r="O1195" s="3">
        <v>0</v>
      </c>
      <c r="P1195" s="3">
        <v>0</v>
      </c>
      <c r="Q1195" s="3">
        <v>0</v>
      </c>
      <c r="R1195" s="3">
        <v>0</v>
      </c>
      <c r="S1195" s="3">
        <v>0</v>
      </c>
      <c r="T1195" s="3">
        <v>0</v>
      </c>
      <c r="U1195" s="3">
        <v>0</v>
      </c>
      <c r="V1195" s="3">
        <v>2021</v>
      </c>
      <c r="W1195" s="3">
        <v>16956300</v>
      </c>
      <c r="X1195" s="3">
        <v>15781300</v>
      </c>
      <c r="Y1195" s="3">
        <v>-1175000</v>
      </c>
      <c r="Z1195" s="3">
        <v>16956300</v>
      </c>
      <c r="AA1195" s="3">
        <v>-1175000</v>
      </c>
      <c r="AB1195" s="3">
        <v>-7</v>
      </c>
    </row>
    <row r="1196" spans="1:28" x14ac:dyDescent="0.35">
      <c r="A1196">
        <v>2022</v>
      </c>
      <c r="B1196" t="str">
        <f t="shared" ref="B1196:B1201" si="152">"65"</f>
        <v>65</v>
      </c>
      <c r="C1196" t="s">
        <v>48</v>
      </c>
      <c r="D1196" t="s">
        <v>33</v>
      </c>
      <c r="E1196" t="str">
        <f>"106"</f>
        <v>106</v>
      </c>
      <c r="F1196" t="s">
        <v>433</v>
      </c>
      <c r="G1196" t="str">
        <f>"001"</f>
        <v>001</v>
      </c>
      <c r="H1196" t="str">
        <f>"0441"</f>
        <v>0441</v>
      </c>
      <c r="I1196" s="3">
        <v>3317900</v>
      </c>
      <c r="J1196" s="3">
        <v>72.59</v>
      </c>
      <c r="K1196" s="3">
        <v>4570700</v>
      </c>
      <c r="L1196" s="3">
        <v>0</v>
      </c>
      <c r="M1196" s="3">
        <v>4570700</v>
      </c>
      <c r="N1196" s="3">
        <v>0</v>
      </c>
      <c r="O1196" s="3">
        <v>0</v>
      </c>
      <c r="P1196" s="3">
        <v>0</v>
      </c>
      <c r="Q1196" s="3">
        <v>0</v>
      </c>
      <c r="R1196" s="3">
        <v>-13200</v>
      </c>
      <c r="S1196" s="3">
        <v>0</v>
      </c>
      <c r="T1196" s="3">
        <v>0</v>
      </c>
      <c r="U1196" s="3">
        <v>0</v>
      </c>
      <c r="V1196" s="3">
        <v>2004</v>
      </c>
      <c r="W1196" s="3">
        <v>1905000</v>
      </c>
      <c r="X1196" s="3">
        <v>4557500</v>
      </c>
      <c r="Y1196" s="3">
        <v>2652500</v>
      </c>
      <c r="Z1196" s="3">
        <v>4907300</v>
      </c>
      <c r="AA1196" s="3">
        <v>-349800</v>
      </c>
      <c r="AB1196" s="3">
        <v>-7</v>
      </c>
    </row>
    <row r="1197" spans="1:28" x14ac:dyDescent="0.35">
      <c r="A1197">
        <v>2022</v>
      </c>
      <c r="B1197" t="str">
        <f t="shared" si="152"/>
        <v>65</v>
      </c>
      <c r="C1197" t="s">
        <v>48</v>
      </c>
      <c r="D1197" t="s">
        <v>33</v>
      </c>
      <c r="E1197" t="str">
        <f>"106"</f>
        <v>106</v>
      </c>
      <c r="F1197" t="s">
        <v>433</v>
      </c>
      <c r="G1197" t="str">
        <f>"002"</f>
        <v>002</v>
      </c>
      <c r="H1197" t="str">
        <f>"0441"</f>
        <v>0441</v>
      </c>
      <c r="I1197" s="3">
        <v>2614800</v>
      </c>
      <c r="J1197" s="3">
        <v>72.59</v>
      </c>
      <c r="K1197" s="3">
        <v>3602100</v>
      </c>
      <c r="L1197" s="3">
        <v>0</v>
      </c>
      <c r="M1197" s="3">
        <v>3602100</v>
      </c>
      <c r="N1197" s="3">
        <v>0</v>
      </c>
      <c r="O1197" s="3">
        <v>0</v>
      </c>
      <c r="P1197" s="3">
        <v>0</v>
      </c>
      <c r="Q1197" s="3">
        <v>0</v>
      </c>
      <c r="R1197" s="3">
        <v>-11000</v>
      </c>
      <c r="S1197" s="3">
        <v>0</v>
      </c>
      <c r="T1197" s="3">
        <v>0</v>
      </c>
      <c r="U1197" s="3">
        <v>0</v>
      </c>
      <c r="V1197" s="3">
        <v>2005</v>
      </c>
      <c r="W1197" s="3">
        <v>2174300</v>
      </c>
      <c r="X1197" s="3">
        <v>3591100</v>
      </c>
      <c r="Y1197" s="3">
        <v>1416800</v>
      </c>
      <c r="Z1197" s="3">
        <v>4063300</v>
      </c>
      <c r="AA1197" s="3">
        <v>-472200</v>
      </c>
      <c r="AB1197" s="3">
        <v>-12</v>
      </c>
    </row>
    <row r="1198" spans="1:28" x14ac:dyDescent="0.35">
      <c r="A1198">
        <v>2022</v>
      </c>
      <c r="B1198" t="str">
        <f t="shared" si="152"/>
        <v>65</v>
      </c>
      <c r="C1198" t="s">
        <v>48</v>
      </c>
      <c r="D1198" t="s">
        <v>33</v>
      </c>
      <c r="E1198" t="str">
        <f>"151"</f>
        <v>151</v>
      </c>
      <c r="F1198" t="s">
        <v>434</v>
      </c>
      <c r="G1198" t="str">
        <f>"003"</f>
        <v>003</v>
      </c>
      <c r="H1198" t="str">
        <f>"3654"</f>
        <v>3654</v>
      </c>
      <c r="I1198" s="3">
        <v>893900</v>
      </c>
      <c r="J1198" s="3">
        <v>91.51</v>
      </c>
      <c r="K1198" s="3">
        <v>976800</v>
      </c>
      <c r="L1198" s="3">
        <v>0</v>
      </c>
      <c r="M1198" s="3">
        <v>976800</v>
      </c>
      <c r="N1198" s="3">
        <v>0</v>
      </c>
      <c r="O1198" s="3">
        <v>0</v>
      </c>
      <c r="P1198" s="3">
        <v>0</v>
      </c>
      <c r="Q1198" s="3">
        <v>0</v>
      </c>
      <c r="R1198" s="3">
        <v>-208400</v>
      </c>
      <c r="S1198" s="3">
        <v>0</v>
      </c>
      <c r="T1198" s="3">
        <v>0</v>
      </c>
      <c r="U1198" s="3">
        <v>0</v>
      </c>
      <c r="V1198" s="3">
        <v>2010</v>
      </c>
      <c r="W1198" s="3">
        <v>84900</v>
      </c>
      <c r="X1198" s="3">
        <v>768400</v>
      </c>
      <c r="Y1198" s="3">
        <v>683500</v>
      </c>
      <c r="Z1198" s="3">
        <v>1129400</v>
      </c>
      <c r="AA1198" s="3">
        <v>-361000</v>
      </c>
      <c r="AB1198" s="3">
        <v>-32</v>
      </c>
    </row>
    <row r="1199" spans="1:28" x14ac:dyDescent="0.35">
      <c r="A1199">
        <v>2022</v>
      </c>
      <c r="B1199" t="str">
        <f t="shared" si="152"/>
        <v>65</v>
      </c>
      <c r="C1199" t="s">
        <v>48</v>
      </c>
      <c r="D1199" t="s">
        <v>33</v>
      </c>
      <c r="E1199" t="str">
        <f>"151"</f>
        <v>151</v>
      </c>
      <c r="F1199" t="s">
        <v>434</v>
      </c>
      <c r="G1199" t="str">
        <f>"004"</f>
        <v>004</v>
      </c>
      <c r="H1199" t="str">
        <f>"3654"</f>
        <v>3654</v>
      </c>
      <c r="I1199" s="3">
        <v>1862700</v>
      </c>
      <c r="J1199" s="3">
        <v>91.51</v>
      </c>
      <c r="K1199" s="3">
        <v>2035500</v>
      </c>
      <c r="L1199" s="3">
        <v>0</v>
      </c>
      <c r="M1199" s="3">
        <v>2035500</v>
      </c>
      <c r="N1199" s="3">
        <v>0</v>
      </c>
      <c r="O1199" s="3">
        <v>0</v>
      </c>
      <c r="P1199" s="3">
        <v>0</v>
      </c>
      <c r="Q1199" s="3">
        <v>0</v>
      </c>
      <c r="R1199" s="3">
        <v>-143200</v>
      </c>
      <c r="S1199" s="3">
        <v>0</v>
      </c>
      <c r="T1199" s="3">
        <v>0</v>
      </c>
      <c r="U1199" s="3">
        <v>0</v>
      </c>
      <c r="V1199" s="3">
        <v>2019</v>
      </c>
      <c r="W1199" s="3">
        <v>944400</v>
      </c>
      <c r="X1199" s="3">
        <v>1892300</v>
      </c>
      <c r="Y1199" s="3">
        <v>947900</v>
      </c>
      <c r="Z1199" s="3">
        <v>333900</v>
      </c>
      <c r="AA1199" s="3">
        <v>1558400</v>
      </c>
      <c r="AB1199" s="3">
        <v>467</v>
      </c>
    </row>
    <row r="1200" spans="1:28" x14ac:dyDescent="0.35">
      <c r="A1200">
        <v>2022</v>
      </c>
      <c r="B1200" t="str">
        <f t="shared" si="152"/>
        <v>65</v>
      </c>
      <c r="C1200" t="s">
        <v>48</v>
      </c>
      <c r="D1200" t="s">
        <v>35</v>
      </c>
      <c r="E1200" t="str">
        <f>"281"</f>
        <v>281</v>
      </c>
      <c r="F1200" t="s">
        <v>435</v>
      </c>
      <c r="G1200" t="str">
        <f>"003"</f>
        <v>003</v>
      </c>
      <c r="H1200" t="str">
        <f>"5474"</f>
        <v>5474</v>
      </c>
      <c r="I1200" s="3">
        <v>14356400</v>
      </c>
      <c r="J1200" s="3">
        <v>75.319999999999993</v>
      </c>
      <c r="K1200" s="3">
        <v>19060500</v>
      </c>
      <c r="L1200" s="3">
        <v>0</v>
      </c>
      <c r="M1200" s="3">
        <v>19060500</v>
      </c>
      <c r="N1200" s="3">
        <v>858500</v>
      </c>
      <c r="O1200" s="3">
        <v>858500</v>
      </c>
      <c r="P1200" s="3">
        <v>52000</v>
      </c>
      <c r="Q1200" s="3">
        <v>52000</v>
      </c>
      <c r="R1200" s="3">
        <v>-17500</v>
      </c>
      <c r="S1200" s="3">
        <v>0</v>
      </c>
      <c r="T1200" s="3">
        <v>0</v>
      </c>
      <c r="U1200" s="3">
        <v>0</v>
      </c>
      <c r="V1200" s="3">
        <v>1996</v>
      </c>
      <c r="W1200" s="3">
        <v>618700</v>
      </c>
      <c r="X1200" s="3">
        <v>19953500</v>
      </c>
      <c r="Y1200" s="3">
        <v>19334800</v>
      </c>
      <c r="Z1200" s="3">
        <v>17080100</v>
      </c>
      <c r="AA1200" s="3">
        <v>2873400</v>
      </c>
      <c r="AB1200" s="3">
        <v>17</v>
      </c>
    </row>
    <row r="1201" spans="1:28" x14ac:dyDescent="0.35">
      <c r="A1201">
        <v>2022</v>
      </c>
      <c r="B1201" t="str">
        <f t="shared" si="152"/>
        <v>65</v>
      </c>
      <c r="C1201" t="s">
        <v>48</v>
      </c>
      <c r="D1201" t="s">
        <v>35</v>
      </c>
      <c r="E1201" t="str">
        <f>"281"</f>
        <v>281</v>
      </c>
      <c r="F1201" t="s">
        <v>435</v>
      </c>
      <c r="G1201" t="str">
        <f>"004"</f>
        <v>004</v>
      </c>
      <c r="H1201" t="str">
        <f>"5474"</f>
        <v>5474</v>
      </c>
      <c r="I1201" s="3">
        <v>9270900</v>
      </c>
      <c r="J1201" s="3">
        <v>75.319999999999993</v>
      </c>
      <c r="K1201" s="3">
        <v>12308700</v>
      </c>
      <c r="L1201" s="3">
        <v>0</v>
      </c>
      <c r="M1201" s="3">
        <v>12308700</v>
      </c>
      <c r="N1201" s="3">
        <v>0</v>
      </c>
      <c r="O1201" s="3">
        <v>0</v>
      </c>
      <c r="P1201" s="3">
        <v>0</v>
      </c>
      <c r="Q1201" s="3">
        <v>0</v>
      </c>
      <c r="R1201" s="3">
        <v>-12100</v>
      </c>
      <c r="S1201" s="3">
        <v>0</v>
      </c>
      <c r="T1201" s="3">
        <v>0</v>
      </c>
      <c r="U1201" s="3">
        <v>0</v>
      </c>
      <c r="V1201" s="3">
        <v>2003</v>
      </c>
      <c r="W1201" s="3">
        <v>178000</v>
      </c>
      <c r="X1201" s="3">
        <v>12296600</v>
      </c>
      <c r="Y1201" s="3">
        <v>12118600</v>
      </c>
      <c r="Z1201" s="3">
        <v>11236700</v>
      </c>
      <c r="AA1201" s="3">
        <v>1059900</v>
      </c>
      <c r="AB1201" s="3">
        <v>9</v>
      </c>
    </row>
    <row r="1202" spans="1:28" x14ac:dyDescent="0.35">
      <c r="A1202">
        <v>2022</v>
      </c>
      <c r="B1202" t="str">
        <f t="shared" ref="B1202:B1232" si="153">"66"</f>
        <v>66</v>
      </c>
      <c r="C1202" t="s">
        <v>436</v>
      </c>
      <c r="D1202" t="s">
        <v>33</v>
      </c>
      <c r="E1202" t="str">
        <f>"131"</f>
        <v>131</v>
      </c>
      <c r="F1202" t="s">
        <v>437</v>
      </c>
      <c r="G1202" t="str">
        <f>"006"</f>
        <v>006</v>
      </c>
      <c r="H1202" t="str">
        <f>"2058"</f>
        <v>2058</v>
      </c>
      <c r="I1202" s="3">
        <v>31469300</v>
      </c>
      <c r="J1202" s="3">
        <v>83</v>
      </c>
      <c r="K1202" s="3">
        <v>37914800</v>
      </c>
      <c r="L1202" s="3">
        <v>0</v>
      </c>
      <c r="M1202" s="3">
        <v>37914800</v>
      </c>
      <c r="N1202" s="3">
        <v>0</v>
      </c>
      <c r="O1202" s="3">
        <v>0</v>
      </c>
      <c r="P1202" s="3">
        <v>104600</v>
      </c>
      <c r="Q1202" s="3">
        <v>104600</v>
      </c>
      <c r="R1202" s="3">
        <v>-32700</v>
      </c>
      <c r="S1202" s="3">
        <v>0</v>
      </c>
      <c r="T1202" s="3">
        <v>0</v>
      </c>
      <c r="U1202" s="3">
        <v>0</v>
      </c>
      <c r="V1202" s="3">
        <v>2014</v>
      </c>
      <c r="W1202" s="3">
        <v>2796400</v>
      </c>
      <c r="X1202" s="3">
        <v>37986700</v>
      </c>
      <c r="Y1202" s="3">
        <v>35190300</v>
      </c>
      <c r="Z1202" s="3">
        <v>33460500</v>
      </c>
      <c r="AA1202" s="3">
        <v>4526200</v>
      </c>
      <c r="AB1202" s="3">
        <v>14</v>
      </c>
    </row>
    <row r="1203" spans="1:28" x14ac:dyDescent="0.35">
      <c r="A1203">
        <v>2022</v>
      </c>
      <c r="B1203" t="str">
        <f t="shared" si="153"/>
        <v>66</v>
      </c>
      <c r="C1203" t="s">
        <v>436</v>
      </c>
      <c r="D1203" t="s">
        <v>33</v>
      </c>
      <c r="E1203" t="str">
        <f>"131"</f>
        <v>131</v>
      </c>
      <c r="F1203" t="s">
        <v>437</v>
      </c>
      <c r="G1203" t="str">
        <f>"007"</f>
        <v>007</v>
      </c>
      <c r="H1203" t="str">
        <f>"2058"</f>
        <v>2058</v>
      </c>
      <c r="I1203" s="3">
        <v>1849700</v>
      </c>
      <c r="J1203" s="3">
        <v>83</v>
      </c>
      <c r="K1203" s="3">
        <v>2228600</v>
      </c>
      <c r="L1203" s="3">
        <v>0</v>
      </c>
      <c r="M1203" s="3">
        <v>2228600</v>
      </c>
      <c r="N1203" s="3">
        <v>12937700</v>
      </c>
      <c r="O1203" s="3">
        <v>12937700</v>
      </c>
      <c r="P1203" s="3">
        <v>1559900</v>
      </c>
      <c r="Q1203" s="3">
        <v>1559900</v>
      </c>
      <c r="R1203" s="3">
        <v>-100</v>
      </c>
      <c r="S1203" s="3">
        <v>0</v>
      </c>
      <c r="T1203" s="3">
        <v>0</v>
      </c>
      <c r="U1203" s="3">
        <v>0</v>
      </c>
      <c r="V1203" s="3">
        <v>2018</v>
      </c>
      <c r="W1203" s="3">
        <v>9892300</v>
      </c>
      <c r="X1203" s="3">
        <v>16726100</v>
      </c>
      <c r="Y1203" s="3">
        <v>6833800</v>
      </c>
      <c r="Z1203" s="3">
        <v>13656100</v>
      </c>
      <c r="AA1203" s="3">
        <v>3070000</v>
      </c>
      <c r="AB1203" s="3">
        <v>22</v>
      </c>
    </row>
    <row r="1204" spans="1:28" x14ac:dyDescent="0.35">
      <c r="A1204">
        <v>2022</v>
      </c>
      <c r="B1204" t="str">
        <f t="shared" si="153"/>
        <v>66</v>
      </c>
      <c r="C1204" t="s">
        <v>436</v>
      </c>
      <c r="D1204" t="s">
        <v>33</v>
      </c>
      <c r="E1204" t="str">
        <f>"131"</f>
        <v>131</v>
      </c>
      <c r="F1204" t="s">
        <v>437</v>
      </c>
      <c r="G1204" t="str">
        <f>"008"</f>
        <v>008</v>
      </c>
      <c r="H1204" t="str">
        <f>"2058"</f>
        <v>2058</v>
      </c>
      <c r="I1204" s="3">
        <v>96991800</v>
      </c>
      <c r="J1204" s="3">
        <v>83</v>
      </c>
      <c r="K1204" s="3">
        <v>116857600</v>
      </c>
      <c r="L1204" s="3">
        <v>0</v>
      </c>
      <c r="M1204" s="3">
        <v>116857600</v>
      </c>
      <c r="N1204" s="3">
        <v>7738600</v>
      </c>
      <c r="O1204" s="3">
        <v>7738600</v>
      </c>
      <c r="P1204" s="3">
        <v>117200</v>
      </c>
      <c r="Q1204" s="3">
        <v>117200</v>
      </c>
      <c r="R1204" s="3">
        <v>-93100</v>
      </c>
      <c r="S1204" s="3">
        <v>0</v>
      </c>
      <c r="T1204" s="3">
        <v>0</v>
      </c>
      <c r="U1204" s="3">
        <v>0</v>
      </c>
      <c r="V1204" s="3">
        <v>2018</v>
      </c>
      <c r="W1204" s="3">
        <v>640700</v>
      </c>
      <c r="X1204" s="3">
        <v>124620300</v>
      </c>
      <c r="Y1204" s="3">
        <v>123979600</v>
      </c>
      <c r="Z1204" s="3">
        <v>103199700</v>
      </c>
      <c r="AA1204" s="3">
        <v>21420600</v>
      </c>
      <c r="AB1204" s="3">
        <v>21</v>
      </c>
    </row>
    <row r="1205" spans="1:28" x14ac:dyDescent="0.35">
      <c r="A1205">
        <v>2022</v>
      </c>
      <c r="B1205" t="str">
        <f t="shared" si="153"/>
        <v>66</v>
      </c>
      <c r="C1205" t="s">
        <v>436</v>
      </c>
      <c r="D1205" t="s">
        <v>33</v>
      </c>
      <c r="E1205" t="str">
        <f>"141"</f>
        <v>141</v>
      </c>
      <c r="F1205" t="s">
        <v>198</v>
      </c>
      <c r="G1205" t="str">
        <f>"004"</f>
        <v>004</v>
      </c>
      <c r="H1205" t="str">
        <f>"6307"</f>
        <v>6307</v>
      </c>
      <c r="I1205" s="3">
        <v>36876100</v>
      </c>
      <c r="J1205" s="3">
        <v>85.91</v>
      </c>
      <c r="K1205" s="3">
        <v>42924100</v>
      </c>
      <c r="L1205" s="3">
        <v>0</v>
      </c>
      <c r="M1205" s="3">
        <v>42924100</v>
      </c>
      <c r="N1205" s="3">
        <v>14127000</v>
      </c>
      <c r="O1205" s="3">
        <v>14127000</v>
      </c>
      <c r="P1205" s="3">
        <v>346000</v>
      </c>
      <c r="Q1205" s="3">
        <v>346000</v>
      </c>
      <c r="R1205" s="3">
        <v>541800</v>
      </c>
      <c r="S1205" s="3">
        <v>0</v>
      </c>
      <c r="T1205" s="3">
        <v>0</v>
      </c>
      <c r="U1205" s="3">
        <v>474900</v>
      </c>
      <c r="V1205" s="3">
        <v>1995</v>
      </c>
      <c r="W1205" s="3">
        <v>645700</v>
      </c>
      <c r="X1205" s="3">
        <v>58413800</v>
      </c>
      <c r="Y1205" s="3">
        <v>57768100</v>
      </c>
      <c r="Z1205" s="3">
        <v>50199500</v>
      </c>
      <c r="AA1205" s="3">
        <v>8214300</v>
      </c>
      <c r="AB1205" s="3">
        <v>16</v>
      </c>
    </row>
    <row r="1206" spans="1:28" x14ac:dyDescent="0.35">
      <c r="A1206">
        <v>2022</v>
      </c>
      <c r="B1206" t="str">
        <f t="shared" si="153"/>
        <v>66</v>
      </c>
      <c r="C1206" t="s">
        <v>436</v>
      </c>
      <c r="D1206" t="s">
        <v>33</v>
      </c>
      <c r="E1206" t="str">
        <f>"141"</f>
        <v>141</v>
      </c>
      <c r="F1206" t="s">
        <v>198</v>
      </c>
      <c r="G1206" t="str">
        <f>"005"</f>
        <v>005</v>
      </c>
      <c r="H1206" t="str">
        <f>"6307"</f>
        <v>6307</v>
      </c>
      <c r="I1206" s="3">
        <v>0</v>
      </c>
      <c r="J1206" s="3">
        <v>85.91</v>
      </c>
      <c r="K1206" s="3">
        <v>0</v>
      </c>
      <c r="L1206" s="3">
        <v>0</v>
      </c>
      <c r="M1206" s="3">
        <v>0</v>
      </c>
      <c r="N1206" s="3">
        <v>7657500</v>
      </c>
      <c r="O1206" s="3">
        <v>7657500</v>
      </c>
      <c r="P1206" s="3">
        <v>175500</v>
      </c>
      <c r="Q1206" s="3">
        <v>175500</v>
      </c>
      <c r="R1206" s="3">
        <v>0</v>
      </c>
      <c r="S1206" s="3">
        <v>0</v>
      </c>
      <c r="T1206" s="3">
        <v>0</v>
      </c>
      <c r="U1206" s="3">
        <v>0</v>
      </c>
      <c r="V1206" s="3">
        <v>2014</v>
      </c>
      <c r="W1206" s="3">
        <v>933100</v>
      </c>
      <c r="X1206" s="3">
        <v>7833000</v>
      </c>
      <c r="Y1206" s="3">
        <v>6899900</v>
      </c>
      <c r="Z1206" s="3">
        <v>7288700</v>
      </c>
      <c r="AA1206" s="3">
        <v>544300</v>
      </c>
      <c r="AB1206" s="3">
        <v>7</v>
      </c>
    </row>
    <row r="1207" spans="1:28" x14ac:dyDescent="0.35">
      <c r="A1207">
        <v>2022</v>
      </c>
      <c r="B1207" t="str">
        <f t="shared" si="153"/>
        <v>66</v>
      </c>
      <c r="C1207" t="s">
        <v>436</v>
      </c>
      <c r="D1207" t="s">
        <v>33</v>
      </c>
      <c r="E1207" t="str">
        <f>"141"</f>
        <v>141</v>
      </c>
      <c r="F1207" t="s">
        <v>198</v>
      </c>
      <c r="G1207" t="str">
        <f>"006"</f>
        <v>006</v>
      </c>
      <c r="H1207" t="str">
        <f>"6307"</f>
        <v>6307</v>
      </c>
      <c r="I1207" s="3">
        <v>12439000</v>
      </c>
      <c r="J1207" s="3">
        <v>85.91</v>
      </c>
      <c r="K1207" s="3">
        <v>14479100</v>
      </c>
      <c r="L1207" s="3">
        <v>0</v>
      </c>
      <c r="M1207" s="3">
        <v>14479100</v>
      </c>
      <c r="N1207" s="3">
        <v>0</v>
      </c>
      <c r="O1207" s="3">
        <v>0</v>
      </c>
      <c r="P1207" s="3">
        <v>0</v>
      </c>
      <c r="Q1207" s="3">
        <v>0</v>
      </c>
      <c r="R1207" s="3">
        <v>135800</v>
      </c>
      <c r="S1207" s="3">
        <v>0</v>
      </c>
      <c r="T1207" s="3">
        <v>0</v>
      </c>
      <c r="U1207" s="3">
        <v>0</v>
      </c>
      <c r="V1207" s="3">
        <v>2018</v>
      </c>
      <c r="W1207" s="3">
        <v>474900</v>
      </c>
      <c r="X1207" s="3">
        <v>14614900</v>
      </c>
      <c r="Y1207" s="3">
        <v>14140000</v>
      </c>
      <c r="Z1207" s="3">
        <v>9102400</v>
      </c>
      <c r="AA1207" s="3">
        <v>5512500</v>
      </c>
      <c r="AB1207" s="3">
        <v>61</v>
      </c>
    </row>
    <row r="1208" spans="1:28" x14ac:dyDescent="0.35">
      <c r="A1208">
        <v>2022</v>
      </c>
      <c r="B1208" t="str">
        <f t="shared" si="153"/>
        <v>66</v>
      </c>
      <c r="C1208" t="s">
        <v>436</v>
      </c>
      <c r="D1208" t="s">
        <v>33</v>
      </c>
      <c r="E1208" t="str">
        <f>"141"</f>
        <v>141</v>
      </c>
      <c r="F1208" t="s">
        <v>198</v>
      </c>
      <c r="G1208" t="str">
        <f>"007"</f>
        <v>007</v>
      </c>
      <c r="H1208" t="str">
        <f>"6307"</f>
        <v>6307</v>
      </c>
      <c r="I1208" s="3">
        <v>5762500</v>
      </c>
      <c r="J1208" s="3">
        <v>85.91</v>
      </c>
      <c r="K1208" s="3">
        <v>6707600</v>
      </c>
      <c r="L1208" s="3">
        <v>0</v>
      </c>
      <c r="M1208" s="3">
        <v>6707600</v>
      </c>
      <c r="N1208" s="3">
        <v>0</v>
      </c>
      <c r="O1208" s="3">
        <v>0</v>
      </c>
      <c r="P1208" s="3">
        <v>0</v>
      </c>
      <c r="Q1208" s="3">
        <v>0</v>
      </c>
      <c r="R1208" s="3">
        <v>85000</v>
      </c>
      <c r="S1208" s="3">
        <v>0</v>
      </c>
      <c r="T1208" s="3">
        <v>0</v>
      </c>
      <c r="U1208" s="3">
        <v>0</v>
      </c>
      <c r="V1208" s="3">
        <v>2019</v>
      </c>
      <c r="W1208" s="3">
        <v>6460400</v>
      </c>
      <c r="X1208" s="3">
        <v>6792600</v>
      </c>
      <c r="Y1208" s="3">
        <v>332200</v>
      </c>
      <c r="Z1208" s="3">
        <v>5694000</v>
      </c>
      <c r="AA1208" s="3">
        <v>1098600</v>
      </c>
      <c r="AB1208" s="3">
        <v>19</v>
      </c>
    </row>
    <row r="1209" spans="1:28" x14ac:dyDescent="0.35">
      <c r="A1209">
        <v>2022</v>
      </c>
      <c r="B1209" t="str">
        <f t="shared" si="153"/>
        <v>66</v>
      </c>
      <c r="C1209" t="s">
        <v>436</v>
      </c>
      <c r="D1209" t="s">
        <v>33</v>
      </c>
      <c r="E1209" t="str">
        <f>"142"</f>
        <v>142</v>
      </c>
      <c r="F1209" t="s">
        <v>438</v>
      </c>
      <c r="G1209" t="str">
        <f>"002"</f>
        <v>002</v>
      </c>
      <c r="H1209" t="str">
        <f>"2800"</f>
        <v>2800</v>
      </c>
      <c r="I1209" s="3">
        <v>21674000</v>
      </c>
      <c r="J1209" s="3">
        <v>73.239999999999995</v>
      </c>
      <c r="K1209" s="3">
        <v>29593100</v>
      </c>
      <c r="L1209" s="3">
        <v>0</v>
      </c>
      <c r="M1209" s="3">
        <v>29593100</v>
      </c>
      <c r="N1209" s="3">
        <v>2094600</v>
      </c>
      <c r="O1209" s="3">
        <v>2094600</v>
      </c>
      <c r="P1209" s="3">
        <v>128300</v>
      </c>
      <c r="Q1209" s="3">
        <v>128300</v>
      </c>
      <c r="R1209" s="3">
        <v>-45200</v>
      </c>
      <c r="S1209" s="3">
        <v>0</v>
      </c>
      <c r="T1209" s="3">
        <v>0</v>
      </c>
      <c r="U1209" s="3">
        <v>0</v>
      </c>
      <c r="V1209" s="3">
        <v>2005</v>
      </c>
      <c r="W1209" s="3">
        <v>1830500</v>
      </c>
      <c r="X1209" s="3">
        <v>31770800</v>
      </c>
      <c r="Y1209" s="3">
        <v>29940300</v>
      </c>
      <c r="Z1209" s="3">
        <v>32664600</v>
      </c>
      <c r="AA1209" s="3">
        <v>-893800</v>
      </c>
      <c r="AB1209" s="3">
        <v>-3</v>
      </c>
    </row>
    <row r="1210" spans="1:28" x14ac:dyDescent="0.35">
      <c r="A1210">
        <v>2022</v>
      </c>
      <c r="B1210" t="str">
        <f t="shared" si="153"/>
        <v>66</v>
      </c>
      <c r="C1210" t="s">
        <v>436</v>
      </c>
      <c r="D1210" t="s">
        <v>33</v>
      </c>
      <c r="E1210" t="str">
        <f>"142"</f>
        <v>142</v>
      </c>
      <c r="F1210" t="s">
        <v>438</v>
      </c>
      <c r="G1210" t="str">
        <f>"003"</f>
        <v>003</v>
      </c>
      <c r="H1210" t="str">
        <f>"2800"</f>
        <v>2800</v>
      </c>
      <c r="I1210" s="3">
        <v>4633900</v>
      </c>
      <c r="J1210" s="3">
        <v>73.239999999999995</v>
      </c>
      <c r="K1210" s="3">
        <v>6327000</v>
      </c>
      <c r="L1210" s="3">
        <v>0</v>
      </c>
      <c r="M1210" s="3">
        <v>6327000</v>
      </c>
      <c r="N1210" s="3">
        <v>0</v>
      </c>
      <c r="O1210" s="3">
        <v>0</v>
      </c>
      <c r="P1210" s="3">
        <v>0</v>
      </c>
      <c r="Q1210" s="3">
        <v>0</v>
      </c>
      <c r="R1210" s="3">
        <v>0</v>
      </c>
      <c r="S1210" s="3">
        <v>0</v>
      </c>
      <c r="T1210" s="3">
        <v>0</v>
      </c>
      <c r="U1210" s="3">
        <v>0</v>
      </c>
      <c r="V1210" s="3">
        <v>2021</v>
      </c>
      <c r="W1210" s="3">
        <v>4167600</v>
      </c>
      <c r="X1210" s="3">
        <v>6327000</v>
      </c>
      <c r="Y1210" s="3">
        <v>2159400</v>
      </c>
      <c r="Z1210" s="3">
        <v>4167600</v>
      </c>
      <c r="AA1210" s="3">
        <v>2159400</v>
      </c>
      <c r="AB1210" s="3">
        <v>52</v>
      </c>
    </row>
    <row r="1211" spans="1:28" x14ac:dyDescent="0.35">
      <c r="A1211">
        <v>2022</v>
      </c>
      <c r="B1211" t="str">
        <f t="shared" si="153"/>
        <v>66</v>
      </c>
      <c r="C1211" t="s">
        <v>436</v>
      </c>
      <c r="D1211" t="s">
        <v>33</v>
      </c>
      <c r="E1211" t="str">
        <f>"166"</f>
        <v>166</v>
      </c>
      <c r="F1211" t="s">
        <v>439</v>
      </c>
      <c r="G1211" t="str">
        <f>"001"</f>
        <v>001</v>
      </c>
      <c r="H1211" t="str">
        <f>"2058"</f>
        <v>2058</v>
      </c>
      <c r="I1211" s="3">
        <v>2883500</v>
      </c>
      <c r="J1211" s="3">
        <v>86.5</v>
      </c>
      <c r="K1211" s="3">
        <v>3333500</v>
      </c>
      <c r="L1211" s="3">
        <v>0</v>
      </c>
      <c r="M1211" s="3">
        <v>3333500</v>
      </c>
      <c r="N1211" s="3">
        <v>0</v>
      </c>
      <c r="O1211" s="3">
        <v>0</v>
      </c>
      <c r="P1211" s="3">
        <v>0</v>
      </c>
      <c r="Q1211" s="3">
        <v>0</v>
      </c>
      <c r="R1211" s="3">
        <v>0</v>
      </c>
      <c r="S1211" s="3">
        <v>0</v>
      </c>
      <c r="T1211" s="3">
        <v>0</v>
      </c>
      <c r="U1211" s="3">
        <v>0</v>
      </c>
      <c r="V1211" s="3">
        <v>2021</v>
      </c>
      <c r="W1211" s="3">
        <v>644900</v>
      </c>
      <c r="X1211" s="3">
        <v>3333500</v>
      </c>
      <c r="Y1211" s="3">
        <v>2688600</v>
      </c>
      <c r="Z1211" s="3">
        <v>644900</v>
      </c>
      <c r="AA1211" s="3">
        <v>2688600</v>
      </c>
      <c r="AB1211" s="3">
        <v>417</v>
      </c>
    </row>
    <row r="1212" spans="1:28" x14ac:dyDescent="0.35">
      <c r="A1212">
        <v>2022</v>
      </c>
      <c r="B1212" t="str">
        <f t="shared" si="153"/>
        <v>66</v>
      </c>
      <c r="C1212" t="s">
        <v>436</v>
      </c>
      <c r="D1212" t="s">
        <v>33</v>
      </c>
      <c r="E1212" t="str">
        <f>"181"</f>
        <v>181</v>
      </c>
      <c r="F1212" t="s">
        <v>440</v>
      </c>
      <c r="G1212" t="str">
        <f>"004"</f>
        <v>004</v>
      </c>
      <c r="H1212" t="str">
        <f>"5390"</f>
        <v>5390</v>
      </c>
      <c r="I1212" s="3">
        <v>22630400</v>
      </c>
      <c r="J1212" s="3">
        <v>86.39</v>
      </c>
      <c r="K1212" s="3">
        <v>26195600</v>
      </c>
      <c r="L1212" s="3">
        <v>0</v>
      </c>
      <c r="M1212" s="3">
        <v>26195600</v>
      </c>
      <c r="N1212" s="3">
        <v>0</v>
      </c>
      <c r="O1212" s="3">
        <v>0</v>
      </c>
      <c r="P1212" s="3">
        <v>0</v>
      </c>
      <c r="Q1212" s="3">
        <v>0</v>
      </c>
      <c r="R1212" s="3">
        <v>663000</v>
      </c>
      <c r="S1212" s="3">
        <v>0</v>
      </c>
      <c r="T1212" s="3">
        <v>0</v>
      </c>
      <c r="U1212" s="3">
        <v>0</v>
      </c>
      <c r="V1212" s="3">
        <v>2015</v>
      </c>
      <c r="W1212" s="3">
        <v>3546200</v>
      </c>
      <c r="X1212" s="3">
        <v>26858600</v>
      </c>
      <c r="Y1212" s="3">
        <v>23312400</v>
      </c>
      <c r="Z1212" s="3">
        <v>18705500</v>
      </c>
      <c r="AA1212" s="3">
        <v>8153100</v>
      </c>
      <c r="AB1212" s="3">
        <v>44</v>
      </c>
    </row>
    <row r="1213" spans="1:28" x14ac:dyDescent="0.35">
      <c r="A1213">
        <v>2022</v>
      </c>
      <c r="B1213" t="str">
        <f t="shared" si="153"/>
        <v>66</v>
      </c>
      <c r="C1213" t="s">
        <v>436</v>
      </c>
      <c r="D1213" t="s">
        <v>33</v>
      </c>
      <c r="E1213" t="str">
        <f>"181"</f>
        <v>181</v>
      </c>
      <c r="F1213" t="s">
        <v>440</v>
      </c>
      <c r="G1213" t="str">
        <f>"005"</f>
        <v>005</v>
      </c>
      <c r="H1213" t="str">
        <f>"5390"</f>
        <v>5390</v>
      </c>
      <c r="I1213" s="3">
        <v>5271500</v>
      </c>
      <c r="J1213" s="3">
        <v>86.39</v>
      </c>
      <c r="K1213" s="3">
        <v>6102000</v>
      </c>
      <c r="L1213" s="3">
        <v>0</v>
      </c>
      <c r="M1213" s="3">
        <v>6102000</v>
      </c>
      <c r="N1213" s="3">
        <v>0</v>
      </c>
      <c r="O1213" s="3">
        <v>0</v>
      </c>
      <c r="P1213" s="3">
        <v>0</v>
      </c>
      <c r="Q1213" s="3">
        <v>0</v>
      </c>
      <c r="R1213" s="3">
        <v>196700</v>
      </c>
      <c r="S1213" s="3">
        <v>0</v>
      </c>
      <c r="T1213" s="3">
        <v>0</v>
      </c>
      <c r="U1213" s="3">
        <v>54800</v>
      </c>
      <c r="V1213" s="3">
        <v>2016</v>
      </c>
      <c r="W1213" s="3">
        <v>784400</v>
      </c>
      <c r="X1213" s="3">
        <v>6353500</v>
      </c>
      <c r="Y1213" s="3">
        <v>5569100</v>
      </c>
      <c r="Z1213" s="3">
        <v>5548400</v>
      </c>
      <c r="AA1213" s="3">
        <v>805100</v>
      </c>
      <c r="AB1213" s="3">
        <v>15</v>
      </c>
    </row>
    <row r="1214" spans="1:28" x14ac:dyDescent="0.35">
      <c r="A1214">
        <v>2022</v>
      </c>
      <c r="B1214" t="str">
        <f t="shared" si="153"/>
        <v>66</v>
      </c>
      <c r="C1214" t="s">
        <v>436</v>
      </c>
      <c r="D1214" t="s">
        <v>33</v>
      </c>
      <c r="E1214" t="str">
        <f>"181"</f>
        <v>181</v>
      </c>
      <c r="F1214" t="s">
        <v>440</v>
      </c>
      <c r="G1214" t="str">
        <f>"006"</f>
        <v>006</v>
      </c>
      <c r="H1214" t="str">
        <f>"5390"</f>
        <v>5390</v>
      </c>
      <c r="I1214" s="3">
        <v>18202300</v>
      </c>
      <c r="J1214" s="3">
        <v>86.39</v>
      </c>
      <c r="K1214" s="3">
        <v>21069900</v>
      </c>
      <c r="L1214" s="3">
        <v>0</v>
      </c>
      <c r="M1214" s="3">
        <v>21069900</v>
      </c>
      <c r="N1214" s="3">
        <v>126600</v>
      </c>
      <c r="O1214" s="3">
        <v>126600</v>
      </c>
      <c r="P1214" s="3">
        <v>200</v>
      </c>
      <c r="Q1214" s="3">
        <v>200</v>
      </c>
      <c r="R1214" s="3">
        <v>0</v>
      </c>
      <c r="S1214" s="3">
        <v>0</v>
      </c>
      <c r="T1214" s="3">
        <v>0</v>
      </c>
      <c r="U1214" s="3">
        <v>0</v>
      </c>
      <c r="V1214" s="3">
        <v>2021</v>
      </c>
      <c r="W1214" s="3">
        <v>18929300</v>
      </c>
      <c r="X1214" s="3">
        <v>21196700</v>
      </c>
      <c r="Y1214" s="3">
        <v>2267400</v>
      </c>
      <c r="Z1214" s="3">
        <v>18929300</v>
      </c>
      <c r="AA1214" s="3">
        <v>2267400</v>
      </c>
      <c r="AB1214" s="3">
        <v>12</v>
      </c>
    </row>
    <row r="1215" spans="1:28" x14ac:dyDescent="0.35">
      <c r="A1215">
        <v>2022</v>
      </c>
      <c r="B1215" t="str">
        <f t="shared" si="153"/>
        <v>66</v>
      </c>
      <c r="C1215" t="s">
        <v>436</v>
      </c>
      <c r="D1215" t="s">
        <v>35</v>
      </c>
      <c r="E1215" t="str">
        <f>"236"</f>
        <v>236</v>
      </c>
      <c r="F1215" t="s">
        <v>143</v>
      </c>
      <c r="G1215" t="str">
        <f>"006"</f>
        <v>006</v>
      </c>
      <c r="H1215" t="str">
        <f>"2443"</f>
        <v>2443</v>
      </c>
      <c r="I1215" s="3">
        <v>1878400</v>
      </c>
      <c r="J1215" s="3">
        <v>100</v>
      </c>
      <c r="K1215" s="3">
        <v>1878400</v>
      </c>
      <c r="L1215" s="3">
        <v>0</v>
      </c>
      <c r="M1215" s="3">
        <v>1878400</v>
      </c>
      <c r="N1215" s="3">
        <v>0</v>
      </c>
      <c r="O1215" s="3">
        <v>0</v>
      </c>
      <c r="P1215" s="3">
        <v>0</v>
      </c>
      <c r="Q1215" s="3">
        <v>0</v>
      </c>
      <c r="R1215" s="3">
        <v>102300</v>
      </c>
      <c r="S1215" s="3">
        <v>0</v>
      </c>
      <c r="T1215" s="3">
        <v>0</v>
      </c>
      <c r="U1215" s="3">
        <v>0</v>
      </c>
      <c r="V1215" s="3">
        <v>2008</v>
      </c>
      <c r="W1215" s="3">
        <v>1100000</v>
      </c>
      <c r="X1215" s="3">
        <v>1980700</v>
      </c>
      <c r="Y1215" s="3">
        <v>880700</v>
      </c>
      <c r="Z1215" s="3">
        <v>1891300</v>
      </c>
      <c r="AA1215" s="3">
        <v>89400</v>
      </c>
      <c r="AB1215" s="3">
        <v>5</v>
      </c>
    </row>
    <row r="1216" spans="1:28" x14ac:dyDescent="0.35">
      <c r="A1216">
        <v>2022</v>
      </c>
      <c r="B1216" t="str">
        <f t="shared" si="153"/>
        <v>66</v>
      </c>
      <c r="C1216" t="s">
        <v>436</v>
      </c>
      <c r="D1216" t="s">
        <v>35</v>
      </c>
      <c r="E1216" t="str">
        <f>"236"</f>
        <v>236</v>
      </c>
      <c r="F1216" t="s">
        <v>143</v>
      </c>
      <c r="G1216" t="str">
        <f>"007"</f>
        <v>007</v>
      </c>
      <c r="H1216" t="str">
        <f>"2443"</f>
        <v>2443</v>
      </c>
      <c r="I1216" s="3">
        <v>0</v>
      </c>
      <c r="J1216" s="3">
        <v>100</v>
      </c>
      <c r="K1216" s="3">
        <v>0</v>
      </c>
      <c r="L1216" s="3">
        <v>0</v>
      </c>
      <c r="M1216" s="3">
        <v>0</v>
      </c>
      <c r="N1216" s="3">
        <v>3938500</v>
      </c>
      <c r="O1216" s="3">
        <v>3938500</v>
      </c>
      <c r="P1216" s="3">
        <v>104200</v>
      </c>
      <c r="Q1216" s="3">
        <v>104200</v>
      </c>
      <c r="R1216" s="3">
        <v>3600</v>
      </c>
      <c r="S1216" s="3">
        <v>0</v>
      </c>
      <c r="T1216" s="3">
        <v>0</v>
      </c>
      <c r="U1216" s="3">
        <v>0</v>
      </c>
      <c r="V1216" s="3">
        <v>2011</v>
      </c>
      <c r="W1216" s="3">
        <v>3600</v>
      </c>
      <c r="X1216" s="3">
        <v>4046300</v>
      </c>
      <c r="Y1216" s="3">
        <v>4042700</v>
      </c>
      <c r="Z1216" s="3">
        <v>2676800</v>
      </c>
      <c r="AA1216" s="3">
        <v>1369500</v>
      </c>
      <c r="AB1216" s="3">
        <v>51</v>
      </c>
    </row>
    <row r="1217" spans="1:28" x14ac:dyDescent="0.35">
      <c r="A1217">
        <v>2022</v>
      </c>
      <c r="B1217" t="str">
        <f t="shared" si="153"/>
        <v>66</v>
      </c>
      <c r="C1217" t="s">
        <v>436</v>
      </c>
      <c r="D1217" t="s">
        <v>35</v>
      </c>
      <c r="E1217" t="str">
        <f>"236"</f>
        <v>236</v>
      </c>
      <c r="F1217" t="s">
        <v>143</v>
      </c>
      <c r="G1217" t="str">
        <f>"008"</f>
        <v>008</v>
      </c>
      <c r="H1217" t="str">
        <f>"2443"</f>
        <v>2443</v>
      </c>
      <c r="I1217" s="3">
        <v>0</v>
      </c>
      <c r="J1217" s="3">
        <v>100</v>
      </c>
      <c r="K1217" s="3">
        <v>0</v>
      </c>
      <c r="L1217" s="3">
        <v>0</v>
      </c>
      <c r="M1217" s="3">
        <v>0</v>
      </c>
      <c r="N1217" s="3">
        <v>11794400</v>
      </c>
      <c r="O1217" s="3">
        <v>11794400</v>
      </c>
      <c r="P1217" s="3">
        <v>1666800</v>
      </c>
      <c r="Q1217" s="3">
        <v>1666800</v>
      </c>
      <c r="R1217" s="3">
        <v>0</v>
      </c>
      <c r="S1217" s="3">
        <v>0</v>
      </c>
      <c r="T1217" s="3">
        <v>0</v>
      </c>
      <c r="U1217" s="3">
        <v>0</v>
      </c>
      <c r="V1217" s="3">
        <v>2013</v>
      </c>
      <c r="W1217" s="3">
        <v>6047400</v>
      </c>
      <c r="X1217" s="3">
        <v>13461200</v>
      </c>
      <c r="Y1217" s="3">
        <v>7413800</v>
      </c>
      <c r="Z1217" s="3">
        <v>12672500</v>
      </c>
      <c r="AA1217" s="3">
        <v>788700</v>
      </c>
      <c r="AB1217" s="3">
        <v>6</v>
      </c>
    </row>
    <row r="1218" spans="1:28" x14ac:dyDescent="0.35">
      <c r="A1218">
        <v>2022</v>
      </c>
      <c r="B1218" t="str">
        <f t="shared" si="153"/>
        <v>66</v>
      </c>
      <c r="C1218" t="s">
        <v>436</v>
      </c>
      <c r="D1218" t="s">
        <v>35</v>
      </c>
      <c r="E1218" t="str">
        <f>"236"</f>
        <v>236</v>
      </c>
      <c r="F1218" t="s">
        <v>143</v>
      </c>
      <c r="G1218" t="str">
        <f>"010"</f>
        <v>010</v>
      </c>
      <c r="H1218" t="str">
        <f>"2443"</f>
        <v>2443</v>
      </c>
      <c r="I1218" s="3">
        <v>23994900</v>
      </c>
      <c r="J1218" s="3">
        <v>100</v>
      </c>
      <c r="K1218" s="3">
        <v>23994900</v>
      </c>
      <c r="L1218" s="3">
        <v>0</v>
      </c>
      <c r="M1218" s="3">
        <v>23994900</v>
      </c>
      <c r="N1218" s="3">
        <v>0</v>
      </c>
      <c r="O1218" s="3">
        <v>0</v>
      </c>
      <c r="P1218" s="3">
        <v>0</v>
      </c>
      <c r="Q1218" s="3">
        <v>0</v>
      </c>
      <c r="R1218" s="3">
        <v>556600</v>
      </c>
      <c r="S1218" s="3">
        <v>0</v>
      </c>
      <c r="T1218" s="3">
        <v>0</v>
      </c>
      <c r="U1218" s="3">
        <v>0</v>
      </c>
      <c r="V1218" s="3">
        <v>2017</v>
      </c>
      <c r="W1218" s="3">
        <v>4791600</v>
      </c>
      <c r="X1218" s="3">
        <v>24551500</v>
      </c>
      <c r="Y1218" s="3">
        <v>19759900</v>
      </c>
      <c r="Z1218" s="3">
        <v>22524700</v>
      </c>
      <c r="AA1218" s="3">
        <v>2026800</v>
      </c>
      <c r="AB1218" s="3">
        <v>9</v>
      </c>
    </row>
    <row r="1219" spans="1:28" x14ac:dyDescent="0.35">
      <c r="A1219">
        <v>2022</v>
      </c>
      <c r="B1219" t="str">
        <f t="shared" si="153"/>
        <v>66</v>
      </c>
      <c r="C1219" t="s">
        <v>436</v>
      </c>
      <c r="D1219" t="s">
        <v>35</v>
      </c>
      <c r="E1219" t="str">
        <f>"236"</f>
        <v>236</v>
      </c>
      <c r="F1219" t="s">
        <v>143</v>
      </c>
      <c r="G1219" t="str">
        <f>"011"</f>
        <v>011</v>
      </c>
      <c r="H1219" t="str">
        <f>"2443"</f>
        <v>2443</v>
      </c>
      <c r="I1219" s="3">
        <v>0</v>
      </c>
      <c r="J1219" s="3">
        <v>100</v>
      </c>
      <c r="K1219" s="3">
        <v>0</v>
      </c>
      <c r="L1219" s="3">
        <v>0</v>
      </c>
      <c r="M1219" s="3">
        <v>0</v>
      </c>
      <c r="N1219" s="3">
        <v>14396500</v>
      </c>
      <c r="O1219" s="3">
        <v>14396500</v>
      </c>
      <c r="P1219" s="3">
        <v>6279200</v>
      </c>
      <c r="Q1219" s="3">
        <v>6279200</v>
      </c>
      <c r="R1219" s="3">
        <v>0</v>
      </c>
      <c r="S1219" s="3">
        <v>0</v>
      </c>
      <c r="T1219" s="3">
        <v>0</v>
      </c>
      <c r="U1219" s="3">
        <v>0</v>
      </c>
      <c r="V1219" s="3">
        <v>2017</v>
      </c>
      <c r="W1219" s="3">
        <v>11588700</v>
      </c>
      <c r="X1219" s="3">
        <v>20675700</v>
      </c>
      <c r="Y1219" s="3">
        <v>9087000</v>
      </c>
      <c r="Z1219" s="3">
        <v>18728300</v>
      </c>
      <c r="AA1219" s="3">
        <v>1947400</v>
      </c>
      <c r="AB1219" s="3">
        <v>10</v>
      </c>
    </row>
    <row r="1220" spans="1:28" x14ac:dyDescent="0.35">
      <c r="A1220">
        <v>2022</v>
      </c>
      <c r="B1220" t="str">
        <f t="shared" si="153"/>
        <v>66</v>
      </c>
      <c r="C1220" t="s">
        <v>436</v>
      </c>
      <c r="D1220" t="s">
        <v>35</v>
      </c>
      <c r="E1220" t="str">
        <f t="shared" ref="E1220:E1232" si="154">"291"</f>
        <v>291</v>
      </c>
      <c r="F1220" t="s">
        <v>441</v>
      </c>
      <c r="G1220" t="str">
        <f>"003"</f>
        <v>003</v>
      </c>
      <c r="H1220" t="str">
        <f t="shared" ref="H1220:H1232" si="155">"6307"</f>
        <v>6307</v>
      </c>
      <c r="I1220" s="3">
        <v>18119800</v>
      </c>
      <c r="J1220" s="3">
        <v>74.77</v>
      </c>
      <c r="K1220" s="3">
        <v>24234100</v>
      </c>
      <c r="L1220" s="3">
        <v>0</v>
      </c>
      <c r="M1220" s="3">
        <v>24234100</v>
      </c>
      <c r="N1220" s="3">
        <v>15465000</v>
      </c>
      <c r="O1220" s="3">
        <v>15465000</v>
      </c>
      <c r="P1220" s="3">
        <v>1473300</v>
      </c>
      <c r="Q1220" s="3">
        <v>1473300</v>
      </c>
      <c r="R1220" s="3">
        <v>20400</v>
      </c>
      <c r="S1220" s="3">
        <v>0</v>
      </c>
      <c r="T1220" s="3">
        <v>0</v>
      </c>
      <c r="U1220" s="3">
        <v>0</v>
      </c>
      <c r="V1220" s="3">
        <v>1995</v>
      </c>
      <c r="W1220" s="3">
        <v>4817700</v>
      </c>
      <c r="X1220" s="3">
        <v>41192800</v>
      </c>
      <c r="Y1220" s="3">
        <v>36375100</v>
      </c>
      <c r="Z1220" s="3">
        <v>36297400</v>
      </c>
      <c r="AA1220" s="3">
        <v>4895400</v>
      </c>
      <c r="AB1220" s="3">
        <v>13</v>
      </c>
    </row>
    <row r="1221" spans="1:28" x14ac:dyDescent="0.35">
      <c r="A1221">
        <v>2022</v>
      </c>
      <c r="B1221" t="str">
        <f t="shared" si="153"/>
        <v>66</v>
      </c>
      <c r="C1221" t="s">
        <v>436</v>
      </c>
      <c r="D1221" t="s">
        <v>35</v>
      </c>
      <c r="E1221" t="str">
        <f t="shared" si="154"/>
        <v>291</v>
      </c>
      <c r="F1221" t="s">
        <v>441</v>
      </c>
      <c r="G1221" t="str">
        <f>"004"</f>
        <v>004</v>
      </c>
      <c r="H1221" t="str">
        <f t="shared" si="155"/>
        <v>6307</v>
      </c>
      <c r="I1221" s="3">
        <v>70338600</v>
      </c>
      <c r="J1221" s="3">
        <v>74.77</v>
      </c>
      <c r="K1221" s="3">
        <v>94073300</v>
      </c>
      <c r="L1221" s="3">
        <v>0</v>
      </c>
      <c r="M1221" s="3">
        <v>94073300</v>
      </c>
      <c r="N1221" s="3">
        <v>1757500</v>
      </c>
      <c r="O1221" s="3">
        <v>1757500</v>
      </c>
      <c r="P1221" s="3">
        <v>14300</v>
      </c>
      <c r="Q1221" s="3">
        <v>14300</v>
      </c>
      <c r="R1221" s="3">
        <v>79400</v>
      </c>
      <c r="S1221" s="3">
        <v>0</v>
      </c>
      <c r="T1221" s="3">
        <v>0</v>
      </c>
      <c r="U1221" s="3">
        <v>0</v>
      </c>
      <c r="V1221" s="3">
        <v>1997</v>
      </c>
      <c r="W1221" s="3">
        <v>829900</v>
      </c>
      <c r="X1221" s="3">
        <v>95924500</v>
      </c>
      <c r="Y1221" s="3">
        <v>95094600</v>
      </c>
      <c r="Z1221" s="3">
        <v>83000700</v>
      </c>
      <c r="AA1221" s="3">
        <v>12923800</v>
      </c>
      <c r="AB1221" s="3">
        <v>16</v>
      </c>
    </row>
    <row r="1222" spans="1:28" x14ac:dyDescent="0.35">
      <c r="A1222">
        <v>2022</v>
      </c>
      <c r="B1222" t="str">
        <f t="shared" si="153"/>
        <v>66</v>
      </c>
      <c r="C1222" t="s">
        <v>436</v>
      </c>
      <c r="D1222" t="s">
        <v>35</v>
      </c>
      <c r="E1222" t="str">
        <f t="shared" si="154"/>
        <v>291</v>
      </c>
      <c r="F1222" t="s">
        <v>441</v>
      </c>
      <c r="G1222" t="str">
        <f>"005"</f>
        <v>005</v>
      </c>
      <c r="H1222" t="str">
        <f t="shared" si="155"/>
        <v>6307</v>
      </c>
      <c r="I1222" s="3">
        <v>15578300</v>
      </c>
      <c r="J1222" s="3">
        <v>74.77</v>
      </c>
      <c r="K1222" s="3">
        <v>20835000</v>
      </c>
      <c r="L1222" s="3">
        <v>0</v>
      </c>
      <c r="M1222" s="3">
        <v>20835000</v>
      </c>
      <c r="N1222" s="3">
        <v>0</v>
      </c>
      <c r="O1222" s="3">
        <v>0</v>
      </c>
      <c r="P1222" s="3">
        <v>0</v>
      </c>
      <c r="Q1222" s="3">
        <v>0</v>
      </c>
      <c r="R1222" s="3">
        <v>17600</v>
      </c>
      <c r="S1222" s="3">
        <v>0</v>
      </c>
      <c r="T1222" s="3">
        <v>0</v>
      </c>
      <c r="U1222" s="3">
        <v>0</v>
      </c>
      <c r="V1222" s="3">
        <v>1998</v>
      </c>
      <c r="W1222" s="3">
        <v>1793400</v>
      </c>
      <c r="X1222" s="3">
        <v>20852600</v>
      </c>
      <c r="Y1222" s="3">
        <v>19059200</v>
      </c>
      <c r="Z1222" s="3">
        <v>16659200</v>
      </c>
      <c r="AA1222" s="3">
        <v>4193400</v>
      </c>
      <c r="AB1222" s="3">
        <v>25</v>
      </c>
    </row>
    <row r="1223" spans="1:28" x14ac:dyDescent="0.35">
      <c r="A1223">
        <v>2022</v>
      </c>
      <c r="B1223" t="str">
        <f t="shared" si="153"/>
        <v>66</v>
      </c>
      <c r="C1223" t="s">
        <v>436</v>
      </c>
      <c r="D1223" t="s">
        <v>35</v>
      </c>
      <c r="E1223" t="str">
        <f t="shared" si="154"/>
        <v>291</v>
      </c>
      <c r="F1223" t="s">
        <v>441</v>
      </c>
      <c r="G1223" t="str">
        <f>"006"</f>
        <v>006</v>
      </c>
      <c r="H1223" t="str">
        <f t="shared" si="155"/>
        <v>6307</v>
      </c>
      <c r="I1223" s="3">
        <v>53453300</v>
      </c>
      <c r="J1223" s="3">
        <v>74.77</v>
      </c>
      <c r="K1223" s="3">
        <v>71490300</v>
      </c>
      <c r="L1223" s="3">
        <v>0</v>
      </c>
      <c r="M1223" s="3">
        <v>71490300</v>
      </c>
      <c r="N1223" s="3">
        <v>0</v>
      </c>
      <c r="O1223" s="3">
        <v>0</v>
      </c>
      <c r="P1223" s="3">
        <v>0</v>
      </c>
      <c r="Q1223" s="3">
        <v>0</v>
      </c>
      <c r="R1223" s="3">
        <v>61600</v>
      </c>
      <c r="S1223" s="3">
        <v>0</v>
      </c>
      <c r="T1223" s="3">
        <v>0</v>
      </c>
      <c r="U1223" s="3">
        <v>0</v>
      </c>
      <c r="V1223" s="3">
        <v>1999</v>
      </c>
      <c r="W1223" s="3">
        <v>4303400</v>
      </c>
      <c r="X1223" s="3">
        <v>71551900</v>
      </c>
      <c r="Y1223" s="3">
        <v>67248500</v>
      </c>
      <c r="Z1223" s="3">
        <v>67735600</v>
      </c>
      <c r="AA1223" s="3">
        <v>3816300</v>
      </c>
      <c r="AB1223" s="3">
        <v>6</v>
      </c>
    </row>
    <row r="1224" spans="1:28" x14ac:dyDescent="0.35">
      <c r="A1224">
        <v>2022</v>
      </c>
      <c r="B1224" t="str">
        <f t="shared" si="153"/>
        <v>66</v>
      </c>
      <c r="C1224" t="s">
        <v>436</v>
      </c>
      <c r="D1224" t="s">
        <v>35</v>
      </c>
      <c r="E1224" t="str">
        <f t="shared" si="154"/>
        <v>291</v>
      </c>
      <c r="F1224" t="s">
        <v>441</v>
      </c>
      <c r="G1224" t="str">
        <f>"007"</f>
        <v>007</v>
      </c>
      <c r="H1224" t="str">
        <f t="shared" si="155"/>
        <v>6307</v>
      </c>
      <c r="I1224" s="3">
        <v>22120800</v>
      </c>
      <c r="J1224" s="3">
        <v>74.77</v>
      </c>
      <c r="K1224" s="3">
        <v>29585100</v>
      </c>
      <c r="L1224" s="3">
        <v>0</v>
      </c>
      <c r="M1224" s="3">
        <v>29585100</v>
      </c>
      <c r="N1224" s="3">
        <v>9993100</v>
      </c>
      <c r="O1224" s="3">
        <v>9993100</v>
      </c>
      <c r="P1224" s="3">
        <v>665000</v>
      </c>
      <c r="Q1224" s="3">
        <v>665000</v>
      </c>
      <c r="R1224" s="3">
        <v>21300</v>
      </c>
      <c r="S1224" s="3">
        <v>0</v>
      </c>
      <c r="T1224" s="3">
        <v>0</v>
      </c>
      <c r="U1224" s="3">
        <v>0</v>
      </c>
      <c r="V1224" s="3">
        <v>1999</v>
      </c>
      <c r="W1224" s="3">
        <v>20976800</v>
      </c>
      <c r="X1224" s="3">
        <v>40264500</v>
      </c>
      <c r="Y1224" s="3">
        <v>19287700</v>
      </c>
      <c r="Z1224" s="3">
        <v>32155400</v>
      </c>
      <c r="AA1224" s="3">
        <v>8109100</v>
      </c>
      <c r="AB1224" s="3">
        <v>25</v>
      </c>
    </row>
    <row r="1225" spans="1:28" x14ac:dyDescent="0.35">
      <c r="A1225">
        <v>2022</v>
      </c>
      <c r="B1225" t="str">
        <f t="shared" si="153"/>
        <v>66</v>
      </c>
      <c r="C1225" t="s">
        <v>436</v>
      </c>
      <c r="D1225" t="s">
        <v>35</v>
      </c>
      <c r="E1225" t="str">
        <f t="shared" si="154"/>
        <v>291</v>
      </c>
      <c r="F1225" t="s">
        <v>441</v>
      </c>
      <c r="G1225" t="str">
        <f>"008"</f>
        <v>008</v>
      </c>
      <c r="H1225" t="str">
        <f t="shared" si="155"/>
        <v>6307</v>
      </c>
      <c r="I1225" s="3">
        <v>1222900</v>
      </c>
      <c r="J1225" s="3">
        <v>74.77</v>
      </c>
      <c r="K1225" s="3">
        <v>1635500</v>
      </c>
      <c r="L1225" s="3">
        <v>0</v>
      </c>
      <c r="M1225" s="3">
        <v>1635500</v>
      </c>
      <c r="N1225" s="3">
        <v>0</v>
      </c>
      <c r="O1225" s="3">
        <v>0</v>
      </c>
      <c r="P1225" s="3">
        <v>0</v>
      </c>
      <c r="Q1225" s="3">
        <v>0</v>
      </c>
      <c r="R1225" s="3">
        <v>1400</v>
      </c>
      <c r="S1225" s="3">
        <v>0</v>
      </c>
      <c r="T1225" s="3">
        <v>0</v>
      </c>
      <c r="U1225" s="3">
        <v>0</v>
      </c>
      <c r="V1225" s="3">
        <v>1999</v>
      </c>
      <c r="W1225" s="3">
        <v>66200</v>
      </c>
      <c r="X1225" s="3">
        <v>1636900</v>
      </c>
      <c r="Y1225" s="3">
        <v>1570700</v>
      </c>
      <c r="Z1225" s="3">
        <v>1432700</v>
      </c>
      <c r="AA1225" s="3">
        <v>204200</v>
      </c>
      <c r="AB1225" s="3">
        <v>14</v>
      </c>
    </row>
    <row r="1226" spans="1:28" x14ac:dyDescent="0.35">
      <c r="A1226">
        <v>2022</v>
      </c>
      <c r="B1226" t="str">
        <f t="shared" si="153"/>
        <v>66</v>
      </c>
      <c r="C1226" t="s">
        <v>436</v>
      </c>
      <c r="D1226" t="s">
        <v>35</v>
      </c>
      <c r="E1226" t="str">
        <f t="shared" si="154"/>
        <v>291</v>
      </c>
      <c r="F1226" t="s">
        <v>441</v>
      </c>
      <c r="G1226" t="str">
        <f>"009"</f>
        <v>009</v>
      </c>
      <c r="H1226" t="str">
        <f t="shared" si="155"/>
        <v>6307</v>
      </c>
      <c r="I1226" s="3">
        <v>4949600</v>
      </c>
      <c r="J1226" s="3">
        <v>74.77</v>
      </c>
      <c r="K1226" s="3">
        <v>6619800</v>
      </c>
      <c r="L1226" s="3">
        <v>0</v>
      </c>
      <c r="M1226" s="3">
        <v>6619800</v>
      </c>
      <c r="N1226" s="3">
        <v>0</v>
      </c>
      <c r="O1226" s="3">
        <v>0</v>
      </c>
      <c r="P1226" s="3">
        <v>0</v>
      </c>
      <c r="Q1226" s="3">
        <v>0</v>
      </c>
      <c r="R1226" s="3">
        <v>-22800</v>
      </c>
      <c r="S1226" s="3">
        <v>0</v>
      </c>
      <c r="T1226" s="3">
        <v>0</v>
      </c>
      <c r="U1226" s="3">
        <v>0</v>
      </c>
      <c r="V1226" s="3">
        <v>2003</v>
      </c>
      <c r="W1226" s="3">
        <v>4144200</v>
      </c>
      <c r="X1226" s="3">
        <v>6597000</v>
      </c>
      <c r="Y1226" s="3">
        <v>2452800</v>
      </c>
      <c r="Z1226" s="3">
        <v>5824500</v>
      </c>
      <c r="AA1226" s="3">
        <v>772500</v>
      </c>
      <c r="AB1226" s="3">
        <v>13</v>
      </c>
    </row>
    <row r="1227" spans="1:28" x14ac:dyDescent="0.35">
      <c r="A1227">
        <v>2022</v>
      </c>
      <c r="B1227" t="str">
        <f t="shared" si="153"/>
        <v>66</v>
      </c>
      <c r="C1227" t="s">
        <v>436</v>
      </c>
      <c r="D1227" t="s">
        <v>35</v>
      </c>
      <c r="E1227" t="str">
        <f t="shared" si="154"/>
        <v>291</v>
      </c>
      <c r="F1227" t="s">
        <v>441</v>
      </c>
      <c r="G1227" t="str">
        <f>"010"</f>
        <v>010</v>
      </c>
      <c r="H1227" t="str">
        <f t="shared" si="155"/>
        <v>6307</v>
      </c>
      <c r="I1227" s="3">
        <v>44775000</v>
      </c>
      <c r="J1227" s="3">
        <v>74.77</v>
      </c>
      <c r="K1227" s="3">
        <v>59883600</v>
      </c>
      <c r="L1227" s="3">
        <v>0</v>
      </c>
      <c r="M1227" s="3">
        <v>59883600</v>
      </c>
      <c r="N1227" s="3">
        <v>0</v>
      </c>
      <c r="O1227" s="3">
        <v>0</v>
      </c>
      <c r="P1227" s="3">
        <v>0</v>
      </c>
      <c r="Q1227" s="3">
        <v>0</v>
      </c>
      <c r="R1227" s="3">
        <v>47100</v>
      </c>
      <c r="S1227" s="3">
        <v>0</v>
      </c>
      <c r="T1227" s="3">
        <v>0</v>
      </c>
      <c r="U1227" s="3">
        <v>0</v>
      </c>
      <c r="V1227" s="3">
        <v>2004</v>
      </c>
      <c r="W1227" s="3">
        <v>6367000</v>
      </c>
      <c r="X1227" s="3">
        <v>59930700</v>
      </c>
      <c r="Y1227" s="3">
        <v>53563700</v>
      </c>
      <c r="Z1227" s="3">
        <v>46356500</v>
      </c>
      <c r="AA1227" s="3">
        <v>13574200</v>
      </c>
      <c r="AB1227" s="3">
        <v>29</v>
      </c>
    </row>
    <row r="1228" spans="1:28" x14ac:dyDescent="0.35">
      <c r="A1228">
        <v>2022</v>
      </c>
      <c r="B1228" t="str">
        <f t="shared" si="153"/>
        <v>66</v>
      </c>
      <c r="C1228" t="s">
        <v>436</v>
      </c>
      <c r="D1228" t="s">
        <v>35</v>
      </c>
      <c r="E1228" t="str">
        <f t="shared" si="154"/>
        <v>291</v>
      </c>
      <c r="F1228" t="s">
        <v>441</v>
      </c>
      <c r="G1228" t="str">
        <f>"011"</f>
        <v>011</v>
      </c>
      <c r="H1228" t="str">
        <f t="shared" si="155"/>
        <v>6307</v>
      </c>
      <c r="I1228" s="3">
        <v>17586600</v>
      </c>
      <c r="J1228" s="3">
        <v>74.77</v>
      </c>
      <c r="K1228" s="3">
        <v>23520900</v>
      </c>
      <c r="L1228" s="3">
        <v>0</v>
      </c>
      <c r="M1228" s="3">
        <v>23520900</v>
      </c>
      <c r="N1228" s="3">
        <v>9443000</v>
      </c>
      <c r="O1228" s="3">
        <v>9443000</v>
      </c>
      <c r="P1228" s="3">
        <v>453300</v>
      </c>
      <c r="Q1228" s="3">
        <v>453300</v>
      </c>
      <c r="R1228" s="3">
        <v>19800</v>
      </c>
      <c r="S1228" s="3">
        <v>0</v>
      </c>
      <c r="T1228" s="3">
        <v>0</v>
      </c>
      <c r="U1228" s="3">
        <v>0</v>
      </c>
      <c r="V1228" s="3">
        <v>2005</v>
      </c>
      <c r="W1228" s="3">
        <v>9623000</v>
      </c>
      <c r="X1228" s="3">
        <v>33437000</v>
      </c>
      <c r="Y1228" s="3">
        <v>23814000</v>
      </c>
      <c r="Z1228" s="3">
        <v>29854300</v>
      </c>
      <c r="AA1228" s="3">
        <v>3582700</v>
      </c>
      <c r="AB1228" s="3">
        <v>12</v>
      </c>
    </row>
    <row r="1229" spans="1:28" x14ac:dyDescent="0.35">
      <c r="A1229">
        <v>2022</v>
      </c>
      <c r="B1229" t="str">
        <f t="shared" si="153"/>
        <v>66</v>
      </c>
      <c r="C1229" t="s">
        <v>436</v>
      </c>
      <c r="D1229" t="s">
        <v>35</v>
      </c>
      <c r="E1229" t="str">
        <f t="shared" si="154"/>
        <v>291</v>
      </c>
      <c r="F1229" t="s">
        <v>441</v>
      </c>
      <c r="G1229" t="str">
        <f>"012"</f>
        <v>012</v>
      </c>
      <c r="H1229" t="str">
        <f t="shared" si="155"/>
        <v>6307</v>
      </c>
      <c r="I1229" s="3">
        <v>45877800</v>
      </c>
      <c r="J1229" s="3">
        <v>74.77</v>
      </c>
      <c r="K1229" s="3">
        <v>61358600</v>
      </c>
      <c r="L1229" s="3">
        <v>0</v>
      </c>
      <c r="M1229" s="3">
        <v>61358600</v>
      </c>
      <c r="N1229" s="3">
        <v>0</v>
      </c>
      <c r="O1229" s="3">
        <v>0</v>
      </c>
      <c r="P1229" s="3">
        <v>0</v>
      </c>
      <c r="Q1229" s="3">
        <v>0</v>
      </c>
      <c r="R1229" s="3">
        <v>70300</v>
      </c>
      <c r="S1229" s="3">
        <v>0</v>
      </c>
      <c r="T1229" s="3">
        <v>0</v>
      </c>
      <c r="U1229" s="3">
        <v>0</v>
      </c>
      <c r="V1229" s="3">
        <v>2008</v>
      </c>
      <c r="W1229" s="3">
        <v>11804500</v>
      </c>
      <c r="X1229" s="3">
        <v>61428900</v>
      </c>
      <c r="Y1229" s="3">
        <v>49624400</v>
      </c>
      <c r="Z1229" s="3">
        <v>43800700</v>
      </c>
      <c r="AA1229" s="3">
        <v>17628200</v>
      </c>
      <c r="AB1229" s="3">
        <v>40</v>
      </c>
    </row>
    <row r="1230" spans="1:28" x14ac:dyDescent="0.35">
      <c r="A1230">
        <v>2022</v>
      </c>
      <c r="B1230" t="str">
        <f t="shared" si="153"/>
        <v>66</v>
      </c>
      <c r="C1230" t="s">
        <v>436</v>
      </c>
      <c r="D1230" t="s">
        <v>35</v>
      </c>
      <c r="E1230" t="str">
        <f t="shared" si="154"/>
        <v>291</v>
      </c>
      <c r="F1230" t="s">
        <v>441</v>
      </c>
      <c r="G1230" t="str">
        <f>"013"</f>
        <v>013</v>
      </c>
      <c r="H1230" t="str">
        <f t="shared" si="155"/>
        <v>6307</v>
      </c>
      <c r="I1230" s="3">
        <v>2446600</v>
      </c>
      <c r="J1230" s="3">
        <v>74.77</v>
      </c>
      <c r="K1230" s="3">
        <v>3272200</v>
      </c>
      <c r="L1230" s="3">
        <v>0</v>
      </c>
      <c r="M1230" s="3">
        <v>3272200</v>
      </c>
      <c r="N1230" s="3">
        <v>4145100</v>
      </c>
      <c r="O1230" s="3">
        <v>4145100</v>
      </c>
      <c r="P1230" s="3">
        <v>190400</v>
      </c>
      <c r="Q1230" s="3">
        <v>190400</v>
      </c>
      <c r="R1230" s="3">
        <v>1200</v>
      </c>
      <c r="S1230" s="3">
        <v>0</v>
      </c>
      <c r="T1230" s="3">
        <v>0</v>
      </c>
      <c r="U1230" s="3">
        <v>0</v>
      </c>
      <c r="V1230" s="3">
        <v>2011</v>
      </c>
      <c r="W1230" s="3">
        <v>3634200</v>
      </c>
      <c r="X1230" s="3">
        <v>7608900</v>
      </c>
      <c r="Y1230" s="3">
        <v>3974700</v>
      </c>
      <c r="Z1230" s="3">
        <v>5515000</v>
      </c>
      <c r="AA1230" s="3">
        <v>2093900</v>
      </c>
      <c r="AB1230" s="3">
        <v>38</v>
      </c>
    </row>
    <row r="1231" spans="1:28" x14ac:dyDescent="0.35">
      <c r="A1231">
        <v>2022</v>
      </c>
      <c r="B1231" t="str">
        <f t="shared" si="153"/>
        <v>66</v>
      </c>
      <c r="C1231" t="s">
        <v>436</v>
      </c>
      <c r="D1231" t="s">
        <v>35</v>
      </c>
      <c r="E1231" t="str">
        <f t="shared" si="154"/>
        <v>291</v>
      </c>
      <c r="F1231" t="s">
        <v>441</v>
      </c>
      <c r="G1231" t="str">
        <f>"014"</f>
        <v>014</v>
      </c>
      <c r="H1231" t="str">
        <f t="shared" si="155"/>
        <v>6307</v>
      </c>
      <c r="I1231" s="3">
        <v>12926200</v>
      </c>
      <c r="J1231" s="3">
        <v>74.77</v>
      </c>
      <c r="K1231" s="3">
        <v>17287900</v>
      </c>
      <c r="L1231" s="3">
        <v>0</v>
      </c>
      <c r="M1231" s="3">
        <v>17287900</v>
      </c>
      <c r="N1231" s="3">
        <v>0</v>
      </c>
      <c r="O1231" s="3">
        <v>0</v>
      </c>
      <c r="P1231" s="3">
        <v>0</v>
      </c>
      <c r="Q1231" s="3">
        <v>0</v>
      </c>
      <c r="R1231" s="3">
        <v>3500</v>
      </c>
      <c r="S1231" s="3">
        <v>0</v>
      </c>
      <c r="T1231" s="3">
        <v>0</v>
      </c>
      <c r="U1231" s="3">
        <v>0</v>
      </c>
      <c r="V1231" s="3">
        <v>2020</v>
      </c>
      <c r="W1231" s="3">
        <v>21800</v>
      </c>
      <c r="X1231" s="3">
        <v>17291400</v>
      </c>
      <c r="Y1231" s="3">
        <v>17269600</v>
      </c>
      <c r="Z1231" s="3">
        <v>3688600</v>
      </c>
      <c r="AA1231" s="3">
        <v>13602800</v>
      </c>
      <c r="AB1231" s="3">
        <v>369</v>
      </c>
    </row>
    <row r="1232" spans="1:28" x14ac:dyDescent="0.35">
      <c r="A1232">
        <v>2022</v>
      </c>
      <c r="B1232" t="str">
        <f t="shared" si="153"/>
        <v>66</v>
      </c>
      <c r="C1232" t="s">
        <v>436</v>
      </c>
      <c r="D1232" t="s">
        <v>35</v>
      </c>
      <c r="E1232" t="str">
        <f t="shared" si="154"/>
        <v>291</v>
      </c>
      <c r="F1232" t="s">
        <v>441</v>
      </c>
      <c r="G1232" t="str">
        <f>"015"</f>
        <v>015</v>
      </c>
      <c r="H1232" t="str">
        <f t="shared" si="155"/>
        <v>6307</v>
      </c>
      <c r="I1232" s="3">
        <v>3145700</v>
      </c>
      <c r="J1232" s="3">
        <v>74.77</v>
      </c>
      <c r="K1232" s="3">
        <v>4207200</v>
      </c>
      <c r="L1232" s="3">
        <v>0</v>
      </c>
      <c r="M1232" s="3">
        <v>4207200</v>
      </c>
      <c r="N1232" s="3">
        <v>0</v>
      </c>
      <c r="O1232" s="3">
        <v>0</v>
      </c>
      <c r="P1232" s="3">
        <v>0</v>
      </c>
      <c r="Q1232" s="3">
        <v>0</v>
      </c>
      <c r="R1232" s="3">
        <v>0</v>
      </c>
      <c r="S1232" s="3">
        <v>0</v>
      </c>
      <c r="T1232" s="3">
        <v>0</v>
      </c>
      <c r="U1232" s="3">
        <v>0</v>
      </c>
      <c r="V1232" s="3">
        <v>2021</v>
      </c>
      <c r="W1232" s="3">
        <v>2118400</v>
      </c>
      <c r="X1232" s="3">
        <v>4207200</v>
      </c>
      <c r="Y1232" s="3">
        <v>2088800</v>
      </c>
      <c r="Z1232" s="3">
        <v>2118400</v>
      </c>
      <c r="AA1232" s="3">
        <v>2088800</v>
      </c>
      <c r="AB1232" s="3">
        <v>99</v>
      </c>
    </row>
    <row r="1233" spans="1:28" x14ac:dyDescent="0.35">
      <c r="A1233">
        <v>2022</v>
      </c>
      <c r="B1233" t="str">
        <f t="shared" ref="B1233:B1264" si="156">"67"</f>
        <v>67</v>
      </c>
      <c r="C1233" t="s">
        <v>442</v>
      </c>
      <c r="D1233" t="s">
        <v>31</v>
      </c>
      <c r="E1233" t="str">
        <f>"002"</f>
        <v>002</v>
      </c>
      <c r="F1233" t="s">
        <v>443</v>
      </c>
      <c r="G1233" t="str">
        <f>"001A"</f>
        <v>001A</v>
      </c>
      <c r="H1233" t="str">
        <f>"6174"</f>
        <v>6174</v>
      </c>
      <c r="I1233" s="3">
        <v>314161500</v>
      </c>
      <c r="J1233" s="3">
        <v>100</v>
      </c>
      <c r="K1233" s="3">
        <v>314161500</v>
      </c>
      <c r="L1233" s="3">
        <v>0</v>
      </c>
      <c r="M1233" s="3">
        <v>314161500</v>
      </c>
      <c r="N1233" s="3">
        <v>4069500</v>
      </c>
      <c r="O1233" s="3">
        <v>4069500</v>
      </c>
      <c r="P1233" s="3">
        <v>163400</v>
      </c>
      <c r="Q1233" s="3">
        <v>163400</v>
      </c>
      <c r="R1233" s="3">
        <v>2454100</v>
      </c>
      <c r="S1233" s="3">
        <v>0</v>
      </c>
      <c r="T1233" s="3">
        <v>0</v>
      </c>
      <c r="U1233" s="3">
        <v>0</v>
      </c>
      <c r="V1233" s="3">
        <v>2014</v>
      </c>
      <c r="W1233" s="3">
        <v>65986900</v>
      </c>
      <c r="X1233" s="3">
        <v>320848500</v>
      </c>
      <c r="Y1233" s="3">
        <v>254861600</v>
      </c>
      <c r="Z1233" s="3">
        <v>318986500</v>
      </c>
      <c r="AA1233" s="3">
        <v>1862000</v>
      </c>
      <c r="AB1233" s="3">
        <v>1</v>
      </c>
    </row>
    <row r="1234" spans="1:28" x14ac:dyDescent="0.35">
      <c r="A1234">
        <v>2022</v>
      </c>
      <c r="B1234" t="str">
        <f t="shared" si="156"/>
        <v>67</v>
      </c>
      <c r="C1234" t="s">
        <v>442</v>
      </c>
      <c r="D1234" t="s">
        <v>31</v>
      </c>
      <c r="E1234" t="str">
        <f>"010"</f>
        <v>010</v>
      </c>
      <c r="F1234" t="s">
        <v>444</v>
      </c>
      <c r="G1234" t="str">
        <f>"001A"</f>
        <v>001A</v>
      </c>
      <c r="H1234" t="str">
        <f>"2420"</f>
        <v>2420</v>
      </c>
      <c r="I1234" s="3">
        <v>7363900</v>
      </c>
      <c r="J1234" s="3">
        <v>87.17</v>
      </c>
      <c r="K1234" s="3">
        <v>8447700</v>
      </c>
      <c r="L1234" s="3">
        <v>0</v>
      </c>
      <c r="M1234" s="3">
        <v>8447700</v>
      </c>
      <c r="N1234" s="3">
        <v>0</v>
      </c>
      <c r="O1234" s="3">
        <v>0</v>
      </c>
      <c r="P1234" s="3">
        <v>0</v>
      </c>
      <c r="Q1234" s="3">
        <v>0</v>
      </c>
      <c r="R1234" s="3">
        <v>555200</v>
      </c>
      <c r="S1234" s="3">
        <v>0</v>
      </c>
      <c r="T1234" s="3">
        <v>0</v>
      </c>
      <c r="U1234" s="3">
        <v>0</v>
      </c>
      <c r="V1234" s="3">
        <v>2019</v>
      </c>
      <c r="W1234" s="3">
        <v>899100</v>
      </c>
      <c r="X1234" s="3">
        <v>9002900</v>
      </c>
      <c r="Y1234" s="3">
        <v>8103800</v>
      </c>
      <c r="Z1234" s="3">
        <v>2276500</v>
      </c>
      <c r="AA1234" s="3">
        <v>6726400</v>
      </c>
      <c r="AB1234" s="3">
        <v>295</v>
      </c>
    </row>
    <row r="1235" spans="1:28" x14ac:dyDescent="0.35">
      <c r="A1235">
        <v>2022</v>
      </c>
      <c r="B1235" t="str">
        <f t="shared" si="156"/>
        <v>67</v>
      </c>
      <c r="C1235" t="s">
        <v>442</v>
      </c>
      <c r="D1235" t="s">
        <v>31</v>
      </c>
      <c r="E1235" t="str">
        <f>"022"</f>
        <v>022</v>
      </c>
      <c r="F1235" t="s">
        <v>445</v>
      </c>
      <c r="G1235" t="str">
        <f>"001A"</f>
        <v>001A</v>
      </c>
      <c r="H1235" t="str">
        <f>"4060"</f>
        <v>4060</v>
      </c>
      <c r="I1235" s="3">
        <v>28653700</v>
      </c>
      <c r="J1235" s="3">
        <v>100</v>
      </c>
      <c r="K1235" s="3">
        <v>28653700</v>
      </c>
      <c r="L1235" s="3">
        <v>0</v>
      </c>
      <c r="M1235" s="3">
        <v>28653700</v>
      </c>
      <c r="N1235" s="3">
        <v>0</v>
      </c>
      <c r="O1235" s="3">
        <v>0</v>
      </c>
      <c r="P1235" s="3">
        <v>0</v>
      </c>
      <c r="Q1235" s="3">
        <v>0</v>
      </c>
      <c r="R1235" s="3">
        <v>0</v>
      </c>
      <c r="S1235" s="3">
        <v>0</v>
      </c>
      <c r="T1235" s="3">
        <v>0</v>
      </c>
      <c r="U1235" s="3">
        <v>0</v>
      </c>
      <c r="V1235" s="3">
        <v>2021</v>
      </c>
      <c r="W1235" s="3">
        <v>24417300</v>
      </c>
      <c r="X1235" s="3">
        <v>28653700</v>
      </c>
      <c r="Y1235" s="3">
        <v>4236400</v>
      </c>
      <c r="Z1235" s="3">
        <v>24417300</v>
      </c>
      <c r="AA1235" s="3">
        <v>4236400</v>
      </c>
      <c r="AB1235" s="3">
        <v>17</v>
      </c>
    </row>
    <row r="1236" spans="1:28" x14ac:dyDescent="0.35">
      <c r="A1236">
        <v>2022</v>
      </c>
      <c r="B1236" t="str">
        <f t="shared" si="156"/>
        <v>67</v>
      </c>
      <c r="C1236" t="s">
        <v>442</v>
      </c>
      <c r="D1236" t="s">
        <v>33</v>
      </c>
      <c r="E1236" t="str">
        <f>"106"</f>
        <v>106</v>
      </c>
      <c r="F1236" t="s">
        <v>446</v>
      </c>
      <c r="G1236" t="str">
        <f>"001"</f>
        <v>001</v>
      </c>
      <c r="H1236" t="str">
        <f>"3822"</f>
        <v>3822</v>
      </c>
      <c r="I1236" s="3">
        <v>13140900</v>
      </c>
      <c r="J1236" s="3">
        <v>77.87</v>
      </c>
      <c r="K1236" s="3">
        <v>16875400</v>
      </c>
      <c r="L1236" s="3">
        <v>0</v>
      </c>
      <c r="M1236" s="3">
        <v>16875400</v>
      </c>
      <c r="N1236" s="3">
        <v>0</v>
      </c>
      <c r="O1236" s="3">
        <v>0</v>
      </c>
      <c r="P1236" s="3">
        <v>0</v>
      </c>
      <c r="Q1236" s="3">
        <v>0</v>
      </c>
      <c r="R1236" s="3">
        <v>-16200</v>
      </c>
      <c r="S1236" s="3">
        <v>0</v>
      </c>
      <c r="T1236" s="3">
        <v>0</v>
      </c>
      <c r="U1236" s="3">
        <v>0</v>
      </c>
      <c r="V1236" s="3">
        <v>2013</v>
      </c>
      <c r="W1236" s="3">
        <v>14680600</v>
      </c>
      <c r="X1236" s="3">
        <v>16859200</v>
      </c>
      <c r="Y1236" s="3">
        <v>2178600</v>
      </c>
      <c r="Z1236" s="3">
        <v>15433600</v>
      </c>
      <c r="AA1236" s="3">
        <v>1425600</v>
      </c>
      <c r="AB1236" s="3">
        <v>9</v>
      </c>
    </row>
    <row r="1237" spans="1:28" x14ac:dyDescent="0.35">
      <c r="A1237">
        <v>2022</v>
      </c>
      <c r="B1237" t="str">
        <f t="shared" si="156"/>
        <v>67</v>
      </c>
      <c r="C1237" t="s">
        <v>442</v>
      </c>
      <c r="D1237" t="s">
        <v>33</v>
      </c>
      <c r="E1237" t="str">
        <f>"122"</f>
        <v>122</v>
      </c>
      <c r="F1237" t="s">
        <v>447</v>
      </c>
      <c r="G1237" t="str">
        <f>"002"</f>
        <v>002</v>
      </c>
      <c r="H1237" t="str">
        <f>"0714"</f>
        <v>0714</v>
      </c>
      <c r="I1237" s="3">
        <v>92841000</v>
      </c>
      <c r="J1237" s="3">
        <v>100</v>
      </c>
      <c r="K1237" s="3">
        <v>92841000</v>
      </c>
      <c r="L1237" s="3">
        <v>75949500</v>
      </c>
      <c r="M1237" s="3">
        <v>75949500</v>
      </c>
      <c r="N1237" s="3">
        <v>0</v>
      </c>
      <c r="O1237" s="3">
        <v>0</v>
      </c>
      <c r="P1237" s="3">
        <v>0</v>
      </c>
      <c r="Q1237" s="3">
        <v>0</v>
      </c>
      <c r="R1237" s="3">
        <v>90500</v>
      </c>
      <c r="S1237" s="3">
        <v>0</v>
      </c>
      <c r="T1237" s="3">
        <v>0</v>
      </c>
      <c r="U1237" s="3">
        <v>0</v>
      </c>
      <c r="V1237" s="3">
        <v>2004</v>
      </c>
      <c r="W1237" s="3">
        <v>33435800</v>
      </c>
      <c r="X1237" s="3">
        <v>76040000</v>
      </c>
      <c r="Y1237" s="3">
        <v>42604200</v>
      </c>
      <c r="Z1237" s="3">
        <v>70421300</v>
      </c>
      <c r="AA1237" s="3">
        <v>5618700</v>
      </c>
      <c r="AB1237" s="3">
        <v>8</v>
      </c>
    </row>
    <row r="1238" spans="1:28" x14ac:dyDescent="0.35">
      <c r="A1238">
        <v>2022</v>
      </c>
      <c r="B1238" t="str">
        <f t="shared" si="156"/>
        <v>67</v>
      </c>
      <c r="C1238" t="s">
        <v>442</v>
      </c>
      <c r="D1238" t="s">
        <v>33</v>
      </c>
      <c r="E1238" t="str">
        <f>"136"</f>
        <v>136</v>
      </c>
      <c r="F1238" t="s">
        <v>448</v>
      </c>
      <c r="G1238" t="str">
        <f>"004"</f>
        <v>004</v>
      </c>
      <c r="H1238" t="str">
        <f>"2460"</f>
        <v>2460</v>
      </c>
      <c r="I1238" s="3">
        <v>2522500</v>
      </c>
      <c r="J1238" s="3">
        <v>84.15</v>
      </c>
      <c r="K1238" s="3">
        <v>2997600</v>
      </c>
      <c r="L1238" s="3">
        <v>0</v>
      </c>
      <c r="M1238" s="3">
        <v>2997600</v>
      </c>
      <c r="N1238" s="3">
        <v>0</v>
      </c>
      <c r="O1238" s="3">
        <v>0</v>
      </c>
      <c r="P1238" s="3">
        <v>0</v>
      </c>
      <c r="Q1238" s="3">
        <v>0</v>
      </c>
      <c r="R1238" s="3">
        <v>-2400</v>
      </c>
      <c r="S1238" s="3">
        <v>0</v>
      </c>
      <c r="T1238" s="3">
        <v>0</v>
      </c>
      <c r="U1238" s="3">
        <v>0</v>
      </c>
      <c r="V1238" s="3">
        <v>2008</v>
      </c>
      <c r="W1238" s="3">
        <v>1018300</v>
      </c>
      <c r="X1238" s="3">
        <v>2995200</v>
      </c>
      <c r="Y1238" s="3">
        <v>1976900</v>
      </c>
      <c r="Z1238" s="3">
        <v>2736300</v>
      </c>
      <c r="AA1238" s="3">
        <v>258900</v>
      </c>
      <c r="AB1238" s="3">
        <v>9</v>
      </c>
    </row>
    <row r="1239" spans="1:28" x14ac:dyDescent="0.35">
      <c r="A1239">
        <v>2022</v>
      </c>
      <c r="B1239" t="str">
        <f t="shared" si="156"/>
        <v>67</v>
      </c>
      <c r="C1239" t="s">
        <v>442</v>
      </c>
      <c r="D1239" t="s">
        <v>33</v>
      </c>
      <c r="E1239" t="str">
        <f>"136"</f>
        <v>136</v>
      </c>
      <c r="F1239" t="s">
        <v>448</v>
      </c>
      <c r="G1239" t="str">
        <f>"005"</f>
        <v>005</v>
      </c>
      <c r="H1239" t="str">
        <f>"3862"</f>
        <v>3862</v>
      </c>
      <c r="I1239" s="3">
        <v>1491000</v>
      </c>
      <c r="J1239" s="3">
        <v>84.15</v>
      </c>
      <c r="K1239" s="3">
        <v>1771800</v>
      </c>
      <c r="L1239" s="3">
        <v>0</v>
      </c>
      <c r="M1239" s="3">
        <v>1771800</v>
      </c>
      <c r="N1239" s="3">
        <v>0</v>
      </c>
      <c r="O1239" s="3">
        <v>0</v>
      </c>
      <c r="P1239" s="3">
        <v>0</v>
      </c>
      <c r="Q1239" s="3">
        <v>0</v>
      </c>
      <c r="R1239" s="3">
        <v>-1400</v>
      </c>
      <c r="S1239" s="3">
        <v>0</v>
      </c>
      <c r="T1239" s="3">
        <v>0</v>
      </c>
      <c r="U1239" s="3">
        <v>0</v>
      </c>
      <c r="V1239" s="3">
        <v>2011</v>
      </c>
      <c r="W1239" s="3">
        <v>353800</v>
      </c>
      <c r="X1239" s="3">
        <v>1770400</v>
      </c>
      <c r="Y1239" s="3">
        <v>1416600</v>
      </c>
      <c r="Z1239" s="3">
        <v>1621600</v>
      </c>
      <c r="AA1239" s="3">
        <v>148800</v>
      </c>
      <c r="AB1239" s="3">
        <v>9</v>
      </c>
    </row>
    <row r="1240" spans="1:28" x14ac:dyDescent="0.35">
      <c r="A1240">
        <v>2022</v>
      </c>
      <c r="B1240" t="str">
        <f t="shared" si="156"/>
        <v>67</v>
      </c>
      <c r="C1240" t="s">
        <v>442</v>
      </c>
      <c r="D1240" t="s">
        <v>33</v>
      </c>
      <c r="E1240" t="str">
        <f>"136"</f>
        <v>136</v>
      </c>
      <c r="F1240" t="s">
        <v>448</v>
      </c>
      <c r="G1240" t="str">
        <f>"006"</f>
        <v>006</v>
      </c>
      <c r="H1240" t="str">
        <f>"2460"</f>
        <v>2460</v>
      </c>
      <c r="I1240" s="3">
        <v>12825400</v>
      </c>
      <c r="J1240" s="3">
        <v>84.15</v>
      </c>
      <c r="K1240" s="3">
        <v>15241100</v>
      </c>
      <c r="L1240" s="3">
        <v>0</v>
      </c>
      <c r="M1240" s="3">
        <v>15241100</v>
      </c>
      <c r="N1240" s="3">
        <v>0</v>
      </c>
      <c r="O1240" s="3">
        <v>0</v>
      </c>
      <c r="P1240" s="3">
        <v>0</v>
      </c>
      <c r="Q1240" s="3">
        <v>0</v>
      </c>
      <c r="R1240" s="3">
        <v>-235600</v>
      </c>
      <c r="S1240" s="3">
        <v>0</v>
      </c>
      <c r="T1240" s="3">
        <v>0</v>
      </c>
      <c r="U1240" s="3">
        <v>0</v>
      </c>
      <c r="V1240" s="3">
        <v>2015</v>
      </c>
      <c r="W1240" s="3">
        <v>1330300</v>
      </c>
      <c r="X1240" s="3">
        <v>15005500</v>
      </c>
      <c r="Y1240" s="3">
        <v>13675200</v>
      </c>
      <c r="Z1240" s="3">
        <v>14027300</v>
      </c>
      <c r="AA1240" s="3">
        <v>978200</v>
      </c>
      <c r="AB1240" s="3">
        <v>7</v>
      </c>
    </row>
    <row r="1241" spans="1:28" x14ac:dyDescent="0.35">
      <c r="A1241">
        <v>2022</v>
      </c>
      <c r="B1241" t="str">
        <f t="shared" si="156"/>
        <v>67</v>
      </c>
      <c r="C1241" t="s">
        <v>442</v>
      </c>
      <c r="D1241" t="s">
        <v>33</v>
      </c>
      <c r="E1241" t="str">
        <f>"147"</f>
        <v>147</v>
      </c>
      <c r="F1241" t="s">
        <v>449</v>
      </c>
      <c r="G1241" t="str">
        <f>"001"</f>
        <v>001</v>
      </c>
      <c r="H1241" t="str">
        <f>"2420"</f>
        <v>2420</v>
      </c>
      <c r="I1241" s="3">
        <v>45955200</v>
      </c>
      <c r="J1241" s="3">
        <v>83.11</v>
      </c>
      <c r="K1241" s="3">
        <v>55294400</v>
      </c>
      <c r="L1241" s="3">
        <v>0</v>
      </c>
      <c r="M1241" s="3">
        <v>55294400</v>
      </c>
      <c r="N1241" s="3">
        <v>1781100</v>
      </c>
      <c r="O1241" s="3">
        <v>1781100</v>
      </c>
      <c r="P1241" s="3">
        <v>14300</v>
      </c>
      <c r="Q1241" s="3">
        <v>14300</v>
      </c>
      <c r="R1241" s="3">
        <v>0</v>
      </c>
      <c r="S1241" s="3">
        <v>0</v>
      </c>
      <c r="T1241" s="3">
        <v>0</v>
      </c>
      <c r="U1241" s="3">
        <v>0</v>
      </c>
      <c r="V1241" s="3">
        <v>2018</v>
      </c>
      <c r="W1241" s="3">
        <v>6844000</v>
      </c>
      <c r="X1241" s="3">
        <v>57089800</v>
      </c>
      <c r="Y1241" s="3">
        <v>50245800</v>
      </c>
      <c r="Z1241" s="3">
        <v>0</v>
      </c>
      <c r="AA1241" s="3">
        <v>57089800</v>
      </c>
      <c r="AB1241" s="3" t="s">
        <v>450</v>
      </c>
    </row>
    <row r="1242" spans="1:28" x14ac:dyDescent="0.35">
      <c r="A1242">
        <v>2022</v>
      </c>
      <c r="B1242" t="str">
        <f t="shared" si="156"/>
        <v>67</v>
      </c>
      <c r="C1242" t="s">
        <v>442</v>
      </c>
      <c r="D1242" t="s">
        <v>33</v>
      </c>
      <c r="E1242" t="str">
        <f>"147"</f>
        <v>147</v>
      </c>
      <c r="F1242" t="s">
        <v>449</v>
      </c>
      <c r="G1242" t="str">
        <f>"001"</f>
        <v>001</v>
      </c>
      <c r="H1242" t="str">
        <f>"3437"</f>
        <v>3437</v>
      </c>
      <c r="I1242" s="3">
        <v>905700</v>
      </c>
      <c r="J1242" s="3">
        <v>83.11</v>
      </c>
      <c r="K1242" s="3">
        <v>1089800</v>
      </c>
      <c r="L1242" s="3">
        <v>0</v>
      </c>
      <c r="M1242" s="3">
        <v>1089800</v>
      </c>
      <c r="N1242" s="3">
        <v>0</v>
      </c>
      <c r="O1242" s="3">
        <v>0</v>
      </c>
      <c r="P1242" s="3">
        <v>0</v>
      </c>
      <c r="Q1242" s="3">
        <v>0</v>
      </c>
      <c r="R1242" s="3">
        <v>-99500</v>
      </c>
      <c r="S1242" s="3">
        <v>0</v>
      </c>
      <c r="T1242" s="3">
        <v>0</v>
      </c>
      <c r="U1242" s="3">
        <v>0</v>
      </c>
      <c r="V1242" s="3">
        <v>2018</v>
      </c>
      <c r="W1242" s="3">
        <v>809200</v>
      </c>
      <c r="X1242" s="3">
        <v>990300</v>
      </c>
      <c r="Y1242" s="3">
        <v>181100</v>
      </c>
      <c r="Z1242" s="3">
        <v>21981600</v>
      </c>
      <c r="AA1242" s="3">
        <v>-20991300</v>
      </c>
      <c r="AB1242" s="3">
        <v>-95</v>
      </c>
    </row>
    <row r="1243" spans="1:28" x14ac:dyDescent="0.35">
      <c r="A1243">
        <v>2022</v>
      </c>
      <c r="B1243" t="str">
        <f t="shared" si="156"/>
        <v>67</v>
      </c>
      <c r="C1243" t="s">
        <v>442</v>
      </c>
      <c r="D1243" t="s">
        <v>33</v>
      </c>
      <c r="E1243" t="str">
        <f>"147"</f>
        <v>147</v>
      </c>
      <c r="F1243" t="s">
        <v>449</v>
      </c>
      <c r="G1243" t="str">
        <f>"002"</f>
        <v>002</v>
      </c>
      <c r="H1243" t="str">
        <f>"2420"</f>
        <v>2420</v>
      </c>
      <c r="I1243" s="3">
        <v>12070800</v>
      </c>
      <c r="J1243" s="3">
        <v>83.11</v>
      </c>
      <c r="K1243" s="3">
        <v>14523900</v>
      </c>
      <c r="L1243" s="3">
        <v>0</v>
      </c>
      <c r="M1243" s="3">
        <v>14523900</v>
      </c>
      <c r="N1243" s="3">
        <v>4702700</v>
      </c>
      <c r="O1243" s="3">
        <v>4702700</v>
      </c>
      <c r="P1243" s="3">
        <v>343500</v>
      </c>
      <c r="Q1243" s="3">
        <v>343500</v>
      </c>
      <c r="R1243" s="3">
        <v>-41300</v>
      </c>
      <c r="S1243" s="3">
        <v>0</v>
      </c>
      <c r="T1243" s="3">
        <v>0</v>
      </c>
      <c r="U1243" s="3">
        <v>0</v>
      </c>
      <c r="V1243" s="3">
        <v>2018</v>
      </c>
      <c r="W1243" s="3">
        <v>9756600</v>
      </c>
      <c r="X1243" s="3">
        <v>19528800</v>
      </c>
      <c r="Y1243" s="3">
        <v>9772200</v>
      </c>
      <c r="Z1243" s="3">
        <v>13658900</v>
      </c>
      <c r="AA1243" s="3">
        <v>5869900</v>
      </c>
      <c r="AB1243" s="3">
        <v>43</v>
      </c>
    </row>
    <row r="1244" spans="1:28" x14ac:dyDescent="0.35">
      <c r="A1244">
        <v>2022</v>
      </c>
      <c r="B1244" t="str">
        <f t="shared" si="156"/>
        <v>67</v>
      </c>
      <c r="C1244" t="s">
        <v>442</v>
      </c>
      <c r="D1244" t="s">
        <v>33</v>
      </c>
      <c r="E1244" t="str">
        <f t="shared" ref="E1244:E1252" si="157">"151"</f>
        <v>151</v>
      </c>
      <c r="F1244" t="s">
        <v>451</v>
      </c>
      <c r="G1244" t="str">
        <f>"006"</f>
        <v>006</v>
      </c>
      <c r="H1244" t="str">
        <f t="shared" ref="H1244:H1252" si="158">"3437"</f>
        <v>3437</v>
      </c>
      <c r="I1244" s="3">
        <v>65122600</v>
      </c>
      <c r="J1244" s="3">
        <v>74.06</v>
      </c>
      <c r="K1244" s="3">
        <v>87932200</v>
      </c>
      <c r="L1244" s="3">
        <v>0</v>
      </c>
      <c r="M1244" s="3">
        <v>87932200</v>
      </c>
      <c r="N1244" s="3">
        <v>7368900</v>
      </c>
      <c r="O1244" s="3">
        <v>7368900</v>
      </c>
      <c r="P1244" s="3">
        <v>397300</v>
      </c>
      <c r="Q1244" s="3">
        <v>397300</v>
      </c>
      <c r="R1244" s="3">
        <v>50100</v>
      </c>
      <c r="S1244" s="3">
        <v>0</v>
      </c>
      <c r="T1244" s="3">
        <v>0</v>
      </c>
      <c r="U1244" s="3">
        <v>0</v>
      </c>
      <c r="V1244" s="3">
        <v>2006</v>
      </c>
      <c r="W1244" s="3">
        <v>47828000</v>
      </c>
      <c r="X1244" s="3">
        <v>95748500</v>
      </c>
      <c r="Y1244" s="3">
        <v>47920500</v>
      </c>
      <c r="Z1244" s="3">
        <v>76102800</v>
      </c>
      <c r="AA1244" s="3">
        <v>19645700</v>
      </c>
      <c r="AB1244" s="3">
        <v>26</v>
      </c>
    </row>
    <row r="1245" spans="1:28" x14ac:dyDescent="0.35">
      <c r="A1245">
        <v>2022</v>
      </c>
      <c r="B1245" t="str">
        <f t="shared" si="156"/>
        <v>67</v>
      </c>
      <c r="C1245" t="s">
        <v>442</v>
      </c>
      <c r="D1245" t="s">
        <v>33</v>
      </c>
      <c r="E1245" t="str">
        <f t="shared" si="157"/>
        <v>151</v>
      </c>
      <c r="F1245" t="s">
        <v>451</v>
      </c>
      <c r="G1245" t="str">
        <f>"007"</f>
        <v>007</v>
      </c>
      <c r="H1245" t="str">
        <f t="shared" si="158"/>
        <v>3437</v>
      </c>
      <c r="I1245" s="3">
        <v>21617000</v>
      </c>
      <c r="J1245" s="3">
        <v>74.06</v>
      </c>
      <c r="K1245" s="3">
        <v>29188500</v>
      </c>
      <c r="L1245" s="3">
        <v>0</v>
      </c>
      <c r="M1245" s="3">
        <v>29188500</v>
      </c>
      <c r="N1245" s="3">
        <v>3776200</v>
      </c>
      <c r="O1245" s="3">
        <v>3776200</v>
      </c>
      <c r="P1245" s="3">
        <v>130200</v>
      </c>
      <c r="Q1245" s="3">
        <v>130200</v>
      </c>
      <c r="R1245" s="3">
        <v>19000</v>
      </c>
      <c r="S1245" s="3">
        <v>0</v>
      </c>
      <c r="T1245" s="3">
        <v>0</v>
      </c>
      <c r="U1245" s="3">
        <v>0</v>
      </c>
      <c r="V1245" s="3">
        <v>2008</v>
      </c>
      <c r="W1245" s="3">
        <v>1028100</v>
      </c>
      <c r="X1245" s="3">
        <v>33113900</v>
      </c>
      <c r="Y1245" s="3">
        <v>32085800</v>
      </c>
      <c r="Z1245" s="3">
        <v>28741100</v>
      </c>
      <c r="AA1245" s="3">
        <v>4372800</v>
      </c>
      <c r="AB1245" s="3">
        <v>15</v>
      </c>
    </row>
    <row r="1246" spans="1:28" x14ac:dyDescent="0.35">
      <c r="A1246">
        <v>2022</v>
      </c>
      <c r="B1246" t="str">
        <f t="shared" si="156"/>
        <v>67</v>
      </c>
      <c r="C1246" t="s">
        <v>442</v>
      </c>
      <c r="D1246" t="s">
        <v>33</v>
      </c>
      <c r="E1246" t="str">
        <f t="shared" si="157"/>
        <v>151</v>
      </c>
      <c r="F1246" t="s">
        <v>451</v>
      </c>
      <c r="G1246" t="str">
        <f>"008"</f>
        <v>008</v>
      </c>
      <c r="H1246" t="str">
        <f t="shared" si="158"/>
        <v>3437</v>
      </c>
      <c r="I1246" s="3">
        <v>101586600</v>
      </c>
      <c r="J1246" s="3">
        <v>74.06</v>
      </c>
      <c r="K1246" s="3">
        <v>137168000</v>
      </c>
      <c r="L1246" s="3">
        <v>0</v>
      </c>
      <c r="M1246" s="3">
        <v>137168000</v>
      </c>
      <c r="N1246" s="3">
        <v>7313500</v>
      </c>
      <c r="O1246" s="3">
        <v>7313500</v>
      </c>
      <c r="P1246" s="3">
        <v>2450500</v>
      </c>
      <c r="Q1246" s="3">
        <v>2450500</v>
      </c>
      <c r="R1246" s="3">
        <v>87300</v>
      </c>
      <c r="S1246" s="3">
        <v>0</v>
      </c>
      <c r="T1246" s="3">
        <v>0</v>
      </c>
      <c r="U1246" s="3">
        <v>0</v>
      </c>
      <c r="V1246" s="3">
        <v>2008</v>
      </c>
      <c r="W1246" s="3">
        <v>22230900</v>
      </c>
      <c r="X1246" s="3">
        <v>147019300</v>
      </c>
      <c r="Y1246" s="3">
        <v>124788400</v>
      </c>
      <c r="Z1246" s="3">
        <v>120262700</v>
      </c>
      <c r="AA1246" s="3">
        <v>26756600</v>
      </c>
      <c r="AB1246" s="3">
        <v>22</v>
      </c>
    </row>
    <row r="1247" spans="1:28" x14ac:dyDescent="0.35">
      <c r="A1247">
        <v>2022</v>
      </c>
      <c r="B1247" t="str">
        <f t="shared" si="156"/>
        <v>67</v>
      </c>
      <c r="C1247" t="s">
        <v>442</v>
      </c>
      <c r="D1247" t="s">
        <v>33</v>
      </c>
      <c r="E1247" t="str">
        <f t="shared" si="157"/>
        <v>151</v>
      </c>
      <c r="F1247" t="s">
        <v>451</v>
      </c>
      <c r="G1247" t="str">
        <f>"009"</f>
        <v>009</v>
      </c>
      <c r="H1247" t="str">
        <f t="shared" si="158"/>
        <v>3437</v>
      </c>
      <c r="I1247" s="3">
        <v>117197500</v>
      </c>
      <c r="J1247" s="3">
        <v>74.06</v>
      </c>
      <c r="K1247" s="3">
        <v>158246700</v>
      </c>
      <c r="L1247" s="3">
        <v>0</v>
      </c>
      <c r="M1247" s="3">
        <v>158246700</v>
      </c>
      <c r="N1247" s="3">
        <v>316700</v>
      </c>
      <c r="O1247" s="3">
        <v>316700</v>
      </c>
      <c r="P1247" s="3">
        <v>12700</v>
      </c>
      <c r="Q1247" s="3">
        <v>12700</v>
      </c>
      <c r="R1247" s="3">
        <v>102900</v>
      </c>
      <c r="S1247" s="3">
        <v>0</v>
      </c>
      <c r="T1247" s="3">
        <v>0</v>
      </c>
      <c r="U1247" s="3">
        <v>0</v>
      </c>
      <c r="V1247" s="3">
        <v>2010</v>
      </c>
      <c r="W1247" s="3">
        <v>104705400</v>
      </c>
      <c r="X1247" s="3">
        <v>158679000</v>
      </c>
      <c r="Y1247" s="3">
        <v>53973600</v>
      </c>
      <c r="Z1247" s="3">
        <v>142025600</v>
      </c>
      <c r="AA1247" s="3">
        <v>16653400</v>
      </c>
      <c r="AB1247" s="3">
        <v>12</v>
      </c>
    </row>
    <row r="1248" spans="1:28" x14ac:dyDescent="0.35">
      <c r="A1248">
        <v>2022</v>
      </c>
      <c r="B1248" t="str">
        <f t="shared" si="156"/>
        <v>67</v>
      </c>
      <c r="C1248" t="s">
        <v>442</v>
      </c>
      <c r="D1248" t="s">
        <v>33</v>
      </c>
      <c r="E1248" t="str">
        <f t="shared" si="157"/>
        <v>151</v>
      </c>
      <c r="F1248" t="s">
        <v>451</v>
      </c>
      <c r="G1248" t="str">
        <f>"010"</f>
        <v>010</v>
      </c>
      <c r="H1248" t="str">
        <f t="shared" si="158"/>
        <v>3437</v>
      </c>
      <c r="I1248" s="3">
        <v>78222000</v>
      </c>
      <c r="J1248" s="3">
        <v>74.06</v>
      </c>
      <c r="K1248" s="3">
        <v>105619800</v>
      </c>
      <c r="L1248" s="3">
        <v>0</v>
      </c>
      <c r="M1248" s="3">
        <v>105619800</v>
      </c>
      <c r="N1248" s="3">
        <v>0</v>
      </c>
      <c r="O1248" s="3">
        <v>0</v>
      </c>
      <c r="P1248" s="3">
        <v>0</v>
      </c>
      <c r="Q1248" s="3">
        <v>0</v>
      </c>
      <c r="R1248" s="3">
        <v>49600</v>
      </c>
      <c r="S1248" s="3">
        <v>0</v>
      </c>
      <c r="T1248" s="3">
        <v>0</v>
      </c>
      <c r="U1248" s="3">
        <v>2688200</v>
      </c>
      <c r="V1248" s="3">
        <v>2011</v>
      </c>
      <c r="W1248" s="3">
        <v>46196100</v>
      </c>
      <c r="X1248" s="3">
        <v>108357600</v>
      </c>
      <c r="Y1248" s="3">
        <v>62161500</v>
      </c>
      <c r="Z1248" s="3">
        <v>91697000</v>
      </c>
      <c r="AA1248" s="3">
        <v>16660600</v>
      </c>
      <c r="AB1248" s="3">
        <v>18</v>
      </c>
    </row>
    <row r="1249" spans="1:28" x14ac:dyDescent="0.35">
      <c r="A1249">
        <v>2022</v>
      </c>
      <c r="B1249" t="str">
        <f t="shared" si="156"/>
        <v>67</v>
      </c>
      <c r="C1249" t="s">
        <v>442</v>
      </c>
      <c r="D1249" t="s">
        <v>33</v>
      </c>
      <c r="E1249" t="str">
        <f t="shared" si="157"/>
        <v>151</v>
      </c>
      <c r="F1249" t="s">
        <v>451</v>
      </c>
      <c r="G1249" t="str">
        <f>"011"</f>
        <v>011</v>
      </c>
      <c r="H1249" t="str">
        <f t="shared" si="158"/>
        <v>3437</v>
      </c>
      <c r="I1249" s="3">
        <v>143000</v>
      </c>
      <c r="J1249" s="3">
        <v>74.06</v>
      </c>
      <c r="K1249" s="3">
        <v>193100</v>
      </c>
      <c r="L1249" s="3">
        <v>0</v>
      </c>
      <c r="M1249" s="3">
        <v>193100</v>
      </c>
      <c r="N1249" s="3">
        <v>12898500</v>
      </c>
      <c r="O1249" s="3">
        <v>12898500</v>
      </c>
      <c r="P1249" s="3">
        <v>2123100</v>
      </c>
      <c r="Q1249" s="3">
        <v>2123100</v>
      </c>
      <c r="R1249" s="3">
        <v>200</v>
      </c>
      <c r="S1249" s="3">
        <v>0</v>
      </c>
      <c r="T1249" s="3">
        <v>0</v>
      </c>
      <c r="U1249" s="3">
        <v>0</v>
      </c>
      <c r="V1249" s="3">
        <v>2011</v>
      </c>
      <c r="W1249" s="3">
        <v>11953600</v>
      </c>
      <c r="X1249" s="3">
        <v>15214900</v>
      </c>
      <c r="Y1249" s="3">
        <v>3261300</v>
      </c>
      <c r="Z1249" s="3">
        <v>15256500</v>
      </c>
      <c r="AA1249" s="3">
        <v>-41600</v>
      </c>
      <c r="AB1249" s="3">
        <v>0</v>
      </c>
    </row>
    <row r="1250" spans="1:28" x14ac:dyDescent="0.35">
      <c r="A1250">
        <v>2022</v>
      </c>
      <c r="B1250" t="str">
        <f t="shared" si="156"/>
        <v>67</v>
      </c>
      <c r="C1250" t="s">
        <v>442</v>
      </c>
      <c r="D1250" t="s">
        <v>33</v>
      </c>
      <c r="E1250" t="str">
        <f t="shared" si="157"/>
        <v>151</v>
      </c>
      <c r="F1250" t="s">
        <v>451</v>
      </c>
      <c r="G1250" t="str">
        <f>"012"</f>
        <v>012</v>
      </c>
      <c r="H1250" t="str">
        <f t="shared" si="158"/>
        <v>3437</v>
      </c>
      <c r="I1250" s="3">
        <v>30003100</v>
      </c>
      <c r="J1250" s="3">
        <v>74.06</v>
      </c>
      <c r="K1250" s="3">
        <v>40511900</v>
      </c>
      <c r="L1250" s="3">
        <v>0</v>
      </c>
      <c r="M1250" s="3">
        <v>40511900</v>
      </c>
      <c r="N1250" s="3">
        <v>0</v>
      </c>
      <c r="O1250" s="3">
        <v>0</v>
      </c>
      <c r="P1250" s="3">
        <v>0</v>
      </c>
      <c r="Q1250" s="3">
        <v>0</v>
      </c>
      <c r="R1250" s="3">
        <v>26200</v>
      </c>
      <c r="S1250" s="3">
        <v>0</v>
      </c>
      <c r="T1250" s="3">
        <v>0</v>
      </c>
      <c r="U1250" s="3">
        <v>0</v>
      </c>
      <c r="V1250" s="3">
        <v>2014</v>
      </c>
      <c r="W1250" s="3">
        <v>5083400</v>
      </c>
      <c r="X1250" s="3">
        <v>40538100</v>
      </c>
      <c r="Y1250" s="3">
        <v>35454700</v>
      </c>
      <c r="Z1250" s="3">
        <v>35870900</v>
      </c>
      <c r="AA1250" s="3">
        <v>4667200</v>
      </c>
      <c r="AB1250" s="3">
        <v>13</v>
      </c>
    </row>
    <row r="1251" spans="1:28" x14ac:dyDescent="0.35">
      <c r="A1251">
        <v>2022</v>
      </c>
      <c r="B1251" t="str">
        <f t="shared" si="156"/>
        <v>67</v>
      </c>
      <c r="C1251" t="s">
        <v>442</v>
      </c>
      <c r="D1251" t="s">
        <v>33</v>
      </c>
      <c r="E1251" t="str">
        <f t="shared" si="157"/>
        <v>151</v>
      </c>
      <c r="F1251" t="s">
        <v>451</v>
      </c>
      <c r="G1251" t="str">
        <f>"013"</f>
        <v>013</v>
      </c>
      <c r="H1251" t="str">
        <f t="shared" si="158"/>
        <v>3437</v>
      </c>
      <c r="I1251" s="3">
        <v>27967400</v>
      </c>
      <c r="J1251" s="3">
        <v>74.06</v>
      </c>
      <c r="K1251" s="3">
        <v>37763200</v>
      </c>
      <c r="L1251" s="3">
        <v>0</v>
      </c>
      <c r="M1251" s="3">
        <v>37763200</v>
      </c>
      <c r="N1251" s="3">
        <v>0</v>
      </c>
      <c r="O1251" s="3">
        <v>0</v>
      </c>
      <c r="P1251" s="3">
        <v>3024500</v>
      </c>
      <c r="Q1251" s="3">
        <v>3024500</v>
      </c>
      <c r="R1251" s="3">
        <v>24500</v>
      </c>
      <c r="S1251" s="3">
        <v>0</v>
      </c>
      <c r="T1251" s="3">
        <v>0</v>
      </c>
      <c r="U1251" s="3">
        <v>0</v>
      </c>
      <c r="V1251" s="3">
        <v>2019</v>
      </c>
      <c r="W1251" s="3">
        <v>2688200</v>
      </c>
      <c r="X1251" s="3">
        <v>40812200</v>
      </c>
      <c r="Y1251" s="3">
        <v>38124000</v>
      </c>
      <c r="Z1251" s="3">
        <v>33842700</v>
      </c>
      <c r="AA1251" s="3">
        <v>6969500</v>
      </c>
      <c r="AB1251" s="3">
        <v>21</v>
      </c>
    </row>
    <row r="1252" spans="1:28" x14ac:dyDescent="0.35">
      <c r="A1252">
        <v>2022</v>
      </c>
      <c r="B1252" t="str">
        <f t="shared" si="156"/>
        <v>67</v>
      </c>
      <c r="C1252" t="s">
        <v>442</v>
      </c>
      <c r="D1252" t="s">
        <v>33</v>
      </c>
      <c r="E1252" t="str">
        <f t="shared" si="157"/>
        <v>151</v>
      </c>
      <c r="F1252" t="s">
        <v>451</v>
      </c>
      <c r="G1252" t="str">
        <f>"014"</f>
        <v>014</v>
      </c>
      <c r="H1252" t="str">
        <f t="shared" si="158"/>
        <v>3437</v>
      </c>
      <c r="I1252" s="3">
        <v>466200</v>
      </c>
      <c r="J1252" s="3">
        <v>74.06</v>
      </c>
      <c r="K1252" s="3">
        <v>629500</v>
      </c>
      <c r="L1252" s="3">
        <v>0</v>
      </c>
      <c r="M1252" s="3">
        <v>629500</v>
      </c>
      <c r="N1252" s="3">
        <v>14626100</v>
      </c>
      <c r="O1252" s="3">
        <v>14626100</v>
      </c>
      <c r="P1252" s="3">
        <v>1746800</v>
      </c>
      <c r="Q1252" s="3">
        <v>1746800</v>
      </c>
      <c r="R1252" s="3">
        <v>400</v>
      </c>
      <c r="S1252" s="3">
        <v>0</v>
      </c>
      <c r="T1252" s="3">
        <v>0</v>
      </c>
      <c r="U1252" s="3">
        <v>0</v>
      </c>
      <c r="V1252" s="3">
        <v>2019</v>
      </c>
      <c r="W1252" s="3">
        <v>9779500</v>
      </c>
      <c r="X1252" s="3">
        <v>17002800</v>
      </c>
      <c r="Y1252" s="3">
        <v>7223300</v>
      </c>
      <c r="Z1252" s="3">
        <v>15704100</v>
      </c>
      <c r="AA1252" s="3">
        <v>1298700</v>
      </c>
      <c r="AB1252" s="3">
        <v>8</v>
      </c>
    </row>
    <row r="1253" spans="1:28" x14ac:dyDescent="0.35">
      <c r="A1253">
        <v>2022</v>
      </c>
      <c r="B1253" t="str">
        <f t="shared" si="156"/>
        <v>67</v>
      </c>
      <c r="C1253" t="s">
        <v>442</v>
      </c>
      <c r="D1253" t="s">
        <v>33</v>
      </c>
      <c r="E1253" t="str">
        <f>"153"</f>
        <v>153</v>
      </c>
      <c r="F1253" t="s">
        <v>429</v>
      </c>
      <c r="G1253" t="str">
        <f>"003"</f>
        <v>003</v>
      </c>
      <c r="H1253" t="str">
        <f>"3822"</f>
        <v>3822</v>
      </c>
      <c r="I1253" s="3">
        <v>43318500</v>
      </c>
      <c r="J1253" s="3">
        <v>79.27</v>
      </c>
      <c r="K1253" s="3">
        <v>54646800</v>
      </c>
      <c r="L1253" s="3">
        <v>0</v>
      </c>
      <c r="M1253" s="3">
        <v>54646800</v>
      </c>
      <c r="N1253" s="3">
        <v>7802200</v>
      </c>
      <c r="O1253" s="3">
        <v>7802200</v>
      </c>
      <c r="P1253" s="3">
        <v>274000</v>
      </c>
      <c r="Q1253" s="3">
        <v>274000</v>
      </c>
      <c r="R1253" s="3">
        <v>-51100</v>
      </c>
      <c r="S1253" s="3">
        <v>0</v>
      </c>
      <c r="T1253" s="3">
        <v>0</v>
      </c>
      <c r="U1253" s="3">
        <v>0</v>
      </c>
      <c r="V1253" s="3">
        <v>2003</v>
      </c>
      <c r="W1253" s="3">
        <v>2389500</v>
      </c>
      <c r="X1253" s="3">
        <v>62671900</v>
      </c>
      <c r="Y1253" s="3">
        <v>60282400</v>
      </c>
      <c r="Z1253" s="3">
        <v>54210800</v>
      </c>
      <c r="AA1253" s="3">
        <v>8461100</v>
      </c>
      <c r="AB1253" s="3">
        <v>16</v>
      </c>
    </row>
    <row r="1254" spans="1:28" x14ac:dyDescent="0.35">
      <c r="A1254">
        <v>2022</v>
      </c>
      <c r="B1254" t="str">
        <f t="shared" si="156"/>
        <v>67</v>
      </c>
      <c r="C1254" t="s">
        <v>442</v>
      </c>
      <c r="D1254" t="s">
        <v>33</v>
      </c>
      <c r="E1254" t="str">
        <f>"153"</f>
        <v>153</v>
      </c>
      <c r="F1254" t="s">
        <v>429</v>
      </c>
      <c r="G1254" t="str">
        <f>"004"</f>
        <v>004</v>
      </c>
      <c r="H1254" t="str">
        <f>"3822"</f>
        <v>3822</v>
      </c>
      <c r="I1254" s="3">
        <v>23046000</v>
      </c>
      <c r="J1254" s="3">
        <v>79.27</v>
      </c>
      <c r="K1254" s="3">
        <v>29072800</v>
      </c>
      <c r="L1254" s="3">
        <v>0</v>
      </c>
      <c r="M1254" s="3">
        <v>29072800</v>
      </c>
      <c r="N1254" s="3">
        <v>0</v>
      </c>
      <c r="O1254" s="3">
        <v>0</v>
      </c>
      <c r="P1254" s="3">
        <v>0</v>
      </c>
      <c r="Q1254" s="3">
        <v>0</v>
      </c>
      <c r="R1254" s="3">
        <v>1707700</v>
      </c>
      <c r="S1254" s="3">
        <v>0</v>
      </c>
      <c r="T1254" s="3">
        <v>0</v>
      </c>
      <c r="U1254" s="3">
        <v>0</v>
      </c>
      <c r="V1254" s="3">
        <v>2017</v>
      </c>
      <c r="W1254" s="3">
        <v>6368000</v>
      </c>
      <c r="X1254" s="3">
        <v>30780500</v>
      </c>
      <c r="Y1254" s="3">
        <v>24412500</v>
      </c>
      <c r="Z1254" s="3">
        <v>22980200</v>
      </c>
      <c r="AA1254" s="3">
        <v>7800300</v>
      </c>
      <c r="AB1254" s="3">
        <v>34</v>
      </c>
    </row>
    <row r="1255" spans="1:28" x14ac:dyDescent="0.35">
      <c r="A1255">
        <v>2022</v>
      </c>
      <c r="B1255" t="str">
        <f t="shared" si="156"/>
        <v>67</v>
      </c>
      <c r="C1255" t="s">
        <v>442</v>
      </c>
      <c r="D1255" t="s">
        <v>33</v>
      </c>
      <c r="E1255" t="str">
        <f>"171"</f>
        <v>171</v>
      </c>
      <c r="F1255" t="s">
        <v>452</v>
      </c>
      <c r="G1255" t="str">
        <f>"002"</f>
        <v>002</v>
      </c>
      <c r="H1255" t="str">
        <f>"4312"</f>
        <v>4312</v>
      </c>
      <c r="I1255" s="3">
        <v>18461300</v>
      </c>
      <c r="J1255" s="3">
        <v>94</v>
      </c>
      <c r="K1255" s="3">
        <v>19639700</v>
      </c>
      <c r="L1255" s="3">
        <v>0</v>
      </c>
      <c r="M1255" s="3">
        <v>19639700</v>
      </c>
      <c r="N1255" s="3">
        <v>0</v>
      </c>
      <c r="O1255" s="3">
        <v>0</v>
      </c>
      <c r="P1255" s="3">
        <v>0</v>
      </c>
      <c r="Q1255" s="3">
        <v>0</v>
      </c>
      <c r="R1255" s="3">
        <v>1325600</v>
      </c>
      <c r="S1255" s="3">
        <v>0</v>
      </c>
      <c r="T1255" s="3">
        <v>0</v>
      </c>
      <c r="U1255" s="3">
        <v>0</v>
      </c>
      <c r="V1255" s="3">
        <v>2014</v>
      </c>
      <c r="W1255" s="3">
        <v>8659300</v>
      </c>
      <c r="X1255" s="3">
        <v>20965300</v>
      </c>
      <c r="Y1255" s="3">
        <v>12306000</v>
      </c>
      <c r="Z1255" s="3">
        <v>18142000</v>
      </c>
      <c r="AA1255" s="3">
        <v>2823300</v>
      </c>
      <c r="AB1255" s="3">
        <v>16</v>
      </c>
    </row>
    <row r="1256" spans="1:28" x14ac:dyDescent="0.35">
      <c r="A1256">
        <v>2022</v>
      </c>
      <c r="B1256" t="str">
        <f t="shared" si="156"/>
        <v>67</v>
      </c>
      <c r="C1256" t="s">
        <v>442</v>
      </c>
      <c r="D1256" t="s">
        <v>33</v>
      </c>
      <c r="E1256" t="str">
        <f>"171"</f>
        <v>171</v>
      </c>
      <c r="F1256" t="s">
        <v>452</v>
      </c>
      <c r="G1256" t="str">
        <f>"003"</f>
        <v>003</v>
      </c>
      <c r="H1256" t="str">
        <f>"4312"</f>
        <v>4312</v>
      </c>
      <c r="I1256" s="3">
        <v>940000</v>
      </c>
      <c r="J1256" s="3">
        <v>94</v>
      </c>
      <c r="K1256" s="3">
        <v>1000000</v>
      </c>
      <c r="L1256" s="3">
        <v>0</v>
      </c>
      <c r="M1256" s="3">
        <v>1000000</v>
      </c>
      <c r="N1256" s="3">
        <v>0</v>
      </c>
      <c r="O1256" s="3">
        <v>0</v>
      </c>
      <c r="P1256" s="3">
        <v>0</v>
      </c>
      <c r="Q1256" s="3">
        <v>0</v>
      </c>
      <c r="R1256" s="3">
        <v>0</v>
      </c>
      <c r="S1256" s="3">
        <v>0</v>
      </c>
      <c r="T1256" s="3">
        <v>0</v>
      </c>
      <c r="U1256" s="3">
        <v>0</v>
      </c>
      <c r="V1256" s="3">
        <v>2021</v>
      </c>
      <c r="W1256" s="3">
        <v>0</v>
      </c>
      <c r="X1256" s="3">
        <v>1000000</v>
      </c>
      <c r="Y1256" s="3">
        <v>1000000</v>
      </c>
      <c r="Z1256" s="3">
        <v>0</v>
      </c>
      <c r="AA1256" s="3">
        <v>1000000</v>
      </c>
      <c r="AB1256" s="3">
        <v>100</v>
      </c>
    </row>
    <row r="1257" spans="1:28" x14ac:dyDescent="0.35">
      <c r="A1257">
        <v>2022</v>
      </c>
      <c r="B1257" t="str">
        <f t="shared" si="156"/>
        <v>67</v>
      </c>
      <c r="C1257" t="s">
        <v>442</v>
      </c>
      <c r="D1257" t="s">
        <v>33</v>
      </c>
      <c r="E1257" t="str">
        <f>"181"</f>
        <v>181</v>
      </c>
      <c r="F1257" t="s">
        <v>453</v>
      </c>
      <c r="G1257" t="str">
        <f>"006"</f>
        <v>006</v>
      </c>
      <c r="H1257" t="str">
        <f>"2420"</f>
        <v>2420</v>
      </c>
      <c r="I1257" s="3">
        <v>95195100</v>
      </c>
      <c r="J1257" s="3">
        <v>100</v>
      </c>
      <c r="K1257" s="3">
        <v>95195100</v>
      </c>
      <c r="L1257" s="3">
        <v>0</v>
      </c>
      <c r="M1257" s="3">
        <v>95195100</v>
      </c>
      <c r="N1257" s="3">
        <v>0</v>
      </c>
      <c r="O1257" s="3">
        <v>0</v>
      </c>
      <c r="P1257" s="3">
        <v>0</v>
      </c>
      <c r="Q1257" s="3">
        <v>0</v>
      </c>
      <c r="R1257" s="3">
        <v>3548800</v>
      </c>
      <c r="S1257" s="3">
        <v>0</v>
      </c>
      <c r="T1257" s="3">
        <v>0</v>
      </c>
      <c r="U1257" s="3">
        <v>0</v>
      </c>
      <c r="V1257" s="3">
        <v>2013</v>
      </c>
      <c r="W1257" s="3">
        <v>24103600</v>
      </c>
      <c r="X1257" s="3">
        <v>98743900</v>
      </c>
      <c r="Y1257" s="3">
        <v>74640300</v>
      </c>
      <c r="Z1257" s="3">
        <v>73795100</v>
      </c>
      <c r="AA1257" s="3">
        <v>24948800</v>
      </c>
      <c r="AB1257" s="3">
        <v>34</v>
      </c>
    </row>
    <row r="1258" spans="1:28" x14ac:dyDescent="0.35">
      <c r="A1258">
        <v>2022</v>
      </c>
      <c r="B1258" t="str">
        <f t="shared" si="156"/>
        <v>67</v>
      </c>
      <c r="C1258" t="s">
        <v>442</v>
      </c>
      <c r="D1258" t="s">
        <v>33</v>
      </c>
      <c r="E1258" t="str">
        <f>"181"</f>
        <v>181</v>
      </c>
      <c r="F1258" t="s">
        <v>453</v>
      </c>
      <c r="G1258" t="str">
        <f>"007"</f>
        <v>007</v>
      </c>
      <c r="H1258" t="str">
        <f>"3122"</f>
        <v>3122</v>
      </c>
      <c r="I1258" s="3">
        <v>18590200</v>
      </c>
      <c r="J1258" s="3">
        <v>100</v>
      </c>
      <c r="K1258" s="3">
        <v>18590200</v>
      </c>
      <c r="L1258" s="3">
        <v>0</v>
      </c>
      <c r="M1258" s="3">
        <v>18590200</v>
      </c>
      <c r="N1258" s="3">
        <v>0</v>
      </c>
      <c r="O1258" s="3">
        <v>0</v>
      </c>
      <c r="P1258" s="3">
        <v>0</v>
      </c>
      <c r="Q1258" s="3">
        <v>0</v>
      </c>
      <c r="R1258" s="3">
        <v>329400</v>
      </c>
      <c r="S1258" s="3">
        <v>0</v>
      </c>
      <c r="T1258" s="3">
        <v>0</v>
      </c>
      <c r="U1258" s="3">
        <v>0</v>
      </c>
      <c r="V1258" s="3">
        <v>2018</v>
      </c>
      <c r="W1258" s="3">
        <v>327300</v>
      </c>
      <c r="X1258" s="3">
        <v>18919600</v>
      </c>
      <c r="Y1258" s="3">
        <v>18592300</v>
      </c>
      <c r="Z1258" s="3">
        <v>6747100</v>
      </c>
      <c r="AA1258" s="3">
        <v>12172500</v>
      </c>
      <c r="AB1258" s="3">
        <v>180</v>
      </c>
    </row>
    <row r="1259" spans="1:28" x14ac:dyDescent="0.35">
      <c r="A1259">
        <v>2022</v>
      </c>
      <c r="B1259" t="str">
        <f t="shared" si="156"/>
        <v>67</v>
      </c>
      <c r="C1259" t="s">
        <v>442</v>
      </c>
      <c r="D1259" t="s">
        <v>33</v>
      </c>
      <c r="E1259" t="str">
        <f>"186"</f>
        <v>186</v>
      </c>
      <c r="F1259" t="s">
        <v>416</v>
      </c>
      <c r="G1259" t="str">
        <f>"001"</f>
        <v>001</v>
      </c>
      <c r="H1259" t="str">
        <f>"3822"</f>
        <v>3822</v>
      </c>
      <c r="I1259" s="3">
        <v>0</v>
      </c>
      <c r="J1259" s="3">
        <v>80.34</v>
      </c>
      <c r="K1259" s="3">
        <v>0</v>
      </c>
      <c r="L1259" s="3">
        <v>0</v>
      </c>
      <c r="M1259" s="3">
        <v>0</v>
      </c>
      <c r="N1259" s="3">
        <v>0</v>
      </c>
      <c r="O1259" s="3">
        <v>0</v>
      </c>
      <c r="P1259" s="3">
        <v>0</v>
      </c>
      <c r="Q1259" s="3">
        <v>0</v>
      </c>
      <c r="R1259" s="3">
        <v>0</v>
      </c>
      <c r="S1259" s="3">
        <v>0</v>
      </c>
      <c r="T1259" s="3">
        <v>0</v>
      </c>
      <c r="U1259" s="3">
        <v>0</v>
      </c>
      <c r="V1259" s="3">
        <v>2020</v>
      </c>
      <c r="W1259" s="3">
        <v>0</v>
      </c>
      <c r="X1259" s="3">
        <v>0</v>
      </c>
      <c r="Y1259" s="3">
        <v>0</v>
      </c>
      <c r="Z1259" s="3">
        <v>0</v>
      </c>
      <c r="AA1259" s="3">
        <v>0</v>
      </c>
      <c r="AB1259" s="3">
        <v>0</v>
      </c>
    </row>
    <row r="1260" spans="1:28" x14ac:dyDescent="0.35">
      <c r="A1260">
        <v>2022</v>
      </c>
      <c r="B1260" t="str">
        <f t="shared" si="156"/>
        <v>67</v>
      </c>
      <c r="C1260" t="s">
        <v>442</v>
      </c>
      <c r="D1260" t="s">
        <v>33</v>
      </c>
      <c r="E1260" t="str">
        <f>"191"</f>
        <v>191</v>
      </c>
      <c r="F1260" t="s">
        <v>454</v>
      </c>
      <c r="G1260" t="str">
        <f>"001"</f>
        <v>001</v>
      </c>
      <c r="H1260" t="str">
        <f>"1376"</f>
        <v>1376</v>
      </c>
      <c r="I1260" s="3">
        <v>65257000</v>
      </c>
      <c r="J1260" s="3">
        <v>95.45</v>
      </c>
      <c r="K1260" s="3">
        <v>68367700</v>
      </c>
      <c r="L1260" s="3">
        <v>0</v>
      </c>
      <c r="M1260" s="3">
        <v>68367700</v>
      </c>
      <c r="N1260" s="3">
        <v>826500</v>
      </c>
      <c r="O1260" s="3">
        <v>826500</v>
      </c>
      <c r="P1260" s="3">
        <v>28400</v>
      </c>
      <c r="Q1260" s="3">
        <v>28400</v>
      </c>
      <c r="R1260" s="3">
        <v>-1199900</v>
      </c>
      <c r="S1260" s="3">
        <v>0</v>
      </c>
      <c r="T1260" s="3">
        <v>0</v>
      </c>
      <c r="U1260" s="3">
        <v>0</v>
      </c>
      <c r="V1260" s="3">
        <v>2006</v>
      </c>
      <c r="W1260" s="3">
        <v>24568300</v>
      </c>
      <c r="X1260" s="3">
        <v>68022700</v>
      </c>
      <c r="Y1260" s="3">
        <v>43454400</v>
      </c>
      <c r="Z1260" s="3">
        <v>67172900</v>
      </c>
      <c r="AA1260" s="3">
        <v>849800</v>
      </c>
      <c r="AB1260" s="3">
        <v>1</v>
      </c>
    </row>
    <row r="1261" spans="1:28" x14ac:dyDescent="0.35">
      <c r="A1261">
        <v>2022</v>
      </c>
      <c r="B1261" t="str">
        <f t="shared" si="156"/>
        <v>67</v>
      </c>
      <c r="C1261" t="s">
        <v>442</v>
      </c>
      <c r="D1261" t="s">
        <v>33</v>
      </c>
      <c r="E1261" t="str">
        <f>"195"</f>
        <v>195</v>
      </c>
      <c r="F1261" t="s">
        <v>442</v>
      </c>
      <c r="G1261" t="str">
        <f>"001"</f>
        <v>001</v>
      </c>
      <c r="H1261" t="str">
        <f>"6174"</f>
        <v>6174</v>
      </c>
      <c r="I1261" s="3">
        <v>20173200</v>
      </c>
      <c r="J1261" s="3">
        <v>83.55</v>
      </c>
      <c r="K1261" s="3">
        <v>24145100</v>
      </c>
      <c r="L1261" s="3">
        <v>0</v>
      </c>
      <c r="M1261" s="3">
        <v>24145100</v>
      </c>
      <c r="N1261" s="3">
        <v>1126000</v>
      </c>
      <c r="O1261" s="3">
        <v>1126000</v>
      </c>
      <c r="P1261" s="3">
        <v>54600</v>
      </c>
      <c r="Q1261" s="3">
        <v>54600</v>
      </c>
      <c r="R1261" s="3">
        <v>34500</v>
      </c>
      <c r="S1261" s="3">
        <v>0</v>
      </c>
      <c r="T1261" s="3">
        <v>0</v>
      </c>
      <c r="U1261" s="3">
        <v>0</v>
      </c>
      <c r="V1261" s="3">
        <v>2020</v>
      </c>
      <c r="W1261" s="3">
        <v>21785100</v>
      </c>
      <c r="X1261" s="3">
        <v>25360200</v>
      </c>
      <c r="Y1261" s="3">
        <v>3575100</v>
      </c>
      <c r="Z1261" s="3">
        <v>22581200</v>
      </c>
      <c r="AA1261" s="3">
        <v>2779000</v>
      </c>
      <c r="AB1261" s="3">
        <v>12</v>
      </c>
    </row>
    <row r="1262" spans="1:28" x14ac:dyDescent="0.35">
      <c r="A1262">
        <v>2022</v>
      </c>
      <c r="B1262" t="str">
        <f t="shared" si="156"/>
        <v>67</v>
      </c>
      <c r="C1262" t="s">
        <v>442</v>
      </c>
      <c r="D1262" t="s">
        <v>35</v>
      </c>
      <c r="E1262" t="str">
        <f>"206"</f>
        <v>206</v>
      </c>
      <c r="F1262" t="s">
        <v>443</v>
      </c>
      <c r="G1262" t="str">
        <f>"004"</f>
        <v>004</v>
      </c>
      <c r="H1262" t="str">
        <f>"0714"</f>
        <v>0714</v>
      </c>
      <c r="I1262" s="3">
        <v>1932000</v>
      </c>
      <c r="J1262" s="3">
        <v>84.73</v>
      </c>
      <c r="K1262" s="3">
        <v>2280200</v>
      </c>
      <c r="L1262" s="3">
        <v>0</v>
      </c>
      <c r="M1262" s="3">
        <v>2280200</v>
      </c>
      <c r="N1262" s="3">
        <v>0</v>
      </c>
      <c r="O1262" s="3">
        <v>0</v>
      </c>
      <c r="P1262" s="3">
        <v>0</v>
      </c>
      <c r="Q1262" s="3">
        <v>0</v>
      </c>
      <c r="R1262" s="3">
        <v>6500</v>
      </c>
      <c r="S1262" s="3">
        <v>0</v>
      </c>
      <c r="T1262" s="3">
        <v>0</v>
      </c>
      <c r="U1262" s="3">
        <v>0</v>
      </c>
      <c r="V1262" s="3">
        <v>2015</v>
      </c>
      <c r="W1262" s="3">
        <v>158800</v>
      </c>
      <c r="X1262" s="3">
        <v>2286700</v>
      </c>
      <c r="Y1262" s="3">
        <v>2127900</v>
      </c>
      <c r="Z1262" s="3">
        <v>2095500</v>
      </c>
      <c r="AA1262" s="3">
        <v>191200</v>
      </c>
      <c r="AB1262" s="3">
        <v>9</v>
      </c>
    </row>
    <row r="1263" spans="1:28" x14ac:dyDescent="0.35">
      <c r="A1263">
        <v>2022</v>
      </c>
      <c r="B1263" t="str">
        <f t="shared" si="156"/>
        <v>67</v>
      </c>
      <c r="C1263" t="s">
        <v>442</v>
      </c>
      <c r="D1263" t="s">
        <v>35</v>
      </c>
      <c r="E1263" t="str">
        <f>"206"</f>
        <v>206</v>
      </c>
      <c r="F1263" t="s">
        <v>443</v>
      </c>
      <c r="G1263" t="str">
        <f>"005"</f>
        <v>005</v>
      </c>
      <c r="H1263" t="str">
        <f>"0714"</f>
        <v>0714</v>
      </c>
      <c r="I1263" s="3">
        <v>130833400</v>
      </c>
      <c r="J1263" s="3">
        <v>84.73</v>
      </c>
      <c r="K1263" s="3">
        <v>154412100</v>
      </c>
      <c r="L1263" s="3">
        <v>0</v>
      </c>
      <c r="M1263" s="3">
        <v>154412100</v>
      </c>
      <c r="N1263" s="3">
        <v>0</v>
      </c>
      <c r="O1263" s="3">
        <v>0</v>
      </c>
      <c r="P1263" s="3">
        <v>0</v>
      </c>
      <c r="Q1263" s="3">
        <v>0</v>
      </c>
      <c r="R1263" s="3">
        <v>363900</v>
      </c>
      <c r="S1263" s="3">
        <v>0</v>
      </c>
      <c r="T1263" s="3">
        <v>0</v>
      </c>
      <c r="U1263" s="3">
        <v>0</v>
      </c>
      <c r="V1263" s="3">
        <v>2015</v>
      </c>
      <c r="W1263" s="3">
        <v>1407000</v>
      </c>
      <c r="X1263" s="3">
        <v>154776000</v>
      </c>
      <c r="Y1263" s="3">
        <v>153369000</v>
      </c>
      <c r="Z1263" s="3">
        <v>130663800</v>
      </c>
      <c r="AA1263" s="3">
        <v>24112200</v>
      </c>
      <c r="AB1263" s="3">
        <v>18</v>
      </c>
    </row>
    <row r="1264" spans="1:28" x14ac:dyDescent="0.35">
      <c r="A1264">
        <v>2022</v>
      </c>
      <c r="B1264" t="str">
        <f t="shared" si="156"/>
        <v>67</v>
      </c>
      <c r="C1264" t="s">
        <v>442</v>
      </c>
      <c r="D1264" t="s">
        <v>35</v>
      </c>
      <c r="E1264" t="str">
        <f>"206"</f>
        <v>206</v>
      </c>
      <c r="F1264" t="s">
        <v>443</v>
      </c>
      <c r="G1264" t="str">
        <f>"006"</f>
        <v>006</v>
      </c>
      <c r="H1264" t="str">
        <f>"0714"</f>
        <v>0714</v>
      </c>
      <c r="I1264" s="3">
        <v>43453200</v>
      </c>
      <c r="J1264" s="3">
        <v>84.73</v>
      </c>
      <c r="K1264" s="3">
        <v>51284300</v>
      </c>
      <c r="L1264" s="3">
        <v>0</v>
      </c>
      <c r="M1264" s="3">
        <v>51284300</v>
      </c>
      <c r="N1264" s="3">
        <v>0</v>
      </c>
      <c r="O1264" s="3">
        <v>0</v>
      </c>
      <c r="P1264" s="3">
        <v>0</v>
      </c>
      <c r="Q1264" s="3">
        <v>0</v>
      </c>
      <c r="R1264" s="3">
        <v>145900</v>
      </c>
      <c r="S1264" s="3">
        <v>0</v>
      </c>
      <c r="T1264" s="3">
        <v>0</v>
      </c>
      <c r="U1264" s="3">
        <v>660600</v>
      </c>
      <c r="V1264" s="3">
        <v>2016</v>
      </c>
      <c r="W1264" s="3">
        <v>15792400</v>
      </c>
      <c r="X1264" s="3">
        <v>52090800</v>
      </c>
      <c r="Y1264" s="3">
        <v>36298400</v>
      </c>
      <c r="Z1264" s="3">
        <v>47292600</v>
      </c>
      <c r="AA1264" s="3">
        <v>4798200</v>
      </c>
      <c r="AB1264" s="3">
        <v>10</v>
      </c>
    </row>
    <row r="1265" spans="1:28" x14ac:dyDescent="0.35">
      <c r="A1265">
        <v>2022</v>
      </c>
      <c r="B1265" t="str">
        <f t="shared" ref="B1265:B1292" si="159">"67"</f>
        <v>67</v>
      </c>
      <c r="C1265" t="s">
        <v>442</v>
      </c>
      <c r="D1265" t="s">
        <v>35</v>
      </c>
      <c r="E1265" t="str">
        <f>"206"</f>
        <v>206</v>
      </c>
      <c r="F1265" t="s">
        <v>443</v>
      </c>
      <c r="G1265" t="str">
        <f>"007"</f>
        <v>007</v>
      </c>
      <c r="H1265" t="str">
        <f>"0714"</f>
        <v>0714</v>
      </c>
      <c r="I1265" s="3">
        <v>21259700</v>
      </c>
      <c r="J1265" s="3">
        <v>84.73</v>
      </c>
      <c r="K1265" s="3">
        <v>25091100</v>
      </c>
      <c r="L1265" s="3">
        <v>0</v>
      </c>
      <c r="M1265" s="3">
        <v>25091100</v>
      </c>
      <c r="N1265" s="3">
        <v>0</v>
      </c>
      <c r="O1265" s="3">
        <v>0</v>
      </c>
      <c r="P1265" s="3">
        <v>0</v>
      </c>
      <c r="Q1265" s="3">
        <v>0</v>
      </c>
      <c r="R1265" s="3">
        <v>72900</v>
      </c>
      <c r="S1265" s="3">
        <v>0</v>
      </c>
      <c r="T1265" s="3">
        <v>0</v>
      </c>
      <c r="U1265" s="3">
        <v>0</v>
      </c>
      <c r="V1265" s="3">
        <v>2018</v>
      </c>
      <c r="W1265" s="3">
        <v>660600</v>
      </c>
      <c r="X1265" s="3">
        <v>25164000</v>
      </c>
      <c r="Y1265" s="3">
        <v>24503400</v>
      </c>
      <c r="Z1265" s="3">
        <v>23302100</v>
      </c>
      <c r="AA1265" s="3">
        <v>1861900</v>
      </c>
      <c r="AB1265" s="3">
        <v>8</v>
      </c>
    </row>
    <row r="1266" spans="1:28" x14ac:dyDescent="0.35">
      <c r="A1266">
        <v>2022</v>
      </c>
      <c r="B1266" t="str">
        <f t="shared" si="159"/>
        <v>67</v>
      </c>
      <c r="C1266" t="s">
        <v>442</v>
      </c>
      <c r="D1266" t="s">
        <v>35</v>
      </c>
      <c r="E1266" t="str">
        <f>"206"</f>
        <v>206</v>
      </c>
      <c r="F1266" t="s">
        <v>443</v>
      </c>
      <c r="G1266" t="str">
        <f>"008"</f>
        <v>008</v>
      </c>
      <c r="H1266" t="str">
        <f>"0714"</f>
        <v>0714</v>
      </c>
      <c r="I1266" s="3">
        <v>65629300</v>
      </c>
      <c r="J1266" s="3">
        <v>84.73</v>
      </c>
      <c r="K1266" s="3">
        <v>77457000</v>
      </c>
      <c r="L1266" s="3">
        <v>0</v>
      </c>
      <c r="M1266" s="3">
        <v>77457000</v>
      </c>
      <c r="N1266" s="3">
        <v>0</v>
      </c>
      <c r="O1266" s="3">
        <v>0</v>
      </c>
      <c r="P1266" s="3">
        <v>0</v>
      </c>
      <c r="Q1266" s="3">
        <v>0</v>
      </c>
      <c r="R1266" s="3">
        <v>209600</v>
      </c>
      <c r="S1266" s="3">
        <v>0</v>
      </c>
      <c r="T1266" s="3">
        <v>0</v>
      </c>
      <c r="U1266" s="3">
        <v>0</v>
      </c>
      <c r="V1266" s="3">
        <v>2018</v>
      </c>
      <c r="W1266" s="3">
        <v>26528200</v>
      </c>
      <c r="X1266" s="3">
        <v>77666600</v>
      </c>
      <c r="Y1266" s="3">
        <v>51138400</v>
      </c>
      <c r="Z1266" s="3">
        <v>66584200</v>
      </c>
      <c r="AA1266" s="3">
        <v>11082400</v>
      </c>
      <c r="AB1266" s="3">
        <v>17</v>
      </c>
    </row>
    <row r="1267" spans="1:28" x14ac:dyDescent="0.35">
      <c r="A1267">
        <v>2022</v>
      </c>
      <c r="B1267" t="str">
        <f t="shared" si="159"/>
        <v>67</v>
      </c>
      <c r="C1267" t="s">
        <v>442</v>
      </c>
      <c r="D1267" t="s">
        <v>35</v>
      </c>
      <c r="E1267" t="str">
        <f>"216"</f>
        <v>216</v>
      </c>
      <c r="F1267" t="s">
        <v>455</v>
      </c>
      <c r="G1267" t="str">
        <f>"004"</f>
        <v>004</v>
      </c>
      <c r="H1267" t="str">
        <f>"1376"</f>
        <v>1376</v>
      </c>
      <c r="I1267" s="3">
        <v>14582300</v>
      </c>
      <c r="J1267" s="3">
        <v>100</v>
      </c>
      <c r="K1267" s="3">
        <v>14582300</v>
      </c>
      <c r="L1267" s="3">
        <v>0</v>
      </c>
      <c r="M1267" s="3">
        <v>14582300</v>
      </c>
      <c r="N1267" s="3">
        <v>0</v>
      </c>
      <c r="O1267" s="3">
        <v>0</v>
      </c>
      <c r="P1267" s="3">
        <v>0</v>
      </c>
      <c r="Q1267" s="3">
        <v>0</v>
      </c>
      <c r="R1267" s="3">
        <v>-18100</v>
      </c>
      <c r="S1267" s="3">
        <v>0</v>
      </c>
      <c r="T1267" s="3">
        <v>0</v>
      </c>
      <c r="U1267" s="3">
        <v>0</v>
      </c>
      <c r="V1267" s="3">
        <v>2012</v>
      </c>
      <c r="W1267" s="3">
        <v>8097000</v>
      </c>
      <c r="X1267" s="3">
        <v>14564200</v>
      </c>
      <c r="Y1267" s="3">
        <v>6467200</v>
      </c>
      <c r="Z1267" s="3">
        <v>16343100</v>
      </c>
      <c r="AA1267" s="3">
        <v>-1778900</v>
      </c>
      <c r="AB1267" s="3">
        <v>-11</v>
      </c>
    </row>
    <row r="1268" spans="1:28" x14ac:dyDescent="0.35">
      <c r="A1268">
        <v>2022</v>
      </c>
      <c r="B1268" t="str">
        <f t="shared" si="159"/>
        <v>67</v>
      </c>
      <c r="C1268" t="s">
        <v>442</v>
      </c>
      <c r="D1268" t="s">
        <v>35</v>
      </c>
      <c r="E1268" t="str">
        <f>"251"</f>
        <v>251</v>
      </c>
      <c r="F1268" t="s">
        <v>456</v>
      </c>
      <c r="G1268" t="str">
        <f>"010"</f>
        <v>010</v>
      </c>
      <c r="H1268" t="str">
        <f>"3857"</f>
        <v>3857</v>
      </c>
      <c r="I1268" s="3">
        <v>40906800</v>
      </c>
      <c r="J1268" s="3">
        <v>88.5</v>
      </c>
      <c r="K1268" s="3">
        <v>46222400</v>
      </c>
      <c r="L1268" s="3">
        <v>0</v>
      </c>
      <c r="M1268" s="3">
        <v>46222400</v>
      </c>
      <c r="N1268" s="3">
        <v>35318200</v>
      </c>
      <c r="O1268" s="3">
        <v>35318200</v>
      </c>
      <c r="P1268" s="3">
        <v>433600</v>
      </c>
      <c r="Q1268" s="3">
        <v>433600</v>
      </c>
      <c r="R1268" s="3">
        <v>-879500</v>
      </c>
      <c r="S1268" s="3">
        <v>0</v>
      </c>
      <c r="T1268" s="3">
        <v>0</v>
      </c>
      <c r="U1268" s="3">
        <v>0</v>
      </c>
      <c r="V1268" s="3">
        <v>2008</v>
      </c>
      <c r="W1268" s="3">
        <v>1150600</v>
      </c>
      <c r="X1268" s="3">
        <v>81094700</v>
      </c>
      <c r="Y1268" s="3">
        <v>79944100</v>
      </c>
      <c r="Z1268" s="3">
        <v>75502100</v>
      </c>
      <c r="AA1268" s="3">
        <v>5592600</v>
      </c>
      <c r="AB1268" s="3">
        <v>7</v>
      </c>
    </row>
    <row r="1269" spans="1:28" x14ac:dyDescent="0.35">
      <c r="A1269">
        <v>2022</v>
      </c>
      <c r="B1269" t="str">
        <f t="shared" si="159"/>
        <v>67</v>
      </c>
      <c r="C1269" t="s">
        <v>442</v>
      </c>
      <c r="D1269" t="s">
        <v>35</v>
      </c>
      <c r="E1269" t="str">
        <f>"251"</f>
        <v>251</v>
      </c>
      <c r="F1269" t="s">
        <v>456</v>
      </c>
      <c r="G1269" t="str">
        <f>"011"</f>
        <v>011</v>
      </c>
      <c r="H1269" t="str">
        <f>"3857"</f>
        <v>3857</v>
      </c>
      <c r="I1269" s="3">
        <v>27124400</v>
      </c>
      <c r="J1269" s="3">
        <v>88.5</v>
      </c>
      <c r="K1269" s="3">
        <v>30649000</v>
      </c>
      <c r="L1269" s="3">
        <v>0</v>
      </c>
      <c r="M1269" s="3">
        <v>30649000</v>
      </c>
      <c r="N1269" s="3">
        <v>0</v>
      </c>
      <c r="O1269" s="3">
        <v>0</v>
      </c>
      <c r="P1269" s="3">
        <v>0</v>
      </c>
      <c r="Q1269" s="3">
        <v>0</v>
      </c>
      <c r="R1269" s="3">
        <v>-6124500</v>
      </c>
      <c r="S1269" s="3">
        <v>0</v>
      </c>
      <c r="T1269" s="3">
        <v>0</v>
      </c>
      <c r="U1269" s="3">
        <v>0</v>
      </c>
      <c r="V1269" s="3">
        <v>2016</v>
      </c>
      <c r="W1269" s="3">
        <v>2400</v>
      </c>
      <c r="X1269" s="3">
        <v>24524500</v>
      </c>
      <c r="Y1269" s="3">
        <v>24522100</v>
      </c>
      <c r="Z1269" s="3">
        <v>33330100</v>
      </c>
      <c r="AA1269" s="3">
        <v>-8805600</v>
      </c>
      <c r="AB1269" s="3">
        <v>-26</v>
      </c>
    </row>
    <row r="1270" spans="1:28" x14ac:dyDescent="0.35">
      <c r="A1270">
        <v>2022</v>
      </c>
      <c r="B1270" t="str">
        <f t="shared" si="159"/>
        <v>67</v>
      </c>
      <c r="C1270" t="s">
        <v>442</v>
      </c>
      <c r="D1270" t="s">
        <v>35</v>
      </c>
      <c r="E1270" t="str">
        <f>"261"</f>
        <v>261</v>
      </c>
      <c r="F1270" t="s">
        <v>457</v>
      </c>
      <c r="G1270" t="str">
        <f>"003"</f>
        <v>003</v>
      </c>
      <c r="H1270" t="str">
        <f>"3925"</f>
        <v>3925</v>
      </c>
      <c r="I1270" s="3">
        <v>38910100</v>
      </c>
      <c r="J1270" s="3">
        <v>77.27</v>
      </c>
      <c r="K1270" s="3">
        <v>50356000</v>
      </c>
      <c r="L1270" s="3">
        <v>0</v>
      </c>
      <c r="M1270" s="3">
        <v>50356000</v>
      </c>
      <c r="N1270" s="3">
        <v>0</v>
      </c>
      <c r="O1270" s="3">
        <v>0</v>
      </c>
      <c r="P1270" s="3">
        <v>165600</v>
      </c>
      <c r="Q1270" s="3">
        <v>165600</v>
      </c>
      <c r="R1270" s="3">
        <v>82200</v>
      </c>
      <c r="S1270" s="3">
        <v>0</v>
      </c>
      <c r="T1270" s="3">
        <v>0</v>
      </c>
      <c r="U1270" s="3">
        <v>0</v>
      </c>
      <c r="V1270" s="3">
        <v>2018</v>
      </c>
      <c r="W1270" s="3">
        <v>729000</v>
      </c>
      <c r="X1270" s="3">
        <v>50603800</v>
      </c>
      <c r="Y1270" s="3">
        <v>49874800</v>
      </c>
      <c r="Z1270" s="3">
        <v>37359300</v>
      </c>
      <c r="AA1270" s="3">
        <v>13244500</v>
      </c>
      <c r="AB1270" s="3">
        <v>35</v>
      </c>
    </row>
    <row r="1271" spans="1:28" x14ac:dyDescent="0.35">
      <c r="A1271">
        <v>2022</v>
      </c>
      <c r="B1271" t="str">
        <f t="shared" si="159"/>
        <v>67</v>
      </c>
      <c r="C1271" t="s">
        <v>442</v>
      </c>
      <c r="D1271" t="s">
        <v>35</v>
      </c>
      <c r="E1271" t="str">
        <f>"261"</f>
        <v>261</v>
      </c>
      <c r="F1271" t="s">
        <v>457</v>
      </c>
      <c r="G1271" t="str">
        <f>"004"</f>
        <v>004</v>
      </c>
      <c r="H1271" t="str">
        <f>"3925"</f>
        <v>3925</v>
      </c>
      <c r="I1271" s="3">
        <v>11756300</v>
      </c>
      <c r="J1271" s="3">
        <v>77.27</v>
      </c>
      <c r="K1271" s="3">
        <v>15214600</v>
      </c>
      <c r="L1271" s="3">
        <v>0</v>
      </c>
      <c r="M1271" s="3">
        <v>15214600</v>
      </c>
      <c r="N1271" s="3">
        <v>0</v>
      </c>
      <c r="O1271" s="3">
        <v>0</v>
      </c>
      <c r="P1271" s="3">
        <v>0</v>
      </c>
      <c r="Q1271" s="3">
        <v>0</v>
      </c>
      <c r="R1271" s="3">
        <v>30700</v>
      </c>
      <c r="S1271" s="3">
        <v>0</v>
      </c>
      <c r="T1271" s="3">
        <v>0</v>
      </c>
      <c r="U1271" s="3">
        <v>0</v>
      </c>
      <c r="V1271" s="3">
        <v>2020</v>
      </c>
      <c r="W1271" s="3">
        <v>13234500</v>
      </c>
      <c r="X1271" s="3">
        <v>15245300</v>
      </c>
      <c r="Y1271" s="3">
        <v>2010800</v>
      </c>
      <c r="Z1271" s="3">
        <v>13944100</v>
      </c>
      <c r="AA1271" s="3">
        <v>1301200</v>
      </c>
      <c r="AB1271" s="3">
        <v>9</v>
      </c>
    </row>
    <row r="1272" spans="1:28" x14ac:dyDescent="0.35">
      <c r="A1272">
        <v>2022</v>
      </c>
      <c r="B1272" t="str">
        <f t="shared" si="159"/>
        <v>67</v>
      </c>
      <c r="C1272" t="s">
        <v>442</v>
      </c>
      <c r="D1272" t="s">
        <v>35</v>
      </c>
      <c r="E1272" t="str">
        <f>"265"</f>
        <v>265</v>
      </c>
      <c r="F1272" t="s">
        <v>445</v>
      </c>
      <c r="G1272" t="str">
        <f>"004"</f>
        <v>004</v>
      </c>
      <c r="H1272" t="str">
        <f>"4060"</f>
        <v>4060</v>
      </c>
      <c r="I1272" s="3">
        <v>81527700</v>
      </c>
      <c r="J1272" s="3">
        <v>100</v>
      </c>
      <c r="K1272" s="3">
        <v>81527700</v>
      </c>
      <c r="L1272" s="3">
        <v>0</v>
      </c>
      <c r="M1272" s="3">
        <v>81527700</v>
      </c>
      <c r="N1272" s="3">
        <v>0</v>
      </c>
      <c r="O1272" s="3">
        <v>0</v>
      </c>
      <c r="P1272" s="3">
        <v>8300</v>
      </c>
      <c r="Q1272" s="3">
        <v>8300</v>
      </c>
      <c r="R1272" s="3">
        <v>-5178200</v>
      </c>
      <c r="S1272" s="3">
        <v>0</v>
      </c>
      <c r="T1272" s="3">
        <v>0</v>
      </c>
      <c r="U1272" s="3">
        <v>1801800</v>
      </c>
      <c r="V1272" s="3">
        <v>2003</v>
      </c>
      <c r="W1272" s="3">
        <v>49929100</v>
      </c>
      <c r="X1272" s="3">
        <v>78159600</v>
      </c>
      <c r="Y1272" s="3">
        <v>28230500</v>
      </c>
      <c r="Z1272" s="3">
        <v>79908700</v>
      </c>
      <c r="AA1272" s="3">
        <v>-1749100</v>
      </c>
      <c r="AB1272" s="3">
        <v>-2</v>
      </c>
    </row>
    <row r="1273" spans="1:28" x14ac:dyDescent="0.35">
      <c r="A1273">
        <v>2022</v>
      </c>
      <c r="B1273" t="str">
        <f t="shared" si="159"/>
        <v>67</v>
      </c>
      <c r="C1273" t="s">
        <v>442</v>
      </c>
      <c r="D1273" t="s">
        <v>35</v>
      </c>
      <c r="E1273" t="str">
        <f>"265"</f>
        <v>265</v>
      </c>
      <c r="F1273" t="s">
        <v>445</v>
      </c>
      <c r="G1273" t="str">
        <f>"005"</f>
        <v>005</v>
      </c>
      <c r="H1273" t="str">
        <f>"4060"</f>
        <v>4060</v>
      </c>
      <c r="I1273" s="3">
        <v>49673500</v>
      </c>
      <c r="J1273" s="3">
        <v>100</v>
      </c>
      <c r="K1273" s="3">
        <v>49673500</v>
      </c>
      <c r="L1273" s="3">
        <v>0</v>
      </c>
      <c r="M1273" s="3">
        <v>49673500</v>
      </c>
      <c r="N1273" s="3">
        <v>0</v>
      </c>
      <c r="O1273" s="3">
        <v>0</v>
      </c>
      <c r="P1273" s="3">
        <v>0</v>
      </c>
      <c r="Q1273" s="3">
        <v>0</v>
      </c>
      <c r="R1273" s="3">
        <v>3025800</v>
      </c>
      <c r="S1273" s="3">
        <v>0</v>
      </c>
      <c r="T1273" s="3">
        <v>0</v>
      </c>
      <c r="U1273" s="3">
        <v>0</v>
      </c>
      <c r="V1273" s="3">
        <v>2017</v>
      </c>
      <c r="W1273" s="3">
        <v>6019700</v>
      </c>
      <c r="X1273" s="3">
        <v>52699300</v>
      </c>
      <c r="Y1273" s="3">
        <v>46679600</v>
      </c>
      <c r="Z1273" s="3">
        <v>42291400</v>
      </c>
      <c r="AA1273" s="3">
        <v>10407900</v>
      </c>
      <c r="AB1273" s="3">
        <v>25</v>
      </c>
    </row>
    <row r="1274" spans="1:28" x14ac:dyDescent="0.35">
      <c r="A1274">
        <v>2022</v>
      </c>
      <c r="B1274" t="str">
        <f t="shared" si="159"/>
        <v>67</v>
      </c>
      <c r="C1274" t="s">
        <v>442</v>
      </c>
      <c r="D1274" t="s">
        <v>35</v>
      </c>
      <c r="E1274" t="str">
        <f>"265"</f>
        <v>265</v>
      </c>
      <c r="F1274" t="s">
        <v>445</v>
      </c>
      <c r="G1274" t="str">
        <f>"006"</f>
        <v>006</v>
      </c>
      <c r="H1274" t="str">
        <f>"4060"</f>
        <v>4060</v>
      </c>
      <c r="I1274" s="3">
        <v>37112600</v>
      </c>
      <c r="J1274" s="3">
        <v>100</v>
      </c>
      <c r="K1274" s="3">
        <v>37112600</v>
      </c>
      <c r="L1274" s="3">
        <v>0</v>
      </c>
      <c r="M1274" s="3">
        <v>37112600</v>
      </c>
      <c r="N1274" s="3">
        <v>0</v>
      </c>
      <c r="O1274" s="3">
        <v>0</v>
      </c>
      <c r="P1274" s="3">
        <v>0</v>
      </c>
      <c r="Q1274" s="3">
        <v>0</v>
      </c>
      <c r="R1274" s="3">
        <v>8032200</v>
      </c>
      <c r="S1274" s="3">
        <v>0</v>
      </c>
      <c r="T1274" s="3">
        <v>0</v>
      </c>
      <c r="U1274" s="3">
        <v>0</v>
      </c>
      <c r="V1274" s="3">
        <v>2017</v>
      </c>
      <c r="W1274" s="3">
        <v>1801800</v>
      </c>
      <c r="X1274" s="3">
        <v>45144800</v>
      </c>
      <c r="Y1274" s="3">
        <v>43343000</v>
      </c>
      <c r="Z1274" s="3">
        <v>23762300</v>
      </c>
      <c r="AA1274" s="3">
        <v>21382500</v>
      </c>
      <c r="AB1274" s="3">
        <v>90</v>
      </c>
    </row>
    <row r="1275" spans="1:28" x14ac:dyDescent="0.35">
      <c r="A1275">
        <v>2022</v>
      </c>
      <c r="B1275" t="str">
        <f t="shared" si="159"/>
        <v>67</v>
      </c>
      <c r="C1275" t="s">
        <v>442</v>
      </c>
      <c r="D1275" t="s">
        <v>35</v>
      </c>
      <c r="E1275" t="str">
        <f>"265"</f>
        <v>265</v>
      </c>
      <c r="F1275" t="s">
        <v>445</v>
      </c>
      <c r="G1275" t="str">
        <f>"007"</f>
        <v>007</v>
      </c>
      <c r="H1275" t="str">
        <f>"4060"</f>
        <v>4060</v>
      </c>
      <c r="I1275" s="3">
        <v>13195400</v>
      </c>
      <c r="J1275" s="3">
        <v>100</v>
      </c>
      <c r="K1275" s="3">
        <v>13195400</v>
      </c>
      <c r="L1275" s="3">
        <v>0</v>
      </c>
      <c r="M1275" s="3">
        <v>13195400</v>
      </c>
      <c r="N1275" s="3">
        <v>0</v>
      </c>
      <c r="O1275" s="3">
        <v>0</v>
      </c>
      <c r="P1275" s="3">
        <v>0</v>
      </c>
      <c r="Q1275" s="3">
        <v>0</v>
      </c>
      <c r="R1275" s="3">
        <v>0</v>
      </c>
      <c r="S1275" s="3">
        <v>0</v>
      </c>
      <c r="T1275" s="3">
        <v>0</v>
      </c>
      <c r="U1275" s="3">
        <v>0</v>
      </c>
      <c r="V1275" s="3">
        <v>2021</v>
      </c>
      <c r="W1275" s="3">
        <v>13950400</v>
      </c>
      <c r="X1275" s="3">
        <v>13195400</v>
      </c>
      <c r="Y1275" s="3">
        <v>-755000</v>
      </c>
      <c r="Z1275" s="3">
        <v>13950400</v>
      </c>
      <c r="AA1275" s="3">
        <v>-755000</v>
      </c>
      <c r="AB1275" s="3">
        <v>-5</v>
      </c>
    </row>
    <row r="1276" spans="1:28" x14ac:dyDescent="0.35">
      <c r="A1276">
        <v>2022</v>
      </c>
      <c r="B1276" t="str">
        <f t="shared" si="159"/>
        <v>67</v>
      </c>
      <c r="C1276" t="s">
        <v>442</v>
      </c>
      <c r="D1276" t="s">
        <v>35</v>
      </c>
      <c r="E1276" t="str">
        <f t="shared" ref="E1276:E1292" si="160">"291"</f>
        <v>291</v>
      </c>
      <c r="F1276" t="s">
        <v>442</v>
      </c>
      <c r="G1276" t="str">
        <f>"011"</f>
        <v>011</v>
      </c>
      <c r="H1276" t="str">
        <f t="shared" ref="H1276:H1292" si="161">"6174"</f>
        <v>6174</v>
      </c>
      <c r="I1276" s="3">
        <v>90146400</v>
      </c>
      <c r="J1276" s="3">
        <v>78.569999999999993</v>
      </c>
      <c r="K1276" s="3">
        <v>114733900</v>
      </c>
      <c r="L1276" s="3">
        <v>0</v>
      </c>
      <c r="M1276" s="3">
        <v>114733900</v>
      </c>
      <c r="N1276" s="3">
        <v>377300</v>
      </c>
      <c r="O1276" s="3">
        <v>377300</v>
      </c>
      <c r="P1276" s="3">
        <v>775500</v>
      </c>
      <c r="Q1276" s="3">
        <v>775500</v>
      </c>
      <c r="R1276" s="3">
        <v>44000</v>
      </c>
      <c r="S1276" s="3">
        <v>0</v>
      </c>
      <c r="T1276" s="3">
        <v>0</v>
      </c>
      <c r="U1276" s="3">
        <v>8348700</v>
      </c>
      <c r="V1276" s="3">
        <v>1997</v>
      </c>
      <c r="W1276" s="3">
        <v>37524600</v>
      </c>
      <c r="X1276" s="3">
        <v>124279400</v>
      </c>
      <c r="Y1276" s="3">
        <v>86754800</v>
      </c>
      <c r="Z1276" s="3">
        <v>110624600</v>
      </c>
      <c r="AA1276" s="3">
        <v>13654800</v>
      </c>
      <c r="AB1276" s="3">
        <v>12</v>
      </c>
    </row>
    <row r="1277" spans="1:28" x14ac:dyDescent="0.35">
      <c r="A1277">
        <v>2022</v>
      </c>
      <c r="B1277" t="str">
        <f t="shared" si="159"/>
        <v>67</v>
      </c>
      <c r="C1277" t="s">
        <v>442</v>
      </c>
      <c r="D1277" t="s">
        <v>35</v>
      </c>
      <c r="E1277" t="str">
        <f t="shared" si="160"/>
        <v>291</v>
      </c>
      <c r="F1277" t="s">
        <v>442</v>
      </c>
      <c r="G1277" t="str">
        <f>"012"</f>
        <v>012</v>
      </c>
      <c r="H1277" t="str">
        <f t="shared" si="161"/>
        <v>6174</v>
      </c>
      <c r="I1277" s="3">
        <v>14363000</v>
      </c>
      <c r="J1277" s="3">
        <v>78.569999999999993</v>
      </c>
      <c r="K1277" s="3">
        <v>18280500</v>
      </c>
      <c r="L1277" s="3">
        <v>0</v>
      </c>
      <c r="M1277" s="3">
        <v>18280500</v>
      </c>
      <c r="N1277" s="3">
        <v>0</v>
      </c>
      <c r="O1277" s="3">
        <v>0</v>
      </c>
      <c r="P1277" s="3">
        <v>0</v>
      </c>
      <c r="Q1277" s="3">
        <v>0</v>
      </c>
      <c r="R1277" s="3">
        <v>-3600</v>
      </c>
      <c r="S1277" s="3">
        <v>0</v>
      </c>
      <c r="T1277" s="3">
        <v>0</v>
      </c>
      <c r="U1277" s="3">
        <v>7961800</v>
      </c>
      <c r="V1277" s="3">
        <v>2001</v>
      </c>
      <c r="W1277" s="3">
        <v>107700</v>
      </c>
      <c r="X1277" s="3">
        <v>26238700</v>
      </c>
      <c r="Y1277" s="3">
        <v>26131000</v>
      </c>
      <c r="Z1277" s="3">
        <v>23585100</v>
      </c>
      <c r="AA1277" s="3">
        <v>2653600</v>
      </c>
      <c r="AB1277" s="3">
        <v>11</v>
      </c>
    </row>
    <row r="1278" spans="1:28" x14ac:dyDescent="0.35">
      <c r="A1278">
        <v>2022</v>
      </c>
      <c r="B1278" t="str">
        <f t="shared" si="159"/>
        <v>67</v>
      </c>
      <c r="C1278" t="s">
        <v>442</v>
      </c>
      <c r="D1278" t="s">
        <v>35</v>
      </c>
      <c r="E1278" t="str">
        <f t="shared" si="160"/>
        <v>291</v>
      </c>
      <c r="F1278" t="s">
        <v>442</v>
      </c>
      <c r="G1278" t="str">
        <f>"013"</f>
        <v>013</v>
      </c>
      <c r="H1278" t="str">
        <f t="shared" si="161"/>
        <v>6174</v>
      </c>
      <c r="I1278" s="3">
        <v>4217400</v>
      </c>
      <c r="J1278" s="3">
        <v>78.569999999999993</v>
      </c>
      <c r="K1278" s="3">
        <v>5367700</v>
      </c>
      <c r="L1278" s="3">
        <v>0</v>
      </c>
      <c r="M1278" s="3">
        <v>5367700</v>
      </c>
      <c r="N1278" s="3">
        <v>0</v>
      </c>
      <c r="O1278" s="3">
        <v>0</v>
      </c>
      <c r="P1278" s="3">
        <v>0</v>
      </c>
      <c r="Q1278" s="3">
        <v>0</v>
      </c>
      <c r="R1278" s="3">
        <v>-1200</v>
      </c>
      <c r="S1278" s="3">
        <v>0</v>
      </c>
      <c r="T1278" s="3">
        <v>0</v>
      </c>
      <c r="U1278" s="3">
        <v>0</v>
      </c>
      <c r="V1278" s="3">
        <v>2003</v>
      </c>
      <c r="W1278" s="3">
        <v>481800</v>
      </c>
      <c r="X1278" s="3">
        <v>5366500</v>
      </c>
      <c r="Y1278" s="3">
        <v>4884700</v>
      </c>
      <c r="Z1278" s="3">
        <v>4813700</v>
      </c>
      <c r="AA1278" s="3">
        <v>552800</v>
      </c>
      <c r="AB1278" s="3">
        <v>11</v>
      </c>
    </row>
    <row r="1279" spans="1:28" x14ac:dyDescent="0.35">
      <c r="A1279">
        <v>2022</v>
      </c>
      <c r="B1279" t="str">
        <f t="shared" si="159"/>
        <v>67</v>
      </c>
      <c r="C1279" t="s">
        <v>442</v>
      </c>
      <c r="D1279" t="s">
        <v>35</v>
      </c>
      <c r="E1279" t="str">
        <f t="shared" si="160"/>
        <v>291</v>
      </c>
      <c r="F1279" t="s">
        <v>442</v>
      </c>
      <c r="G1279" t="str">
        <f>"017"</f>
        <v>017</v>
      </c>
      <c r="H1279" t="str">
        <f t="shared" si="161"/>
        <v>6174</v>
      </c>
      <c r="I1279" s="3">
        <v>88273500</v>
      </c>
      <c r="J1279" s="3">
        <v>78.569999999999993</v>
      </c>
      <c r="K1279" s="3">
        <v>112350100</v>
      </c>
      <c r="L1279" s="3">
        <v>0</v>
      </c>
      <c r="M1279" s="3">
        <v>112350100</v>
      </c>
      <c r="N1279" s="3">
        <v>1297800</v>
      </c>
      <c r="O1279" s="3">
        <v>1297800</v>
      </c>
      <c r="P1279" s="3">
        <v>475900</v>
      </c>
      <c r="Q1279" s="3">
        <v>475900</v>
      </c>
      <c r="R1279" s="3">
        <v>-23200</v>
      </c>
      <c r="S1279" s="3">
        <v>0</v>
      </c>
      <c r="T1279" s="3">
        <v>0</v>
      </c>
      <c r="U1279" s="3">
        <v>0</v>
      </c>
      <c r="V1279" s="3">
        <v>2007</v>
      </c>
      <c r="W1279" s="3">
        <v>57329000</v>
      </c>
      <c r="X1279" s="3">
        <v>114100600</v>
      </c>
      <c r="Y1279" s="3">
        <v>56771600</v>
      </c>
      <c r="Z1279" s="3">
        <v>102959900</v>
      </c>
      <c r="AA1279" s="3">
        <v>11140700</v>
      </c>
      <c r="AB1279" s="3">
        <v>11</v>
      </c>
    </row>
    <row r="1280" spans="1:28" x14ac:dyDescent="0.35">
      <c r="A1280">
        <v>2022</v>
      </c>
      <c r="B1280" t="str">
        <f t="shared" si="159"/>
        <v>67</v>
      </c>
      <c r="C1280" t="s">
        <v>442</v>
      </c>
      <c r="D1280" t="s">
        <v>35</v>
      </c>
      <c r="E1280" t="str">
        <f t="shared" si="160"/>
        <v>291</v>
      </c>
      <c r="F1280" t="s">
        <v>442</v>
      </c>
      <c r="G1280" t="str">
        <f>"018"</f>
        <v>018</v>
      </c>
      <c r="H1280" t="str">
        <f t="shared" si="161"/>
        <v>6174</v>
      </c>
      <c r="I1280" s="3">
        <v>8611100</v>
      </c>
      <c r="J1280" s="3">
        <v>78.569999999999993</v>
      </c>
      <c r="K1280" s="3">
        <v>10959800</v>
      </c>
      <c r="L1280" s="3">
        <v>0</v>
      </c>
      <c r="M1280" s="3">
        <v>10959800</v>
      </c>
      <c r="N1280" s="3">
        <v>0</v>
      </c>
      <c r="O1280" s="3">
        <v>0</v>
      </c>
      <c r="P1280" s="3">
        <v>0</v>
      </c>
      <c r="Q1280" s="3">
        <v>0</v>
      </c>
      <c r="R1280" s="3">
        <v>-2200</v>
      </c>
      <c r="S1280" s="3">
        <v>0</v>
      </c>
      <c r="T1280" s="3">
        <v>0</v>
      </c>
      <c r="U1280" s="3">
        <v>0</v>
      </c>
      <c r="V1280" s="3">
        <v>2009</v>
      </c>
      <c r="W1280" s="3">
        <v>704300</v>
      </c>
      <c r="X1280" s="3">
        <v>10957600</v>
      </c>
      <c r="Y1280" s="3">
        <v>10253300</v>
      </c>
      <c r="Z1280" s="3">
        <v>9736700</v>
      </c>
      <c r="AA1280" s="3">
        <v>1220900</v>
      </c>
      <c r="AB1280" s="3">
        <v>13</v>
      </c>
    </row>
    <row r="1281" spans="1:28" x14ac:dyDescent="0.35">
      <c r="A1281">
        <v>2022</v>
      </c>
      <c r="B1281" t="str">
        <f t="shared" si="159"/>
        <v>67</v>
      </c>
      <c r="C1281" t="s">
        <v>442</v>
      </c>
      <c r="D1281" t="s">
        <v>35</v>
      </c>
      <c r="E1281" t="str">
        <f t="shared" si="160"/>
        <v>291</v>
      </c>
      <c r="F1281" t="s">
        <v>442</v>
      </c>
      <c r="G1281" t="str">
        <f>"019"</f>
        <v>019</v>
      </c>
      <c r="H1281" t="str">
        <f t="shared" si="161"/>
        <v>6174</v>
      </c>
      <c r="I1281" s="3">
        <v>0</v>
      </c>
      <c r="J1281" s="3">
        <v>78.569999999999993</v>
      </c>
      <c r="K1281" s="3">
        <v>0</v>
      </c>
      <c r="L1281" s="3">
        <v>0</v>
      </c>
      <c r="M1281" s="3">
        <v>0</v>
      </c>
      <c r="N1281" s="3">
        <v>28646000</v>
      </c>
      <c r="O1281" s="3">
        <v>28646000</v>
      </c>
      <c r="P1281" s="3">
        <v>3189700</v>
      </c>
      <c r="Q1281" s="3">
        <v>3189700</v>
      </c>
      <c r="R1281" s="3">
        <v>0</v>
      </c>
      <c r="S1281" s="3">
        <v>0</v>
      </c>
      <c r="T1281" s="3">
        <v>0</v>
      </c>
      <c r="U1281" s="3">
        <v>0</v>
      </c>
      <c r="V1281" s="3">
        <v>2010</v>
      </c>
      <c r="W1281" s="3">
        <v>13626400</v>
      </c>
      <c r="X1281" s="3">
        <v>31835700</v>
      </c>
      <c r="Y1281" s="3">
        <v>18209300</v>
      </c>
      <c r="Z1281" s="3">
        <v>31913200</v>
      </c>
      <c r="AA1281" s="3">
        <v>-77500</v>
      </c>
      <c r="AB1281" s="3">
        <v>0</v>
      </c>
    </row>
    <row r="1282" spans="1:28" x14ac:dyDescent="0.35">
      <c r="A1282">
        <v>2022</v>
      </c>
      <c r="B1282" t="str">
        <f t="shared" si="159"/>
        <v>67</v>
      </c>
      <c r="C1282" t="s">
        <v>442</v>
      </c>
      <c r="D1282" t="s">
        <v>35</v>
      </c>
      <c r="E1282" t="str">
        <f t="shared" si="160"/>
        <v>291</v>
      </c>
      <c r="F1282" t="s">
        <v>442</v>
      </c>
      <c r="G1282" t="str">
        <f>"020"</f>
        <v>020</v>
      </c>
      <c r="H1282" t="str">
        <f t="shared" si="161"/>
        <v>6174</v>
      </c>
      <c r="I1282" s="3">
        <v>11161200</v>
      </c>
      <c r="J1282" s="3">
        <v>78.569999999999993</v>
      </c>
      <c r="K1282" s="3">
        <v>14205400</v>
      </c>
      <c r="L1282" s="3">
        <v>0</v>
      </c>
      <c r="M1282" s="3">
        <v>14205400</v>
      </c>
      <c r="N1282" s="3">
        <v>12342500</v>
      </c>
      <c r="O1282" s="3">
        <v>12342500</v>
      </c>
      <c r="P1282" s="3">
        <v>493600</v>
      </c>
      <c r="Q1282" s="3">
        <v>493600</v>
      </c>
      <c r="R1282" s="3">
        <v>-3500</v>
      </c>
      <c r="S1282" s="3">
        <v>0</v>
      </c>
      <c r="T1282" s="3">
        <v>0</v>
      </c>
      <c r="U1282" s="3">
        <v>0</v>
      </c>
      <c r="V1282" s="3">
        <v>2010</v>
      </c>
      <c r="W1282" s="3">
        <v>22346100</v>
      </c>
      <c r="X1282" s="3">
        <v>27038000</v>
      </c>
      <c r="Y1282" s="3">
        <v>4691900</v>
      </c>
      <c r="Z1282" s="3">
        <v>27522700</v>
      </c>
      <c r="AA1282" s="3">
        <v>-484700</v>
      </c>
      <c r="AB1282" s="3">
        <v>-2</v>
      </c>
    </row>
    <row r="1283" spans="1:28" x14ac:dyDescent="0.35">
      <c r="A1283">
        <v>2022</v>
      </c>
      <c r="B1283" t="str">
        <f t="shared" si="159"/>
        <v>67</v>
      </c>
      <c r="C1283" t="s">
        <v>442</v>
      </c>
      <c r="D1283" t="s">
        <v>35</v>
      </c>
      <c r="E1283" t="str">
        <f t="shared" si="160"/>
        <v>291</v>
      </c>
      <c r="F1283" t="s">
        <v>442</v>
      </c>
      <c r="G1283" t="str">
        <f>"021"</f>
        <v>021</v>
      </c>
      <c r="H1283" t="str">
        <f t="shared" si="161"/>
        <v>6174</v>
      </c>
      <c r="I1283" s="3">
        <v>35590800</v>
      </c>
      <c r="J1283" s="3">
        <v>78.569999999999993</v>
      </c>
      <c r="K1283" s="3">
        <v>45298200</v>
      </c>
      <c r="L1283" s="3">
        <v>0</v>
      </c>
      <c r="M1283" s="3">
        <v>45298200</v>
      </c>
      <c r="N1283" s="3">
        <v>0</v>
      </c>
      <c r="O1283" s="3">
        <v>0</v>
      </c>
      <c r="P1283" s="3">
        <v>0</v>
      </c>
      <c r="Q1283" s="3">
        <v>0</v>
      </c>
      <c r="R1283" s="3">
        <v>-9700</v>
      </c>
      <c r="S1283" s="3">
        <v>0</v>
      </c>
      <c r="T1283" s="3">
        <v>0</v>
      </c>
      <c r="U1283" s="3">
        <v>0</v>
      </c>
      <c r="V1283" s="3">
        <v>2012</v>
      </c>
      <c r="W1283" s="3">
        <v>11343900</v>
      </c>
      <c r="X1283" s="3">
        <v>45288500</v>
      </c>
      <c r="Y1283" s="3">
        <v>33944600</v>
      </c>
      <c r="Z1283" s="3">
        <v>42537800</v>
      </c>
      <c r="AA1283" s="3">
        <v>2750700</v>
      </c>
      <c r="AB1283" s="3">
        <v>6</v>
      </c>
    </row>
    <row r="1284" spans="1:28" x14ac:dyDescent="0.35">
      <c r="A1284">
        <v>2022</v>
      </c>
      <c r="B1284" t="str">
        <f t="shared" si="159"/>
        <v>67</v>
      </c>
      <c r="C1284" t="s">
        <v>442</v>
      </c>
      <c r="D1284" t="s">
        <v>35</v>
      </c>
      <c r="E1284" t="str">
        <f t="shared" si="160"/>
        <v>291</v>
      </c>
      <c r="F1284" t="s">
        <v>442</v>
      </c>
      <c r="G1284" t="str">
        <f>"022"</f>
        <v>022</v>
      </c>
      <c r="H1284" t="str">
        <f t="shared" si="161"/>
        <v>6174</v>
      </c>
      <c r="I1284" s="3">
        <v>74354400</v>
      </c>
      <c r="J1284" s="3">
        <v>78.569999999999993</v>
      </c>
      <c r="K1284" s="3">
        <v>94634600</v>
      </c>
      <c r="L1284" s="3">
        <v>0</v>
      </c>
      <c r="M1284" s="3">
        <v>94634600</v>
      </c>
      <c r="N1284" s="3">
        <v>0</v>
      </c>
      <c r="O1284" s="3">
        <v>0</v>
      </c>
      <c r="P1284" s="3">
        <v>0</v>
      </c>
      <c r="Q1284" s="3">
        <v>0</v>
      </c>
      <c r="R1284" s="3">
        <v>-19500</v>
      </c>
      <c r="S1284" s="3">
        <v>0</v>
      </c>
      <c r="T1284" s="3">
        <v>0</v>
      </c>
      <c r="U1284" s="3">
        <v>0</v>
      </c>
      <c r="V1284" s="3">
        <v>2013</v>
      </c>
      <c r="W1284" s="3">
        <v>38400500</v>
      </c>
      <c r="X1284" s="3">
        <v>94615100</v>
      </c>
      <c r="Y1284" s="3">
        <v>56214600</v>
      </c>
      <c r="Z1284" s="3">
        <v>84967600</v>
      </c>
      <c r="AA1284" s="3">
        <v>9647500</v>
      </c>
      <c r="AB1284" s="3">
        <v>11</v>
      </c>
    </row>
    <row r="1285" spans="1:28" x14ac:dyDescent="0.35">
      <c r="A1285">
        <v>2022</v>
      </c>
      <c r="B1285" t="str">
        <f t="shared" si="159"/>
        <v>67</v>
      </c>
      <c r="C1285" t="s">
        <v>442</v>
      </c>
      <c r="D1285" t="s">
        <v>35</v>
      </c>
      <c r="E1285" t="str">
        <f t="shared" si="160"/>
        <v>291</v>
      </c>
      <c r="F1285" t="s">
        <v>442</v>
      </c>
      <c r="G1285" t="str">
        <f>"023"</f>
        <v>023</v>
      </c>
      <c r="H1285" t="str">
        <f t="shared" si="161"/>
        <v>6174</v>
      </c>
      <c r="I1285" s="3">
        <v>3117100</v>
      </c>
      <c r="J1285" s="3">
        <v>78.569999999999993</v>
      </c>
      <c r="K1285" s="3">
        <v>3967300</v>
      </c>
      <c r="L1285" s="3">
        <v>0</v>
      </c>
      <c r="M1285" s="3">
        <v>3967300</v>
      </c>
      <c r="N1285" s="3">
        <v>9285500</v>
      </c>
      <c r="O1285" s="3">
        <v>9285500</v>
      </c>
      <c r="P1285" s="3">
        <v>181500</v>
      </c>
      <c r="Q1285" s="3">
        <v>181500</v>
      </c>
      <c r="R1285" s="3">
        <v>-800</v>
      </c>
      <c r="S1285" s="3">
        <v>0</v>
      </c>
      <c r="T1285" s="3">
        <v>0</v>
      </c>
      <c r="U1285" s="3">
        <v>0</v>
      </c>
      <c r="V1285" s="3">
        <v>2014</v>
      </c>
      <c r="W1285" s="3">
        <v>4300600</v>
      </c>
      <c r="X1285" s="3">
        <v>13433500</v>
      </c>
      <c r="Y1285" s="3">
        <v>9132900</v>
      </c>
      <c r="Z1285" s="3">
        <v>12786800</v>
      </c>
      <c r="AA1285" s="3">
        <v>646700</v>
      </c>
      <c r="AB1285" s="3">
        <v>5</v>
      </c>
    </row>
    <row r="1286" spans="1:28" x14ac:dyDescent="0.35">
      <c r="A1286">
        <v>2022</v>
      </c>
      <c r="B1286" t="str">
        <f t="shared" si="159"/>
        <v>67</v>
      </c>
      <c r="C1286" t="s">
        <v>442</v>
      </c>
      <c r="D1286" t="s">
        <v>35</v>
      </c>
      <c r="E1286" t="str">
        <f t="shared" si="160"/>
        <v>291</v>
      </c>
      <c r="F1286" t="s">
        <v>442</v>
      </c>
      <c r="G1286" t="str">
        <f>"024"</f>
        <v>024</v>
      </c>
      <c r="H1286" t="str">
        <f t="shared" si="161"/>
        <v>6174</v>
      </c>
      <c r="I1286" s="3">
        <v>15569500</v>
      </c>
      <c r="J1286" s="3">
        <v>78.569999999999993</v>
      </c>
      <c r="K1286" s="3">
        <v>19816100</v>
      </c>
      <c r="L1286" s="3">
        <v>0</v>
      </c>
      <c r="M1286" s="3">
        <v>19816100</v>
      </c>
      <c r="N1286" s="3">
        <v>0</v>
      </c>
      <c r="O1286" s="3">
        <v>0</v>
      </c>
      <c r="P1286" s="3">
        <v>0</v>
      </c>
      <c r="Q1286" s="3">
        <v>0</v>
      </c>
      <c r="R1286" s="3">
        <v>-3700</v>
      </c>
      <c r="S1286" s="3">
        <v>0</v>
      </c>
      <c r="T1286" s="3">
        <v>0</v>
      </c>
      <c r="U1286" s="3">
        <v>0</v>
      </c>
      <c r="V1286" s="3">
        <v>2018</v>
      </c>
      <c r="W1286" s="3">
        <v>10345200</v>
      </c>
      <c r="X1286" s="3">
        <v>19812400</v>
      </c>
      <c r="Y1286" s="3">
        <v>9467200</v>
      </c>
      <c r="Z1286" s="3">
        <v>16212600</v>
      </c>
      <c r="AA1286" s="3">
        <v>3599800</v>
      </c>
      <c r="AB1286" s="3">
        <v>22</v>
      </c>
    </row>
    <row r="1287" spans="1:28" x14ac:dyDescent="0.35">
      <c r="A1287">
        <v>2022</v>
      </c>
      <c r="B1287" t="str">
        <f t="shared" si="159"/>
        <v>67</v>
      </c>
      <c r="C1287" t="s">
        <v>442</v>
      </c>
      <c r="D1287" t="s">
        <v>35</v>
      </c>
      <c r="E1287" t="str">
        <f t="shared" si="160"/>
        <v>291</v>
      </c>
      <c r="F1287" t="s">
        <v>442</v>
      </c>
      <c r="G1287" t="str">
        <f>"025"</f>
        <v>025</v>
      </c>
      <c r="H1287" t="str">
        <f t="shared" si="161"/>
        <v>6174</v>
      </c>
      <c r="I1287" s="3">
        <v>15556000</v>
      </c>
      <c r="J1287" s="3">
        <v>78.569999999999993</v>
      </c>
      <c r="K1287" s="3">
        <v>19798900</v>
      </c>
      <c r="L1287" s="3">
        <v>0</v>
      </c>
      <c r="M1287" s="3">
        <v>19798900</v>
      </c>
      <c r="N1287" s="3">
        <v>4774500</v>
      </c>
      <c r="O1287" s="3">
        <v>4774500</v>
      </c>
      <c r="P1287" s="3">
        <v>218300</v>
      </c>
      <c r="Q1287" s="3">
        <v>218300</v>
      </c>
      <c r="R1287" s="3">
        <v>-4100</v>
      </c>
      <c r="S1287" s="3">
        <v>0</v>
      </c>
      <c r="T1287" s="3">
        <v>0</v>
      </c>
      <c r="U1287" s="3">
        <v>0</v>
      </c>
      <c r="V1287" s="3">
        <v>2015</v>
      </c>
      <c r="W1287" s="3">
        <v>6226600</v>
      </c>
      <c r="X1287" s="3">
        <v>24787600</v>
      </c>
      <c r="Y1287" s="3">
        <v>18561000</v>
      </c>
      <c r="Z1287" s="3">
        <v>22833700</v>
      </c>
      <c r="AA1287" s="3">
        <v>1953900</v>
      </c>
      <c r="AB1287" s="3">
        <v>9</v>
      </c>
    </row>
    <row r="1288" spans="1:28" x14ac:dyDescent="0.35">
      <c r="A1288">
        <v>2022</v>
      </c>
      <c r="B1288" t="str">
        <f t="shared" si="159"/>
        <v>67</v>
      </c>
      <c r="C1288" t="s">
        <v>442</v>
      </c>
      <c r="D1288" t="s">
        <v>35</v>
      </c>
      <c r="E1288" t="str">
        <f t="shared" si="160"/>
        <v>291</v>
      </c>
      <c r="F1288" t="s">
        <v>442</v>
      </c>
      <c r="G1288" t="str">
        <f>"026"</f>
        <v>026</v>
      </c>
      <c r="H1288" t="str">
        <f t="shared" si="161"/>
        <v>6174</v>
      </c>
      <c r="I1288" s="3">
        <v>5324500</v>
      </c>
      <c r="J1288" s="3">
        <v>78.569999999999993</v>
      </c>
      <c r="K1288" s="3">
        <v>6776800</v>
      </c>
      <c r="L1288" s="3">
        <v>0</v>
      </c>
      <c r="M1288" s="3">
        <v>6776800</v>
      </c>
      <c r="N1288" s="3">
        <v>0</v>
      </c>
      <c r="O1288" s="3">
        <v>0</v>
      </c>
      <c r="P1288" s="3">
        <v>0</v>
      </c>
      <c r="Q1288" s="3">
        <v>0</v>
      </c>
      <c r="R1288" s="3">
        <v>-1400</v>
      </c>
      <c r="S1288" s="3">
        <v>0</v>
      </c>
      <c r="T1288" s="3">
        <v>0</v>
      </c>
      <c r="U1288" s="3">
        <v>0</v>
      </c>
      <c r="V1288" s="3">
        <v>2019</v>
      </c>
      <c r="W1288" s="3">
        <v>5222900</v>
      </c>
      <c r="X1288" s="3">
        <v>6775400</v>
      </c>
      <c r="Y1288" s="3">
        <v>1552500</v>
      </c>
      <c r="Z1288" s="3">
        <v>6225300</v>
      </c>
      <c r="AA1288" s="3">
        <v>550100</v>
      </c>
      <c r="AB1288" s="3">
        <v>9</v>
      </c>
    </row>
    <row r="1289" spans="1:28" x14ac:dyDescent="0.35">
      <c r="A1289">
        <v>2022</v>
      </c>
      <c r="B1289" t="str">
        <f t="shared" si="159"/>
        <v>67</v>
      </c>
      <c r="C1289" t="s">
        <v>442</v>
      </c>
      <c r="D1289" t="s">
        <v>35</v>
      </c>
      <c r="E1289" t="str">
        <f t="shared" si="160"/>
        <v>291</v>
      </c>
      <c r="F1289" t="s">
        <v>442</v>
      </c>
      <c r="G1289" t="str">
        <f>"027"</f>
        <v>027</v>
      </c>
      <c r="H1289" t="str">
        <f t="shared" si="161"/>
        <v>6174</v>
      </c>
      <c r="I1289" s="3">
        <v>21654100</v>
      </c>
      <c r="J1289" s="3">
        <v>78.569999999999993</v>
      </c>
      <c r="K1289" s="3">
        <v>27560300</v>
      </c>
      <c r="L1289" s="3">
        <v>0</v>
      </c>
      <c r="M1289" s="3">
        <v>27560300</v>
      </c>
      <c r="N1289" s="3">
        <v>0</v>
      </c>
      <c r="O1289" s="3">
        <v>0</v>
      </c>
      <c r="P1289" s="3">
        <v>0</v>
      </c>
      <c r="Q1289" s="3">
        <v>0</v>
      </c>
      <c r="R1289" s="3">
        <v>-2600</v>
      </c>
      <c r="S1289" s="3">
        <v>0</v>
      </c>
      <c r="T1289" s="3">
        <v>0</v>
      </c>
      <c r="U1289" s="3">
        <v>0</v>
      </c>
      <c r="V1289" s="3">
        <v>2020</v>
      </c>
      <c r="W1289" s="3">
        <v>2874400</v>
      </c>
      <c r="X1289" s="3">
        <v>27557700</v>
      </c>
      <c r="Y1289" s="3">
        <v>24683300</v>
      </c>
      <c r="Z1289" s="3">
        <v>11218000</v>
      </c>
      <c r="AA1289" s="3">
        <v>16339700</v>
      </c>
      <c r="AB1289" s="3">
        <v>146</v>
      </c>
    </row>
    <row r="1290" spans="1:28" x14ac:dyDescent="0.35">
      <c r="A1290">
        <v>2022</v>
      </c>
      <c r="B1290" t="str">
        <f t="shared" si="159"/>
        <v>67</v>
      </c>
      <c r="C1290" t="s">
        <v>442</v>
      </c>
      <c r="D1290" t="s">
        <v>35</v>
      </c>
      <c r="E1290" t="str">
        <f t="shared" si="160"/>
        <v>291</v>
      </c>
      <c r="F1290" t="s">
        <v>442</v>
      </c>
      <c r="G1290" t="str">
        <f>"028"</f>
        <v>028</v>
      </c>
      <c r="H1290" t="str">
        <f t="shared" si="161"/>
        <v>6174</v>
      </c>
      <c r="I1290" s="3">
        <v>9215800</v>
      </c>
      <c r="J1290" s="3">
        <v>78.569999999999993</v>
      </c>
      <c r="K1290" s="3">
        <v>11729400</v>
      </c>
      <c r="L1290" s="3">
        <v>0</v>
      </c>
      <c r="M1290" s="3">
        <v>11729400</v>
      </c>
      <c r="N1290" s="3">
        <v>0</v>
      </c>
      <c r="O1290" s="3">
        <v>0</v>
      </c>
      <c r="P1290" s="3">
        <v>0</v>
      </c>
      <c r="Q1290" s="3">
        <v>0</v>
      </c>
      <c r="R1290" s="3">
        <v>-300</v>
      </c>
      <c r="S1290" s="3">
        <v>0</v>
      </c>
      <c r="T1290" s="3">
        <v>0</v>
      </c>
      <c r="U1290" s="3">
        <v>0</v>
      </c>
      <c r="V1290" s="3">
        <v>2020</v>
      </c>
      <c r="W1290" s="3">
        <v>1155100</v>
      </c>
      <c r="X1290" s="3">
        <v>11729100</v>
      </c>
      <c r="Y1290" s="3">
        <v>10574000</v>
      </c>
      <c r="Z1290" s="3">
        <v>1258800</v>
      </c>
      <c r="AA1290" s="3">
        <v>10470300</v>
      </c>
      <c r="AB1290" s="3">
        <v>832</v>
      </c>
    </row>
    <row r="1291" spans="1:28" x14ac:dyDescent="0.35">
      <c r="A1291">
        <v>2022</v>
      </c>
      <c r="B1291" t="str">
        <f t="shared" si="159"/>
        <v>67</v>
      </c>
      <c r="C1291" t="s">
        <v>442</v>
      </c>
      <c r="D1291" t="s">
        <v>35</v>
      </c>
      <c r="E1291" t="str">
        <f t="shared" si="160"/>
        <v>291</v>
      </c>
      <c r="F1291" t="s">
        <v>442</v>
      </c>
      <c r="G1291" t="str">
        <f>"029"</f>
        <v>029</v>
      </c>
      <c r="H1291" t="str">
        <f t="shared" si="161"/>
        <v>6174</v>
      </c>
      <c r="I1291" s="3">
        <v>1149600</v>
      </c>
      <c r="J1291" s="3">
        <v>78.569999999999993</v>
      </c>
      <c r="K1291" s="3">
        <v>1463200</v>
      </c>
      <c r="L1291" s="3">
        <v>0</v>
      </c>
      <c r="M1291" s="3">
        <v>1463200</v>
      </c>
      <c r="N1291" s="3">
        <v>0</v>
      </c>
      <c r="O1291" s="3">
        <v>0</v>
      </c>
      <c r="P1291" s="3">
        <v>0</v>
      </c>
      <c r="Q1291" s="3">
        <v>0</v>
      </c>
      <c r="R1291" s="3">
        <v>-300</v>
      </c>
      <c r="S1291" s="3">
        <v>0</v>
      </c>
      <c r="T1291" s="3">
        <v>0</v>
      </c>
      <c r="U1291" s="3">
        <v>0</v>
      </c>
      <c r="V1291" s="3">
        <v>2020</v>
      </c>
      <c r="W1291" s="3">
        <v>1207300</v>
      </c>
      <c r="X1291" s="3">
        <v>1462900</v>
      </c>
      <c r="Y1291" s="3">
        <v>255600</v>
      </c>
      <c r="Z1291" s="3">
        <v>1316500</v>
      </c>
      <c r="AA1291" s="3">
        <v>146400</v>
      </c>
      <c r="AB1291" s="3">
        <v>11</v>
      </c>
    </row>
    <row r="1292" spans="1:28" x14ac:dyDescent="0.35">
      <c r="A1292">
        <v>2022</v>
      </c>
      <c r="B1292" t="str">
        <f t="shared" si="159"/>
        <v>67</v>
      </c>
      <c r="C1292" t="s">
        <v>442</v>
      </c>
      <c r="D1292" t="s">
        <v>35</v>
      </c>
      <c r="E1292" t="str">
        <f t="shared" si="160"/>
        <v>291</v>
      </c>
      <c r="F1292" t="s">
        <v>442</v>
      </c>
      <c r="G1292" t="str">
        <f>"030"</f>
        <v>030</v>
      </c>
      <c r="H1292" t="str">
        <f t="shared" si="161"/>
        <v>6174</v>
      </c>
      <c r="I1292" s="3">
        <v>759900</v>
      </c>
      <c r="J1292" s="3">
        <v>78.569999999999993</v>
      </c>
      <c r="K1292" s="3">
        <v>967200</v>
      </c>
      <c r="L1292" s="3">
        <v>0</v>
      </c>
      <c r="M1292" s="3">
        <v>967200</v>
      </c>
      <c r="N1292" s="3">
        <v>0</v>
      </c>
      <c r="O1292" s="3">
        <v>0</v>
      </c>
      <c r="P1292" s="3">
        <v>0</v>
      </c>
      <c r="Q1292" s="3">
        <v>0</v>
      </c>
      <c r="R1292" s="3">
        <v>0</v>
      </c>
      <c r="S1292" s="3">
        <v>0</v>
      </c>
      <c r="T1292" s="3">
        <v>0</v>
      </c>
      <c r="U1292" s="3">
        <v>0</v>
      </c>
      <c r="V1292" s="3">
        <v>2021</v>
      </c>
      <c r="W1292" s="3">
        <v>504800</v>
      </c>
      <c r="X1292" s="3">
        <v>967200</v>
      </c>
      <c r="Y1292" s="3">
        <v>462400</v>
      </c>
      <c r="Z1292" s="3">
        <v>504800</v>
      </c>
      <c r="AA1292" s="3">
        <v>462400</v>
      </c>
      <c r="AB1292" s="3">
        <v>92</v>
      </c>
    </row>
    <row r="1293" spans="1:28" x14ac:dyDescent="0.35">
      <c r="A1293">
        <v>2022</v>
      </c>
      <c r="B1293" t="str">
        <f t="shared" ref="B1293:B1306" si="162">"68"</f>
        <v>68</v>
      </c>
      <c r="C1293" t="s">
        <v>458</v>
      </c>
      <c r="D1293" t="s">
        <v>33</v>
      </c>
      <c r="E1293" t="str">
        <f>"126"</f>
        <v>126</v>
      </c>
      <c r="F1293" t="s">
        <v>459</v>
      </c>
      <c r="G1293" t="str">
        <f>"001"</f>
        <v>001</v>
      </c>
      <c r="H1293" t="str">
        <f>"6384"</f>
        <v>6384</v>
      </c>
      <c r="I1293" s="3">
        <v>62800</v>
      </c>
      <c r="J1293" s="3">
        <v>83.48</v>
      </c>
      <c r="K1293" s="3">
        <v>75200</v>
      </c>
      <c r="L1293" s="3">
        <v>0</v>
      </c>
      <c r="M1293" s="3">
        <v>75200</v>
      </c>
      <c r="N1293" s="3">
        <v>0</v>
      </c>
      <c r="O1293" s="3">
        <v>0</v>
      </c>
      <c r="P1293" s="3">
        <v>0</v>
      </c>
      <c r="Q1293" s="3">
        <v>0</v>
      </c>
      <c r="R1293" s="3">
        <v>0</v>
      </c>
      <c r="S1293" s="3">
        <v>0</v>
      </c>
      <c r="T1293" s="3">
        <v>0</v>
      </c>
      <c r="U1293" s="3">
        <v>0</v>
      </c>
      <c r="V1293" s="3">
        <v>2021</v>
      </c>
      <c r="W1293" s="3">
        <v>336800</v>
      </c>
      <c r="X1293" s="3">
        <v>75200</v>
      </c>
      <c r="Y1293" s="3">
        <v>-261600</v>
      </c>
      <c r="Z1293" s="3">
        <v>336800</v>
      </c>
      <c r="AA1293" s="3">
        <v>-261600</v>
      </c>
      <c r="AB1293" s="3">
        <v>-78</v>
      </c>
    </row>
    <row r="1294" spans="1:28" x14ac:dyDescent="0.35">
      <c r="A1294">
        <v>2022</v>
      </c>
      <c r="B1294" t="str">
        <f t="shared" si="162"/>
        <v>68</v>
      </c>
      <c r="C1294" t="s">
        <v>458</v>
      </c>
      <c r="D1294" t="s">
        <v>35</v>
      </c>
      <c r="E1294" t="str">
        <f>"211"</f>
        <v>211</v>
      </c>
      <c r="F1294" t="s">
        <v>460</v>
      </c>
      <c r="G1294" t="str">
        <f>"008"</f>
        <v>008</v>
      </c>
      <c r="H1294" t="str">
        <f>"1141"</f>
        <v>1141</v>
      </c>
      <c r="I1294" s="3">
        <v>3801900</v>
      </c>
      <c r="J1294" s="3">
        <v>79.540000000000006</v>
      </c>
      <c r="K1294" s="3">
        <v>4779900</v>
      </c>
      <c r="L1294" s="3">
        <v>0</v>
      </c>
      <c r="M1294" s="3">
        <v>4779900</v>
      </c>
      <c r="N1294" s="3">
        <v>0</v>
      </c>
      <c r="O1294" s="3">
        <v>0</v>
      </c>
      <c r="P1294" s="3">
        <v>0</v>
      </c>
      <c r="Q1294" s="3">
        <v>0</v>
      </c>
      <c r="R1294" s="3">
        <v>-2100</v>
      </c>
      <c r="S1294" s="3">
        <v>0</v>
      </c>
      <c r="T1294" s="3">
        <v>0</v>
      </c>
      <c r="U1294" s="3">
        <v>0</v>
      </c>
      <c r="V1294" s="3">
        <v>2018</v>
      </c>
      <c r="W1294" s="3">
        <v>781200</v>
      </c>
      <c r="X1294" s="3">
        <v>4777800</v>
      </c>
      <c r="Y1294" s="3">
        <v>3996600</v>
      </c>
      <c r="Z1294" s="3">
        <v>4427000</v>
      </c>
      <c r="AA1294" s="3">
        <v>350800</v>
      </c>
      <c r="AB1294" s="3">
        <v>8</v>
      </c>
    </row>
    <row r="1295" spans="1:28" x14ac:dyDescent="0.35">
      <c r="A1295">
        <v>2022</v>
      </c>
      <c r="B1295" t="str">
        <f t="shared" si="162"/>
        <v>68</v>
      </c>
      <c r="C1295" t="s">
        <v>458</v>
      </c>
      <c r="D1295" t="s">
        <v>35</v>
      </c>
      <c r="E1295" t="str">
        <f>"211"</f>
        <v>211</v>
      </c>
      <c r="F1295" t="s">
        <v>460</v>
      </c>
      <c r="G1295" t="str">
        <f>"009"</f>
        <v>009</v>
      </c>
      <c r="H1295" t="str">
        <f>"1141"</f>
        <v>1141</v>
      </c>
      <c r="I1295" s="3">
        <v>2998600</v>
      </c>
      <c r="J1295" s="3">
        <v>79.540000000000006</v>
      </c>
      <c r="K1295" s="3">
        <v>3769900</v>
      </c>
      <c r="L1295" s="3">
        <v>0</v>
      </c>
      <c r="M1295" s="3">
        <v>3769900</v>
      </c>
      <c r="N1295" s="3">
        <v>3508600</v>
      </c>
      <c r="O1295" s="3">
        <v>3508600</v>
      </c>
      <c r="P1295" s="3">
        <v>67000</v>
      </c>
      <c r="Q1295" s="3">
        <v>67000</v>
      </c>
      <c r="R1295" s="3">
        <v>-1700</v>
      </c>
      <c r="S1295" s="3">
        <v>0</v>
      </c>
      <c r="T1295" s="3">
        <v>0</v>
      </c>
      <c r="U1295" s="3">
        <v>0</v>
      </c>
      <c r="V1295" s="3">
        <v>2018</v>
      </c>
      <c r="W1295" s="3">
        <v>4630300</v>
      </c>
      <c r="X1295" s="3">
        <v>7343800</v>
      </c>
      <c r="Y1295" s="3">
        <v>2713500</v>
      </c>
      <c r="Z1295" s="3">
        <v>7060100</v>
      </c>
      <c r="AA1295" s="3">
        <v>283700</v>
      </c>
      <c r="AB1295" s="3">
        <v>4</v>
      </c>
    </row>
    <row r="1296" spans="1:28" x14ac:dyDescent="0.35">
      <c r="A1296">
        <v>2022</v>
      </c>
      <c r="B1296" t="str">
        <f t="shared" si="162"/>
        <v>68</v>
      </c>
      <c r="C1296" t="s">
        <v>458</v>
      </c>
      <c r="D1296" t="s">
        <v>35</v>
      </c>
      <c r="E1296" t="str">
        <f>"251"</f>
        <v>251</v>
      </c>
      <c r="F1296" t="s">
        <v>461</v>
      </c>
      <c r="G1296" t="str">
        <f>"002"</f>
        <v>002</v>
      </c>
      <c r="H1296" t="str">
        <f>"3276"</f>
        <v>3276</v>
      </c>
      <c r="I1296" s="3">
        <v>872100</v>
      </c>
      <c r="J1296" s="3">
        <v>88.24</v>
      </c>
      <c r="K1296" s="3">
        <v>988300</v>
      </c>
      <c r="L1296" s="3">
        <v>0</v>
      </c>
      <c r="M1296" s="3">
        <v>988300</v>
      </c>
      <c r="N1296" s="3">
        <v>4141700</v>
      </c>
      <c r="O1296" s="3">
        <v>4141700</v>
      </c>
      <c r="P1296" s="3">
        <v>163400</v>
      </c>
      <c r="Q1296" s="3">
        <v>163400</v>
      </c>
      <c r="R1296" s="3">
        <v>-206300</v>
      </c>
      <c r="S1296" s="3">
        <v>0</v>
      </c>
      <c r="T1296" s="3">
        <v>0</v>
      </c>
      <c r="U1296" s="3">
        <v>0</v>
      </c>
      <c r="V1296" s="3">
        <v>2016</v>
      </c>
      <c r="W1296" s="3">
        <v>2392700</v>
      </c>
      <c r="X1296" s="3">
        <v>5087100</v>
      </c>
      <c r="Y1296" s="3">
        <v>2694400</v>
      </c>
      <c r="Z1296" s="3">
        <v>5202400</v>
      </c>
      <c r="AA1296" s="3">
        <v>-115300</v>
      </c>
      <c r="AB1296" s="3">
        <v>-2</v>
      </c>
    </row>
    <row r="1297" spans="1:28" x14ac:dyDescent="0.35">
      <c r="A1297">
        <v>2022</v>
      </c>
      <c r="B1297" t="str">
        <f t="shared" si="162"/>
        <v>68</v>
      </c>
      <c r="C1297" t="s">
        <v>458</v>
      </c>
      <c r="D1297" t="s">
        <v>35</v>
      </c>
      <c r="E1297" t="str">
        <f>"251"</f>
        <v>251</v>
      </c>
      <c r="F1297" t="s">
        <v>461</v>
      </c>
      <c r="G1297" t="str">
        <f>"003"</f>
        <v>003</v>
      </c>
      <c r="H1297" t="str">
        <f>"3276"</f>
        <v>3276</v>
      </c>
      <c r="I1297" s="3">
        <v>2901300</v>
      </c>
      <c r="J1297" s="3">
        <v>88.24</v>
      </c>
      <c r="K1297" s="3">
        <v>3288000</v>
      </c>
      <c r="L1297" s="3">
        <v>0</v>
      </c>
      <c r="M1297" s="3">
        <v>3288000</v>
      </c>
      <c r="N1297" s="3">
        <v>0</v>
      </c>
      <c r="O1297" s="3">
        <v>0</v>
      </c>
      <c r="P1297" s="3">
        <v>0</v>
      </c>
      <c r="Q1297" s="3">
        <v>0</v>
      </c>
      <c r="R1297" s="3">
        <v>-3200</v>
      </c>
      <c r="S1297" s="3">
        <v>0</v>
      </c>
      <c r="T1297" s="3">
        <v>0</v>
      </c>
      <c r="U1297" s="3">
        <v>0</v>
      </c>
      <c r="V1297" s="3">
        <v>2018</v>
      </c>
      <c r="W1297" s="3">
        <v>2362600</v>
      </c>
      <c r="X1297" s="3">
        <v>3284800</v>
      </c>
      <c r="Y1297" s="3">
        <v>922200</v>
      </c>
      <c r="Z1297" s="3">
        <v>3253700</v>
      </c>
      <c r="AA1297" s="3">
        <v>31100</v>
      </c>
      <c r="AB1297" s="3">
        <v>1</v>
      </c>
    </row>
    <row r="1298" spans="1:28" x14ac:dyDescent="0.35">
      <c r="A1298">
        <v>2022</v>
      </c>
      <c r="B1298" t="str">
        <f t="shared" si="162"/>
        <v>68</v>
      </c>
      <c r="C1298" t="s">
        <v>458</v>
      </c>
      <c r="D1298" t="s">
        <v>35</v>
      </c>
      <c r="E1298" t="str">
        <f>"261"</f>
        <v>261</v>
      </c>
      <c r="F1298" t="s">
        <v>462</v>
      </c>
      <c r="G1298" t="str">
        <f>"004"</f>
        <v>004</v>
      </c>
      <c r="H1298" t="str">
        <f>"3955"</f>
        <v>3955</v>
      </c>
      <c r="I1298" s="3">
        <v>1846500</v>
      </c>
      <c r="J1298" s="3">
        <v>80.400000000000006</v>
      </c>
      <c r="K1298" s="3">
        <v>2296600</v>
      </c>
      <c r="L1298" s="3">
        <v>0</v>
      </c>
      <c r="M1298" s="3">
        <v>2296600</v>
      </c>
      <c r="N1298" s="3">
        <v>0</v>
      </c>
      <c r="O1298" s="3">
        <v>0</v>
      </c>
      <c r="P1298" s="3">
        <v>0</v>
      </c>
      <c r="Q1298" s="3">
        <v>0</v>
      </c>
      <c r="R1298" s="3">
        <v>0</v>
      </c>
      <c r="S1298" s="3">
        <v>0</v>
      </c>
      <c r="T1298" s="3">
        <v>0</v>
      </c>
      <c r="U1298" s="3">
        <v>0</v>
      </c>
      <c r="V1298" s="3">
        <v>2021</v>
      </c>
      <c r="W1298" s="3">
        <v>1956900</v>
      </c>
      <c r="X1298" s="3">
        <v>2296600</v>
      </c>
      <c r="Y1298" s="3">
        <v>339700</v>
      </c>
      <c r="Z1298" s="3">
        <v>1956900</v>
      </c>
      <c r="AA1298" s="3">
        <v>339700</v>
      </c>
      <c r="AB1298" s="3">
        <v>17</v>
      </c>
    </row>
    <row r="1299" spans="1:28" x14ac:dyDescent="0.35">
      <c r="A1299">
        <v>2022</v>
      </c>
      <c r="B1299" t="str">
        <f t="shared" si="162"/>
        <v>68</v>
      </c>
      <c r="C1299" t="s">
        <v>458</v>
      </c>
      <c r="D1299" t="s">
        <v>35</v>
      </c>
      <c r="E1299" t="str">
        <f>"261"</f>
        <v>261</v>
      </c>
      <c r="F1299" t="s">
        <v>462</v>
      </c>
      <c r="G1299" t="str">
        <f>"005"</f>
        <v>005</v>
      </c>
      <c r="H1299" t="str">
        <f>"3955"</f>
        <v>3955</v>
      </c>
      <c r="I1299" s="3">
        <v>2632300</v>
      </c>
      <c r="J1299" s="3">
        <v>80.400000000000006</v>
      </c>
      <c r="K1299" s="3">
        <v>3274000</v>
      </c>
      <c r="L1299" s="3">
        <v>0</v>
      </c>
      <c r="M1299" s="3">
        <v>3274000</v>
      </c>
      <c r="N1299" s="3">
        <v>0</v>
      </c>
      <c r="O1299" s="3">
        <v>0</v>
      </c>
      <c r="P1299" s="3">
        <v>1100</v>
      </c>
      <c r="Q1299" s="3">
        <v>1100</v>
      </c>
      <c r="R1299" s="3">
        <v>0</v>
      </c>
      <c r="S1299" s="3">
        <v>0</v>
      </c>
      <c r="T1299" s="3">
        <v>0</v>
      </c>
      <c r="U1299" s="3">
        <v>0</v>
      </c>
      <c r="V1299" s="3">
        <v>2021</v>
      </c>
      <c r="W1299" s="3">
        <v>2953000</v>
      </c>
      <c r="X1299" s="3">
        <v>3275100</v>
      </c>
      <c r="Y1299" s="3">
        <v>322100</v>
      </c>
      <c r="Z1299" s="3">
        <v>2953000</v>
      </c>
      <c r="AA1299" s="3">
        <v>322100</v>
      </c>
      <c r="AB1299" s="3">
        <v>11</v>
      </c>
    </row>
    <row r="1300" spans="1:28" x14ac:dyDescent="0.35">
      <c r="A1300">
        <v>2022</v>
      </c>
      <c r="B1300" t="str">
        <f t="shared" si="162"/>
        <v>68</v>
      </c>
      <c r="C1300" t="s">
        <v>458</v>
      </c>
      <c r="D1300" t="s">
        <v>35</v>
      </c>
      <c r="E1300" t="str">
        <f>"291"</f>
        <v>291</v>
      </c>
      <c r="F1300" t="s">
        <v>458</v>
      </c>
      <c r="G1300" t="str">
        <f>"004"</f>
        <v>004</v>
      </c>
      <c r="H1300" t="str">
        <f>"6195"</f>
        <v>6195</v>
      </c>
      <c r="I1300" s="3">
        <v>28891100</v>
      </c>
      <c r="J1300" s="3">
        <v>78.099999999999994</v>
      </c>
      <c r="K1300" s="3">
        <v>36992400</v>
      </c>
      <c r="L1300" s="3">
        <v>0</v>
      </c>
      <c r="M1300" s="3">
        <v>36992400</v>
      </c>
      <c r="N1300" s="3">
        <v>0</v>
      </c>
      <c r="O1300" s="3">
        <v>0</v>
      </c>
      <c r="P1300" s="3">
        <v>0</v>
      </c>
      <c r="Q1300" s="3">
        <v>0</v>
      </c>
      <c r="R1300" s="3">
        <v>15000</v>
      </c>
      <c r="S1300" s="3">
        <v>0</v>
      </c>
      <c r="T1300" s="3">
        <v>0</v>
      </c>
      <c r="U1300" s="3">
        <v>0</v>
      </c>
      <c r="V1300" s="3">
        <v>2000</v>
      </c>
      <c r="W1300" s="3">
        <v>2901600</v>
      </c>
      <c r="X1300" s="3">
        <v>37007400</v>
      </c>
      <c r="Y1300" s="3">
        <v>34105800</v>
      </c>
      <c r="Z1300" s="3">
        <v>32925300</v>
      </c>
      <c r="AA1300" s="3">
        <v>4082100</v>
      </c>
      <c r="AB1300" s="3">
        <v>12</v>
      </c>
    </row>
    <row r="1301" spans="1:28" x14ac:dyDescent="0.35">
      <c r="A1301">
        <v>2022</v>
      </c>
      <c r="B1301" t="str">
        <f t="shared" si="162"/>
        <v>68</v>
      </c>
      <c r="C1301" t="s">
        <v>458</v>
      </c>
      <c r="D1301" t="s">
        <v>35</v>
      </c>
      <c r="E1301" t="str">
        <f>"291"</f>
        <v>291</v>
      </c>
      <c r="F1301" t="s">
        <v>458</v>
      </c>
      <c r="G1301" t="str">
        <f>"008"</f>
        <v>008</v>
      </c>
      <c r="H1301" t="str">
        <f>"6195"</f>
        <v>6195</v>
      </c>
      <c r="I1301" s="3">
        <v>15307600</v>
      </c>
      <c r="J1301" s="3">
        <v>78.099999999999994</v>
      </c>
      <c r="K1301" s="3">
        <v>19600000</v>
      </c>
      <c r="L1301" s="3">
        <v>0</v>
      </c>
      <c r="M1301" s="3">
        <v>19600000</v>
      </c>
      <c r="N1301" s="3">
        <v>0</v>
      </c>
      <c r="O1301" s="3">
        <v>0</v>
      </c>
      <c r="P1301" s="3">
        <v>0</v>
      </c>
      <c r="Q1301" s="3">
        <v>0</v>
      </c>
      <c r="R1301" s="3">
        <v>6600</v>
      </c>
      <c r="S1301" s="3">
        <v>0</v>
      </c>
      <c r="T1301" s="3">
        <v>0</v>
      </c>
      <c r="U1301" s="3">
        <v>0</v>
      </c>
      <c r="V1301" s="3">
        <v>2001</v>
      </c>
      <c r="W1301" s="3">
        <v>1772600</v>
      </c>
      <c r="X1301" s="3">
        <v>19606600</v>
      </c>
      <c r="Y1301" s="3">
        <v>17834000</v>
      </c>
      <c r="Z1301" s="3">
        <v>14425400</v>
      </c>
      <c r="AA1301" s="3">
        <v>5181200</v>
      </c>
      <c r="AB1301" s="3">
        <v>36</v>
      </c>
    </row>
    <row r="1302" spans="1:28" x14ac:dyDescent="0.35">
      <c r="A1302">
        <v>2022</v>
      </c>
      <c r="B1302" t="str">
        <f t="shared" si="162"/>
        <v>68</v>
      </c>
      <c r="C1302" t="s">
        <v>458</v>
      </c>
      <c r="D1302" t="s">
        <v>35</v>
      </c>
      <c r="E1302" t="str">
        <f>"291"</f>
        <v>291</v>
      </c>
      <c r="F1302" t="s">
        <v>458</v>
      </c>
      <c r="G1302" t="str">
        <f>"010"</f>
        <v>010</v>
      </c>
      <c r="H1302" t="str">
        <f>"6195"</f>
        <v>6195</v>
      </c>
      <c r="I1302" s="3">
        <v>2520100</v>
      </c>
      <c r="J1302" s="3">
        <v>78.099999999999994</v>
      </c>
      <c r="K1302" s="3">
        <v>3226800</v>
      </c>
      <c r="L1302" s="3">
        <v>0</v>
      </c>
      <c r="M1302" s="3">
        <v>3226800</v>
      </c>
      <c r="N1302" s="3">
        <v>0</v>
      </c>
      <c r="O1302" s="3">
        <v>0</v>
      </c>
      <c r="P1302" s="3">
        <v>0</v>
      </c>
      <c r="Q1302" s="3">
        <v>0</v>
      </c>
      <c r="R1302" s="3">
        <v>1300</v>
      </c>
      <c r="S1302" s="3">
        <v>0</v>
      </c>
      <c r="T1302" s="3">
        <v>0</v>
      </c>
      <c r="U1302" s="3">
        <v>0</v>
      </c>
      <c r="V1302" s="3">
        <v>2001</v>
      </c>
      <c r="W1302" s="3">
        <v>281800</v>
      </c>
      <c r="X1302" s="3">
        <v>3228100</v>
      </c>
      <c r="Y1302" s="3">
        <v>2946300</v>
      </c>
      <c r="Z1302" s="3">
        <v>2896500</v>
      </c>
      <c r="AA1302" s="3">
        <v>331600</v>
      </c>
      <c r="AB1302" s="3">
        <v>11</v>
      </c>
    </row>
    <row r="1303" spans="1:28" x14ac:dyDescent="0.35">
      <c r="A1303">
        <v>2022</v>
      </c>
      <c r="B1303" t="str">
        <f t="shared" si="162"/>
        <v>68</v>
      </c>
      <c r="C1303" t="s">
        <v>458</v>
      </c>
      <c r="D1303" t="s">
        <v>35</v>
      </c>
      <c r="E1303" t="str">
        <f>"292"</f>
        <v>292</v>
      </c>
      <c r="F1303" t="s">
        <v>463</v>
      </c>
      <c r="G1303" t="str">
        <f>"004"</f>
        <v>004</v>
      </c>
      <c r="H1303" t="str">
        <f>"6384"</f>
        <v>6384</v>
      </c>
      <c r="I1303" s="3">
        <v>5436100</v>
      </c>
      <c r="J1303" s="3">
        <v>75.61</v>
      </c>
      <c r="K1303" s="3">
        <v>7189700</v>
      </c>
      <c r="L1303" s="3">
        <v>0</v>
      </c>
      <c r="M1303" s="3">
        <v>7189700</v>
      </c>
      <c r="N1303" s="3">
        <v>559300</v>
      </c>
      <c r="O1303" s="3">
        <v>559300</v>
      </c>
      <c r="P1303" s="3">
        <v>63900</v>
      </c>
      <c r="Q1303" s="3">
        <v>63900</v>
      </c>
      <c r="R1303" s="3">
        <v>-11400</v>
      </c>
      <c r="S1303" s="3">
        <v>0</v>
      </c>
      <c r="T1303" s="3">
        <v>0</v>
      </c>
      <c r="U1303" s="3">
        <v>0</v>
      </c>
      <c r="V1303" s="3">
        <v>2001</v>
      </c>
      <c r="W1303" s="3">
        <v>458800</v>
      </c>
      <c r="X1303" s="3">
        <v>7801500</v>
      </c>
      <c r="Y1303" s="3">
        <v>7342700</v>
      </c>
      <c r="Z1303" s="3">
        <v>6516300</v>
      </c>
      <c r="AA1303" s="3">
        <v>1285200</v>
      </c>
      <c r="AB1303" s="3">
        <v>20</v>
      </c>
    </row>
    <row r="1304" spans="1:28" x14ac:dyDescent="0.35">
      <c r="A1304">
        <v>2022</v>
      </c>
      <c r="B1304" t="str">
        <f t="shared" si="162"/>
        <v>68</v>
      </c>
      <c r="C1304" t="s">
        <v>458</v>
      </c>
      <c r="D1304" t="s">
        <v>35</v>
      </c>
      <c r="E1304" t="str">
        <f>"292"</f>
        <v>292</v>
      </c>
      <c r="F1304" t="s">
        <v>463</v>
      </c>
      <c r="G1304" t="str">
        <f>"005"</f>
        <v>005</v>
      </c>
      <c r="H1304" t="str">
        <f>"6384"</f>
        <v>6384</v>
      </c>
      <c r="I1304" s="3">
        <v>2257700</v>
      </c>
      <c r="J1304" s="3">
        <v>75.61</v>
      </c>
      <c r="K1304" s="3">
        <v>2986000</v>
      </c>
      <c r="L1304" s="3">
        <v>0</v>
      </c>
      <c r="M1304" s="3">
        <v>2986000</v>
      </c>
      <c r="N1304" s="3">
        <v>0</v>
      </c>
      <c r="O1304" s="3">
        <v>0</v>
      </c>
      <c r="P1304" s="3">
        <v>0</v>
      </c>
      <c r="Q1304" s="3">
        <v>0</v>
      </c>
      <c r="R1304" s="3">
        <v>-5000</v>
      </c>
      <c r="S1304" s="3">
        <v>0</v>
      </c>
      <c r="T1304" s="3">
        <v>0</v>
      </c>
      <c r="U1304" s="3">
        <v>0</v>
      </c>
      <c r="V1304" s="3">
        <v>2007</v>
      </c>
      <c r="W1304" s="3">
        <v>1858800</v>
      </c>
      <c r="X1304" s="3">
        <v>2981000</v>
      </c>
      <c r="Y1304" s="3">
        <v>1122200</v>
      </c>
      <c r="Z1304" s="3">
        <v>2593200</v>
      </c>
      <c r="AA1304" s="3">
        <v>387800</v>
      </c>
      <c r="AB1304" s="3">
        <v>15</v>
      </c>
    </row>
    <row r="1305" spans="1:28" x14ac:dyDescent="0.35">
      <c r="A1305">
        <v>2022</v>
      </c>
      <c r="B1305" t="str">
        <f t="shared" si="162"/>
        <v>68</v>
      </c>
      <c r="C1305" t="s">
        <v>458</v>
      </c>
      <c r="D1305" t="s">
        <v>35</v>
      </c>
      <c r="E1305" t="str">
        <f>"292"</f>
        <v>292</v>
      </c>
      <c r="F1305" t="s">
        <v>463</v>
      </c>
      <c r="G1305" t="str">
        <f>"006"</f>
        <v>006</v>
      </c>
      <c r="H1305" t="str">
        <f>"6384"</f>
        <v>6384</v>
      </c>
      <c r="I1305" s="3">
        <v>0</v>
      </c>
      <c r="J1305" s="3">
        <v>75.61</v>
      </c>
      <c r="K1305" s="3">
        <v>0</v>
      </c>
      <c r="L1305" s="3">
        <v>0</v>
      </c>
      <c r="M1305" s="3">
        <v>0</v>
      </c>
      <c r="N1305" s="3">
        <v>9983800</v>
      </c>
      <c r="O1305" s="3">
        <v>9983800</v>
      </c>
      <c r="P1305" s="3">
        <v>974700</v>
      </c>
      <c r="Q1305" s="3">
        <v>974700</v>
      </c>
      <c r="R1305" s="3">
        <v>-100</v>
      </c>
      <c r="S1305" s="3">
        <v>0</v>
      </c>
      <c r="T1305" s="3">
        <v>0</v>
      </c>
      <c r="U1305" s="3">
        <v>0</v>
      </c>
      <c r="V1305" s="3">
        <v>2015</v>
      </c>
      <c r="W1305" s="3">
        <v>6611000</v>
      </c>
      <c r="X1305" s="3">
        <v>10958400</v>
      </c>
      <c r="Y1305" s="3">
        <v>4347400</v>
      </c>
      <c r="Z1305" s="3">
        <v>10958100</v>
      </c>
      <c r="AA1305" s="3">
        <v>300</v>
      </c>
      <c r="AB1305" s="3">
        <v>0</v>
      </c>
    </row>
    <row r="1306" spans="1:28" x14ac:dyDescent="0.35">
      <c r="A1306">
        <v>2022</v>
      </c>
      <c r="B1306" t="str">
        <f t="shared" si="162"/>
        <v>68</v>
      </c>
      <c r="C1306" t="s">
        <v>458</v>
      </c>
      <c r="D1306" t="s">
        <v>35</v>
      </c>
      <c r="E1306" t="str">
        <f>"292"</f>
        <v>292</v>
      </c>
      <c r="F1306" t="s">
        <v>463</v>
      </c>
      <c r="G1306" t="str">
        <f>"007"</f>
        <v>007</v>
      </c>
      <c r="H1306" t="str">
        <f>"6384"</f>
        <v>6384</v>
      </c>
      <c r="I1306" s="3">
        <v>1349200</v>
      </c>
      <c r="J1306" s="3">
        <v>75.61</v>
      </c>
      <c r="K1306" s="3">
        <v>1784400</v>
      </c>
      <c r="L1306" s="3">
        <v>0</v>
      </c>
      <c r="M1306" s="3">
        <v>1784400</v>
      </c>
      <c r="N1306" s="3">
        <v>0</v>
      </c>
      <c r="O1306" s="3">
        <v>0</v>
      </c>
      <c r="P1306" s="3">
        <v>0</v>
      </c>
      <c r="Q1306" s="3">
        <v>0</v>
      </c>
      <c r="R1306" s="3">
        <v>-2900</v>
      </c>
      <c r="S1306" s="3">
        <v>0</v>
      </c>
      <c r="T1306" s="3">
        <v>0</v>
      </c>
      <c r="U1306" s="3">
        <v>0</v>
      </c>
      <c r="V1306" s="3">
        <v>2015</v>
      </c>
      <c r="W1306" s="3">
        <v>749700</v>
      </c>
      <c r="X1306" s="3">
        <v>1781500</v>
      </c>
      <c r="Y1306" s="3">
        <v>1031800</v>
      </c>
      <c r="Z1306" s="3">
        <v>1504700</v>
      </c>
      <c r="AA1306" s="3">
        <v>276800</v>
      </c>
      <c r="AB1306" s="3">
        <v>18</v>
      </c>
    </row>
    <row r="1307" spans="1:28" x14ac:dyDescent="0.35">
      <c r="A1307">
        <v>2022</v>
      </c>
      <c r="B1307" t="str">
        <f t="shared" ref="B1307:B1315" si="163">"69"</f>
        <v>69</v>
      </c>
      <c r="C1307" t="s">
        <v>464</v>
      </c>
      <c r="D1307" t="s">
        <v>33</v>
      </c>
      <c r="E1307" t="str">
        <f>"111"</f>
        <v>111</v>
      </c>
      <c r="F1307" t="s">
        <v>465</v>
      </c>
      <c r="G1307" t="str">
        <f>"002"</f>
        <v>002</v>
      </c>
      <c r="H1307" t="str">
        <f>"6335"</f>
        <v>6335</v>
      </c>
      <c r="I1307" s="3">
        <v>4673800</v>
      </c>
      <c r="J1307" s="3">
        <v>80.150000000000006</v>
      </c>
      <c r="K1307" s="3">
        <v>5831300</v>
      </c>
      <c r="L1307" s="3">
        <v>0</v>
      </c>
      <c r="M1307" s="3">
        <v>5831300</v>
      </c>
      <c r="N1307" s="3">
        <v>0</v>
      </c>
      <c r="O1307" s="3">
        <v>0</v>
      </c>
      <c r="P1307" s="3">
        <v>0</v>
      </c>
      <c r="Q1307" s="3">
        <v>0</v>
      </c>
      <c r="R1307" s="3">
        <v>-3000</v>
      </c>
      <c r="S1307" s="3">
        <v>0</v>
      </c>
      <c r="T1307" s="3">
        <v>0</v>
      </c>
      <c r="U1307" s="3">
        <v>0</v>
      </c>
      <c r="V1307" s="3">
        <v>2005</v>
      </c>
      <c r="W1307" s="3">
        <v>1243100</v>
      </c>
      <c r="X1307" s="3">
        <v>5828300</v>
      </c>
      <c r="Y1307" s="3">
        <v>4585200</v>
      </c>
      <c r="Z1307" s="3">
        <v>5332800</v>
      </c>
      <c r="AA1307" s="3">
        <v>495500</v>
      </c>
      <c r="AB1307" s="3">
        <v>9</v>
      </c>
    </row>
    <row r="1308" spans="1:28" x14ac:dyDescent="0.35">
      <c r="A1308">
        <v>2022</v>
      </c>
      <c r="B1308" t="str">
        <f t="shared" si="163"/>
        <v>69</v>
      </c>
      <c r="C1308" t="s">
        <v>464</v>
      </c>
      <c r="D1308" t="s">
        <v>33</v>
      </c>
      <c r="E1308" t="str">
        <f>"136"</f>
        <v>136</v>
      </c>
      <c r="F1308" t="s">
        <v>466</v>
      </c>
      <c r="G1308" t="str">
        <f>"001"</f>
        <v>001</v>
      </c>
      <c r="H1308" t="str">
        <f>"4375"</f>
        <v>4375</v>
      </c>
      <c r="I1308" s="3">
        <v>812700</v>
      </c>
      <c r="J1308" s="3">
        <v>70.89</v>
      </c>
      <c r="K1308" s="3">
        <v>1146400</v>
      </c>
      <c r="L1308" s="3">
        <v>0</v>
      </c>
      <c r="M1308" s="3">
        <v>1146400</v>
      </c>
      <c r="N1308" s="3">
        <v>0</v>
      </c>
      <c r="O1308" s="3">
        <v>0</v>
      </c>
      <c r="P1308" s="3">
        <v>0</v>
      </c>
      <c r="Q1308" s="3">
        <v>0</v>
      </c>
      <c r="R1308" s="3">
        <v>-700</v>
      </c>
      <c r="S1308" s="3">
        <v>0</v>
      </c>
      <c r="T1308" s="3">
        <v>0</v>
      </c>
      <c r="U1308" s="3">
        <v>0</v>
      </c>
      <c r="V1308" s="3">
        <v>2016</v>
      </c>
      <c r="W1308" s="3">
        <v>473900</v>
      </c>
      <c r="X1308" s="3">
        <v>1145700</v>
      </c>
      <c r="Y1308" s="3">
        <v>671800</v>
      </c>
      <c r="Z1308" s="3">
        <v>976600</v>
      </c>
      <c r="AA1308" s="3">
        <v>169100</v>
      </c>
      <c r="AB1308" s="3">
        <v>17</v>
      </c>
    </row>
    <row r="1309" spans="1:28" x14ac:dyDescent="0.35">
      <c r="A1309">
        <v>2022</v>
      </c>
      <c r="B1309" t="str">
        <f t="shared" si="163"/>
        <v>69</v>
      </c>
      <c r="C1309" t="s">
        <v>464</v>
      </c>
      <c r="D1309" t="s">
        <v>33</v>
      </c>
      <c r="E1309" t="str">
        <f>"171"</f>
        <v>171</v>
      </c>
      <c r="F1309" t="s">
        <v>467</v>
      </c>
      <c r="G1309" t="str">
        <f>"001"</f>
        <v>001</v>
      </c>
      <c r="H1309" t="str">
        <f>"4375"</f>
        <v>4375</v>
      </c>
      <c r="I1309" s="3">
        <v>3776400</v>
      </c>
      <c r="J1309" s="3">
        <v>76.89</v>
      </c>
      <c r="K1309" s="3">
        <v>4911400</v>
      </c>
      <c r="L1309" s="3">
        <v>0</v>
      </c>
      <c r="M1309" s="3">
        <v>4911400</v>
      </c>
      <c r="N1309" s="3">
        <v>0</v>
      </c>
      <c r="O1309" s="3">
        <v>0</v>
      </c>
      <c r="P1309" s="3">
        <v>0</v>
      </c>
      <c r="Q1309" s="3">
        <v>0</v>
      </c>
      <c r="R1309" s="3">
        <v>-1000</v>
      </c>
      <c r="S1309" s="3">
        <v>0</v>
      </c>
      <c r="T1309" s="3">
        <v>0</v>
      </c>
      <c r="U1309" s="3">
        <v>0</v>
      </c>
      <c r="V1309" s="3">
        <v>2015</v>
      </c>
      <c r="W1309" s="3">
        <v>1952900</v>
      </c>
      <c r="X1309" s="3">
        <v>4910400</v>
      </c>
      <c r="Y1309" s="3">
        <v>2957500</v>
      </c>
      <c r="Z1309" s="3">
        <v>4271200</v>
      </c>
      <c r="AA1309" s="3">
        <v>639200</v>
      </c>
      <c r="AB1309" s="3">
        <v>15</v>
      </c>
    </row>
    <row r="1310" spans="1:28" x14ac:dyDescent="0.35">
      <c r="A1310">
        <v>2022</v>
      </c>
      <c r="B1310" t="str">
        <f t="shared" si="163"/>
        <v>69</v>
      </c>
      <c r="C1310" t="s">
        <v>464</v>
      </c>
      <c r="D1310" t="s">
        <v>33</v>
      </c>
      <c r="E1310" t="str">
        <f>"176"</f>
        <v>176</v>
      </c>
      <c r="F1310" t="s">
        <v>468</v>
      </c>
      <c r="G1310" t="str">
        <f>"001"</f>
        <v>001</v>
      </c>
      <c r="H1310" t="str">
        <f>"6237"</f>
        <v>6237</v>
      </c>
      <c r="I1310" s="3">
        <v>11051000</v>
      </c>
      <c r="J1310" s="3">
        <v>75.78</v>
      </c>
      <c r="K1310" s="3">
        <v>14583000</v>
      </c>
      <c r="L1310" s="3">
        <v>0</v>
      </c>
      <c r="M1310" s="3">
        <v>14583000</v>
      </c>
      <c r="N1310" s="3">
        <v>0</v>
      </c>
      <c r="O1310" s="3">
        <v>0</v>
      </c>
      <c r="P1310" s="3">
        <v>0</v>
      </c>
      <c r="Q1310" s="3">
        <v>0</v>
      </c>
      <c r="R1310" s="3">
        <v>-24000</v>
      </c>
      <c r="S1310" s="3">
        <v>0</v>
      </c>
      <c r="T1310" s="3">
        <v>0</v>
      </c>
      <c r="U1310" s="3">
        <v>0</v>
      </c>
      <c r="V1310" s="3">
        <v>1997</v>
      </c>
      <c r="W1310" s="3">
        <v>1459000</v>
      </c>
      <c r="X1310" s="3">
        <v>14559000</v>
      </c>
      <c r="Y1310" s="3">
        <v>13100000</v>
      </c>
      <c r="Z1310" s="3">
        <v>12987000</v>
      </c>
      <c r="AA1310" s="3">
        <v>1572000</v>
      </c>
      <c r="AB1310" s="3">
        <v>12</v>
      </c>
    </row>
    <row r="1311" spans="1:28" x14ac:dyDescent="0.35">
      <c r="A1311">
        <v>2022</v>
      </c>
      <c r="B1311" t="str">
        <f t="shared" si="163"/>
        <v>69</v>
      </c>
      <c r="C1311" t="s">
        <v>464</v>
      </c>
      <c r="D1311" t="s">
        <v>33</v>
      </c>
      <c r="E1311" t="str">
        <f>"176"</f>
        <v>176</v>
      </c>
      <c r="F1311" t="s">
        <v>468</v>
      </c>
      <c r="G1311" t="str">
        <f>"002"</f>
        <v>002</v>
      </c>
      <c r="H1311" t="str">
        <f>"6237"</f>
        <v>6237</v>
      </c>
      <c r="I1311" s="3">
        <v>99800</v>
      </c>
      <c r="J1311" s="3">
        <v>75.78</v>
      </c>
      <c r="K1311" s="3">
        <v>131700</v>
      </c>
      <c r="L1311" s="3">
        <v>0</v>
      </c>
      <c r="M1311" s="3">
        <v>131700</v>
      </c>
      <c r="N1311" s="3">
        <v>340400</v>
      </c>
      <c r="O1311" s="3">
        <v>340400</v>
      </c>
      <c r="P1311" s="3">
        <v>3100</v>
      </c>
      <c r="Q1311" s="3">
        <v>3100</v>
      </c>
      <c r="R1311" s="3">
        <v>-200</v>
      </c>
      <c r="S1311" s="3">
        <v>0</v>
      </c>
      <c r="T1311" s="3">
        <v>0</v>
      </c>
      <c r="U1311" s="3">
        <v>0</v>
      </c>
      <c r="V1311" s="3">
        <v>1997</v>
      </c>
      <c r="W1311" s="3">
        <v>46200</v>
      </c>
      <c r="X1311" s="3">
        <v>475000</v>
      </c>
      <c r="Y1311" s="3">
        <v>428800</v>
      </c>
      <c r="Z1311" s="3">
        <v>463600</v>
      </c>
      <c r="AA1311" s="3">
        <v>11400</v>
      </c>
      <c r="AB1311" s="3">
        <v>2</v>
      </c>
    </row>
    <row r="1312" spans="1:28" x14ac:dyDescent="0.35">
      <c r="A1312">
        <v>2022</v>
      </c>
      <c r="B1312" t="str">
        <f t="shared" si="163"/>
        <v>69</v>
      </c>
      <c r="C1312" t="s">
        <v>464</v>
      </c>
      <c r="D1312" t="s">
        <v>33</v>
      </c>
      <c r="E1312" t="str">
        <f>"191"</f>
        <v>191</v>
      </c>
      <c r="F1312" t="s">
        <v>469</v>
      </c>
      <c r="G1312" t="str">
        <f>"002"</f>
        <v>002</v>
      </c>
      <c r="H1312" t="str">
        <f>"6475"</f>
        <v>6475</v>
      </c>
      <c r="I1312" s="3">
        <v>2281100</v>
      </c>
      <c r="J1312" s="3">
        <v>87.2</v>
      </c>
      <c r="K1312" s="3">
        <v>2615900</v>
      </c>
      <c r="L1312" s="3">
        <v>0</v>
      </c>
      <c r="M1312" s="3">
        <v>2615900</v>
      </c>
      <c r="N1312" s="3">
        <v>0</v>
      </c>
      <c r="O1312" s="3">
        <v>0</v>
      </c>
      <c r="P1312" s="3">
        <v>0</v>
      </c>
      <c r="Q1312" s="3">
        <v>0</v>
      </c>
      <c r="R1312" s="3">
        <v>-109500</v>
      </c>
      <c r="S1312" s="3">
        <v>0</v>
      </c>
      <c r="T1312" s="3">
        <v>0</v>
      </c>
      <c r="U1312" s="3">
        <v>0</v>
      </c>
      <c r="V1312" s="3">
        <v>2000</v>
      </c>
      <c r="W1312" s="3">
        <v>1005000</v>
      </c>
      <c r="X1312" s="3">
        <v>2506400</v>
      </c>
      <c r="Y1312" s="3">
        <v>1501400</v>
      </c>
      <c r="Z1312" s="3">
        <v>2371000</v>
      </c>
      <c r="AA1312" s="3">
        <v>135400</v>
      </c>
      <c r="AB1312" s="3">
        <v>6</v>
      </c>
    </row>
    <row r="1313" spans="1:28" x14ac:dyDescent="0.35">
      <c r="A1313">
        <v>2022</v>
      </c>
      <c r="B1313" t="str">
        <f t="shared" si="163"/>
        <v>69</v>
      </c>
      <c r="C1313" t="s">
        <v>464</v>
      </c>
      <c r="D1313" t="s">
        <v>33</v>
      </c>
      <c r="E1313" t="str">
        <f>"191"</f>
        <v>191</v>
      </c>
      <c r="F1313" t="s">
        <v>469</v>
      </c>
      <c r="G1313" t="str">
        <f>"003"</f>
        <v>003</v>
      </c>
      <c r="H1313" t="str">
        <f>"6475"</f>
        <v>6475</v>
      </c>
      <c r="I1313" s="3">
        <v>2557500</v>
      </c>
      <c r="J1313" s="3">
        <v>87.2</v>
      </c>
      <c r="K1313" s="3">
        <v>2932900</v>
      </c>
      <c r="L1313" s="3">
        <v>0</v>
      </c>
      <c r="M1313" s="3">
        <v>2932900</v>
      </c>
      <c r="N1313" s="3">
        <v>0</v>
      </c>
      <c r="O1313" s="3">
        <v>0</v>
      </c>
      <c r="P1313" s="3">
        <v>0</v>
      </c>
      <c r="Q1313" s="3">
        <v>0</v>
      </c>
      <c r="R1313" s="3">
        <v>-72000</v>
      </c>
      <c r="S1313" s="3">
        <v>0</v>
      </c>
      <c r="T1313" s="3">
        <v>0</v>
      </c>
      <c r="U1313" s="3">
        <v>0</v>
      </c>
      <c r="V1313" s="3">
        <v>2006</v>
      </c>
      <c r="W1313" s="3">
        <v>835600</v>
      </c>
      <c r="X1313" s="3">
        <v>2860900</v>
      </c>
      <c r="Y1313" s="3">
        <v>2025300</v>
      </c>
      <c r="Z1313" s="3">
        <v>2590000</v>
      </c>
      <c r="AA1313" s="3">
        <v>270900</v>
      </c>
      <c r="AB1313" s="3">
        <v>10</v>
      </c>
    </row>
    <row r="1314" spans="1:28" x14ac:dyDescent="0.35">
      <c r="A1314">
        <v>2022</v>
      </c>
      <c r="B1314" t="str">
        <f t="shared" si="163"/>
        <v>69</v>
      </c>
      <c r="C1314" t="s">
        <v>464</v>
      </c>
      <c r="D1314" t="s">
        <v>35</v>
      </c>
      <c r="E1314" t="str">
        <f>"206"</f>
        <v>206</v>
      </c>
      <c r="F1314" t="s">
        <v>189</v>
      </c>
      <c r="G1314" t="str">
        <f>"010"</f>
        <v>010</v>
      </c>
      <c r="H1314" t="str">
        <f>"0434"</f>
        <v>0434</v>
      </c>
      <c r="I1314" s="3">
        <v>24400</v>
      </c>
      <c r="J1314" s="3">
        <v>65.56</v>
      </c>
      <c r="K1314" s="3">
        <v>37200</v>
      </c>
      <c r="L1314" s="3">
        <v>0</v>
      </c>
      <c r="M1314" s="3">
        <v>37200</v>
      </c>
      <c r="N1314" s="3">
        <v>6795500</v>
      </c>
      <c r="O1314" s="3">
        <v>6795500</v>
      </c>
      <c r="P1314" s="3">
        <v>1056200</v>
      </c>
      <c r="Q1314" s="3">
        <v>1056200</v>
      </c>
      <c r="R1314" s="3">
        <v>-200</v>
      </c>
      <c r="S1314" s="3">
        <v>0</v>
      </c>
      <c r="T1314" s="3">
        <v>0</v>
      </c>
      <c r="U1314" s="3">
        <v>0</v>
      </c>
      <c r="V1314" s="3">
        <v>1993</v>
      </c>
      <c r="W1314" s="3">
        <v>49300</v>
      </c>
      <c r="X1314" s="3">
        <v>7888700</v>
      </c>
      <c r="Y1314" s="3">
        <v>7839400</v>
      </c>
      <c r="Z1314" s="3">
        <v>8284300</v>
      </c>
      <c r="AA1314" s="3">
        <v>-395600</v>
      </c>
      <c r="AB1314" s="3">
        <v>-5</v>
      </c>
    </row>
    <row r="1315" spans="1:28" x14ac:dyDescent="0.35">
      <c r="A1315">
        <v>2022</v>
      </c>
      <c r="B1315" t="str">
        <f t="shared" si="163"/>
        <v>69</v>
      </c>
      <c r="C1315" t="s">
        <v>464</v>
      </c>
      <c r="D1315" t="s">
        <v>35</v>
      </c>
      <c r="E1315" t="str">
        <f>"291"</f>
        <v>291</v>
      </c>
      <c r="F1315" t="s">
        <v>470</v>
      </c>
      <c r="G1315" t="str">
        <f>"001"</f>
        <v>001</v>
      </c>
      <c r="H1315" t="str">
        <f>"6237"</f>
        <v>6237</v>
      </c>
      <c r="I1315" s="3">
        <v>24071700</v>
      </c>
      <c r="J1315" s="3">
        <v>75.900000000000006</v>
      </c>
      <c r="K1315" s="3">
        <v>31715000</v>
      </c>
      <c r="L1315" s="3">
        <v>0</v>
      </c>
      <c r="M1315" s="3">
        <v>31715000</v>
      </c>
      <c r="N1315" s="3">
        <v>2969400</v>
      </c>
      <c r="O1315" s="3">
        <v>2969400</v>
      </c>
      <c r="P1315" s="3">
        <v>874200</v>
      </c>
      <c r="Q1315" s="3">
        <v>874200</v>
      </c>
      <c r="R1315" s="3">
        <v>-145100</v>
      </c>
      <c r="S1315" s="3">
        <v>0</v>
      </c>
      <c r="T1315" s="3">
        <v>0</v>
      </c>
      <c r="U1315" s="3">
        <v>0</v>
      </c>
      <c r="V1315" s="3">
        <v>1995</v>
      </c>
      <c r="W1315" s="3">
        <v>4137900</v>
      </c>
      <c r="X1315" s="3">
        <v>35413500</v>
      </c>
      <c r="Y1315" s="3">
        <v>31275600</v>
      </c>
      <c r="Z1315" s="3">
        <v>30561700</v>
      </c>
      <c r="AA1315" s="3">
        <v>4851800</v>
      </c>
      <c r="AB1315" s="3">
        <v>16</v>
      </c>
    </row>
    <row r="1316" spans="1:28" x14ac:dyDescent="0.35">
      <c r="A1316">
        <v>2022</v>
      </c>
      <c r="B1316" t="str">
        <f t="shared" ref="B1316:B1347" si="164">"70"</f>
        <v>70</v>
      </c>
      <c r="C1316" t="s">
        <v>471</v>
      </c>
      <c r="D1316" t="s">
        <v>31</v>
      </c>
      <c r="E1316" t="str">
        <f>"006"</f>
        <v>006</v>
      </c>
      <c r="F1316" t="s">
        <v>330</v>
      </c>
      <c r="G1316" t="str">
        <f>"001A"</f>
        <v>001A</v>
      </c>
      <c r="H1316" t="str">
        <f>"3892"</f>
        <v>3892</v>
      </c>
      <c r="I1316" s="3">
        <v>26112900</v>
      </c>
      <c r="J1316" s="3">
        <v>88.22</v>
      </c>
      <c r="K1316" s="3">
        <v>29599800</v>
      </c>
      <c r="L1316" s="3">
        <v>0</v>
      </c>
      <c r="M1316" s="3">
        <v>29599800</v>
      </c>
      <c r="N1316" s="3">
        <v>10206300</v>
      </c>
      <c r="O1316" s="3">
        <v>10206300</v>
      </c>
      <c r="P1316" s="3">
        <v>17391300</v>
      </c>
      <c r="Q1316" s="3">
        <v>17391300</v>
      </c>
      <c r="R1316" s="3">
        <v>976900</v>
      </c>
      <c r="S1316" s="3">
        <v>0</v>
      </c>
      <c r="T1316" s="3">
        <v>0</v>
      </c>
      <c r="U1316" s="3">
        <v>0</v>
      </c>
      <c r="V1316" s="3">
        <v>2019</v>
      </c>
      <c r="W1316" s="3">
        <v>49721700</v>
      </c>
      <c r="X1316" s="3">
        <v>58174300</v>
      </c>
      <c r="Y1316" s="3">
        <v>8452600</v>
      </c>
      <c r="Z1316" s="3">
        <v>54566400</v>
      </c>
      <c r="AA1316" s="3">
        <v>3607900</v>
      </c>
      <c r="AB1316" s="3">
        <v>7</v>
      </c>
    </row>
    <row r="1317" spans="1:28" x14ac:dyDescent="0.35">
      <c r="A1317">
        <v>2022</v>
      </c>
      <c r="B1317" t="str">
        <f t="shared" si="164"/>
        <v>70</v>
      </c>
      <c r="C1317" t="s">
        <v>471</v>
      </c>
      <c r="D1317" t="s">
        <v>33</v>
      </c>
      <c r="E1317" t="str">
        <f>"121"</f>
        <v>121</v>
      </c>
      <c r="F1317" t="s">
        <v>472</v>
      </c>
      <c r="G1317" t="str">
        <f>"001"</f>
        <v>001</v>
      </c>
      <c r="H1317" t="str">
        <f>"3892"</f>
        <v>3892</v>
      </c>
      <c r="I1317" s="3">
        <v>36517100</v>
      </c>
      <c r="J1317" s="3">
        <v>100</v>
      </c>
      <c r="K1317" s="3">
        <v>36517100</v>
      </c>
      <c r="L1317" s="3">
        <v>0</v>
      </c>
      <c r="M1317" s="3">
        <v>36517100</v>
      </c>
      <c r="N1317" s="3">
        <v>0</v>
      </c>
      <c r="O1317" s="3">
        <v>0</v>
      </c>
      <c r="P1317" s="3">
        <v>0</v>
      </c>
      <c r="Q1317" s="3">
        <v>0</v>
      </c>
      <c r="R1317" s="3">
        <v>-112800</v>
      </c>
      <c r="S1317" s="3">
        <v>0</v>
      </c>
      <c r="T1317" s="3">
        <v>0</v>
      </c>
      <c r="U1317" s="3">
        <v>0</v>
      </c>
      <c r="V1317" s="3">
        <v>2015</v>
      </c>
      <c r="W1317" s="3">
        <v>2732300</v>
      </c>
      <c r="X1317" s="3">
        <v>36404300</v>
      </c>
      <c r="Y1317" s="3">
        <v>33672000</v>
      </c>
      <c r="Z1317" s="3">
        <v>33278000</v>
      </c>
      <c r="AA1317" s="3">
        <v>3126300</v>
      </c>
      <c r="AB1317" s="3">
        <v>9</v>
      </c>
    </row>
    <row r="1318" spans="1:28" x14ac:dyDescent="0.35">
      <c r="A1318">
        <v>2022</v>
      </c>
      <c r="B1318" t="str">
        <f t="shared" si="164"/>
        <v>70</v>
      </c>
      <c r="C1318" t="s">
        <v>471</v>
      </c>
      <c r="D1318" t="s">
        <v>33</v>
      </c>
      <c r="E1318" t="str">
        <f>"121"</f>
        <v>121</v>
      </c>
      <c r="F1318" t="s">
        <v>472</v>
      </c>
      <c r="G1318" t="str">
        <f>"002"</f>
        <v>002</v>
      </c>
      <c r="H1318" t="str">
        <f>"3892"</f>
        <v>3892</v>
      </c>
      <c r="I1318" s="3">
        <v>56190500</v>
      </c>
      <c r="J1318" s="3">
        <v>100</v>
      </c>
      <c r="K1318" s="3">
        <v>56190500</v>
      </c>
      <c r="L1318" s="3">
        <v>0</v>
      </c>
      <c r="M1318" s="3">
        <v>56190500</v>
      </c>
      <c r="N1318" s="3">
        <v>0</v>
      </c>
      <c r="O1318" s="3">
        <v>0</v>
      </c>
      <c r="P1318" s="3">
        <v>0</v>
      </c>
      <c r="Q1318" s="3">
        <v>0</v>
      </c>
      <c r="R1318" s="3">
        <v>122000</v>
      </c>
      <c r="S1318" s="3">
        <v>0</v>
      </c>
      <c r="T1318" s="3">
        <v>0</v>
      </c>
      <c r="U1318" s="3">
        <v>0</v>
      </c>
      <c r="V1318" s="3">
        <v>2016</v>
      </c>
      <c r="W1318" s="3">
        <v>30949800</v>
      </c>
      <c r="X1318" s="3">
        <v>56312500</v>
      </c>
      <c r="Y1318" s="3">
        <v>25362700</v>
      </c>
      <c r="Z1318" s="3">
        <v>53533200</v>
      </c>
      <c r="AA1318" s="3">
        <v>2779300</v>
      </c>
      <c r="AB1318" s="3">
        <v>5</v>
      </c>
    </row>
    <row r="1319" spans="1:28" x14ac:dyDescent="0.35">
      <c r="A1319">
        <v>2022</v>
      </c>
      <c r="B1319" t="str">
        <f t="shared" si="164"/>
        <v>70</v>
      </c>
      <c r="C1319" t="s">
        <v>471</v>
      </c>
      <c r="D1319" t="s">
        <v>33</v>
      </c>
      <c r="E1319" t="str">
        <f>"121"</f>
        <v>121</v>
      </c>
      <c r="F1319" t="s">
        <v>472</v>
      </c>
      <c r="G1319" t="str">
        <f>"003"</f>
        <v>003</v>
      </c>
      <c r="H1319" t="str">
        <f>"3892"</f>
        <v>3892</v>
      </c>
      <c r="I1319" s="3">
        <v>65955100</v>
      </c>
      <c r="J1319" s="3">
        <v>100</v>
      </c>
      <c r="K1319" s="3">
        <v>65955100</v>
      </c>
      <c r="L1319" s="3">
        <v>0</v>
      </c>
      <c r="M1319" s="3">
        <v>65955100</v>
      </c>
      <c r="N1319" s="3">
        <v>0</v>
      </c>
      <c r="O1319" s="3">
        <v>0</v>
      </c>
      <c r="P1319" s="3">
        <v>0</v>
      </c>
      <c r="Q1319" s="3">
        <v>0</v>
      </c>
      <c r="R1319" s="3">
        <v>-228700</v>
      </c>
      <c r="S1319" s="3">
        <v>0</v>
      </c>
      <c r="T1319" s="3">
        <v>0</v>
      </c>
      <c r="U1319" s="3">
        <v>0</v>
      </c>
      <c r="V1319" s="3">
        <v>2017</v>
      </c>
      <c r="W1319" s="3">
        <v>20000</v>
      </c>
      <c r="X1319" s="3">
        <v>65726400</v>
      </c>
      <c r="Y1319" s="3">
        <v>65706400</v>
      </c>
      <c r="Z1319" s="3">
        <v>67342000</v>
      </c>
      <c r="AA1319" s="3">
        <v>-1615600</v>
      </c>
      <c r="AB1319" s="3">
        <v>-2</v>
      </c>
    </row>
    <row r="1320" spans="1:28" x14ac:dyDescent="0.35">
      <c r="A1320">
        <v>2022</v>
      </c>
      <c r="B1320" t="str">
        <f t="shared" si="164"/>
        <v>70</v>
      </c>
      <c r="C1320" t="s">
        <v>471</v>
      </c>
      <c r="D1320" t="s">
        <v>33</v>
      </c>
      <c r="E1320" t="str">
        <f>"121"</f>
        <v>121</v>
      </c>
      <c r="F1320" t="s">
        <v>472</v>
      </c>
      <c r="G1320" t="str">
        <f>"004"</f>
        <v>004</v>
      </c>
      <c r="H1320" t="str">
        <f>"3892"</f>
        <v>3892</v>
      </c>
      <c r="I1320" s="3">
        <v>900000</v>
      </c>
      <c r="J1320" s="3">
        <v>100</v>
      </c>
      <c r="K1320" s="3">
        <v>900000</v>
      </c>
      <c r="L1320" s="3">
        <v>0</v>
      </c>
      <c r="M1320" s="3">
        <v>900000</v>
      </c>
      <c r="N1320" s="3">
        <v>0</v>
      </c>
      <c r="O1320" s="3">
        <v>0</v>
      </c>
      <c r="P1320" s="3">
        <v>0</v>
      </c>
      <c r="Q1320" s="3">
        <v>0</v>
      </c>
      <c r="R1320" s="3">
        <v>-3000</v>
      </c>
      <c r="S1320" s="3">
        <v>0</v>
      </c>
      <c r="T1320" s="3">
        <v>0</v>
      </c>
      <c r="U1320" s="3">
        <v>0</v>
      </c>
      <c r="V1320" s="3">
        <v>2018</v>
      </c>
      <c r="W1320" s="3">
        <v>542900</v>
      </c>
      <c r="X1320" s="3">
        <v>897000</v>
      </c>
      <c r="Y1320" s="3">
        <v>354100</v>
      </c>
      <c r="Z1320" s="3">
        <v>899600</v>
      </c>
      <c r="AA1320" s="3">
        <v>-2600</v>
      </c>
      <c r="AB1320" s="3">
        <v>0</v>
      </c>
    </row>
    <row r="1321" spans="1:28" x14ac:dyDescent="0.35">
      <c r="A1321">
        <v>2022</v>
      </c>
      <c r="B1321" t="str">
        <f t="shared" si="164"/>
        <v>70</v>
      </c>
      <c r="C1321" t="s">
        <v>471</v>
      </c>
      <c r="D1321" t="s">
        <v>33</v>
      </c>
      <c r="E1321" t="str">
        <f>"191"</f>
        <v>191</v>
      </c>
      <c r="F1321" t="s">
        <v>473</v>
      </c>
      <c r="G1321" t="str">
        <f>"003"</f>
        <v>003</v>
      </c>
      <c r="H1321" t="str">
        <f>"6608"</f>
        <v>6608</v>
      </c>
      <c r="I1321" s="3">
        <v>6398700</v>
      </c>
      <c r="J1321" s="3">
        <v>97.28</v>
      </c>
      <c r="K1321" s="3">
        <v>6577600</v>
      </c>
      <c r="L1321" s="3">
        <v>0</v>
      </c>
      <c r="M1321" s="3">
        <v>6577600</v>
      </c>
      <c r="N1321" s="3">
        <v>0</v>
      </c>
      <c r="O1321" s="3">
        <v>0</v>
      </c>
      <c r="P1321" s="3">
        <v>0</v>
      </c>
      <c r="Q1321" s="3">
        <v>0</v>
      </c>
      <c r="R1321" s="3">
        <v>-625100</v>
      </c>
      <c r="S1321" s="3">
        <v>0</v>
      </c>
      <c r="T1321" s="3">
        <v>0</v>
      </c>
      <c r="U1321" s="3">
        <v>0</v>
      </c>
      <c r="V1321" s="3">
        <v>1996</v>
      </c>
      <c r="W1321" s="3">
        <v>4646300</v>
      </c>
      <c r="X1321" s="3">
        <v>5952500</v>
      </c>
      <c r="Y1321" s="3">
        <v>1306200</v>
      </c>
      <c r="Z1321" s="3">
        <v>6700500</v>
      </c>
      <c r="AA1321" s="3">
        <v>-748000</v>
      </c>
      <c r="AB1321" s="3">
        <v>-11</v>
      </c>
    </row>
    <row r="1322" spans="1:28" x14ac:dyDescent="0.35">
      <c r="A1322">
        <v>2022</v>
      </c>
      <c r="B1322" t="str">
        <f t="shared" si="164"/>
        <v>70</v>
      </c>
      <c r="C1322" t="s">
        <v>471</v>
      </c>
      <c r="D1322" t="s">
        <v>33</v>
      </c>
      <c r="E1322" t="str">
        <f>"191"</f>
        <v>191</v>
      </c>
      <c r="F1322" t="s">
        <v>473</v>
      </c>
      <c r="G1322" t="str">
        <f>"005"</f>
        <v>005</v>
      </c>
      <c r="H1322" t="str">
        <f>"6608"</f>
        <v>6608</v>
      </c>
      <c r="I1322" s="3">
        <v>12065800</v>
      </c>
      <c r="J1322" s="3">
        <v>97.28</v>
      </c>
      <c r="K1322" s="3">
        <v>12403200</v>
      </c>
      <c r="L1322" s="3">
        <v>0</v>
      </c>
      <c r="M1322" s="3">
        <v>12403200</v>
      </c>
      <c r="N1322" s="3">
        <v>1174500</v>
      </c>
      <c r="O1322" s="3">
        <v>1174500</v>
      </c>
      <c r="P1322" s="3">
        <v>17800</v>
      </c>
      <c r="Q1322" s="3">
        <v>17800</v>
      </c>
      <c r="R1322" s="3">
        <v>-1922600</v>
      </c>
      <c r="S1322" s="3">
        <v>0</v>
      </c>
      <c r="T1322" s="3">
        <v>0</v>
      </c>
      <c r="U1322" s="3">
        <v>0</v>
      </c>
      <c r="V1322" s="3">
        <v>2000</v>
      </c>
      <c r="W1322" s="3">
        <v>4751600</v>
      </c>
      <c r="X1322" s="3">
        <v>11672900</v>
      </c>
      <c r="Y1322" s="3">
        <v>6921300</v>
      </c>
      <c r="Z1322" s="3">
        <v>14346200</v>
      </c>
      <c r="AA1322" s="3">
        <v>-2673300</v>
      </c>
      <c r="AB1322" s="3">
        <v>-19</v>
      </c>
    </row>
    <row r="1323" spans="1:28" x14ac:dyDescent="0.35">
      <c r="A1323">
        <v>2022</v>
      </c>
      <c r="B1323" t="str">
        <f t="shared" si="164"/>
        <v>70</v>
      </c>
      <c r="C1323" t="s">
        <v>471</v>
      </c>
      <c r="D1323" t="s">
        <v>33</v>
      </c>
      <c r="E1323" t="str">
        <f>"191"</f>
        <v>191</v>
      </c>
      <c r="F1323" t="s">
        <v>473</v>
      </c>
      <c r="G1323" t="str">
        <f>"006"</f>
        <v>006</v>
      </c>
      <c r="H1323" t="str">
        <f>"6608"</f>
        <v>6608</v>
      </c>
      <c r="I1323" s="3">
        <v>6671100</v>
      </c>
      <c r="J1323" s="3">
        <v>97.28</v>
      </c>
      <c r="K1323" s="3">
        <v>6857600</v>
      </c>
      <c r="L1323" s="3">
        <v>0</v>
      </c>
      <c r="M1323" s="3">
        <v>6857600</v>
      </c>
      <c r="N1323" s="3">
        <v>0</v>
      </c>
      <c r="O1323" s="3">
        <v>0</v>
      </c>
      <c r="P1323" s="3">
        <v>0</v>
      </c>
      <c r="Q1323" s="3">
        <v>0</v>
      </c>
      <c r="R1323" s="3">
        <v>825200</v>
      </c>
      <c r="S1323" s="3">
        <v>0</v>
      </c>
      <c r="T1323" s="3">
        <v>0</v>
      </c>
      <c r="U1323" s="3">
        <v>0</v>
      </c>
      <c r="V1323" s="3">
        <v>2000</v>
      </c>
      <c r="W1323" s="3">
        <v>829500</v>
      </c>
      <c r="X1323" s="3">
        <v>7682800</v>
      </c>
      <c r="Y1323" s="3">
        <v>6853300</v>
      </c>
      <c r="Z1323" s="3">
        <v>5589400</v>
      </c>
      <c r="AA1323" s="3">
        <v>2093400</v>
      </c>
      <c r="AB1323" s="3">
        <v>37</v>
      </c>
    </row>
    <row r="1324" spans="1:28" x14ac:dyDescent="0.35">
      <c r="A1324">
        <v>2022</v>
      </c>
      <c r="B1324" t="str">
        <f t="shared" si="164"/>
        <v>70</v>
      </c>
      <c r="C1324" t="s">
        <v>471</v>
      </c>
      <c r="D1324" t="s">
        <v>33</v>
      </c>
      <c r="E1324" t="str">
        <f>"191"</f>
        <v>191</v>
      </c>
      <c r="F1324" t="s">
        <v>473</v>
      </c>
      <c r="G1324" t="str">
        <f>"007"</f>
        <v>007</v>
      </c>
      <c r="H1324" t="str">
        <f>"6608"</f>
        <v>6608</v>
      </c>
      <c r="I1324" s="3">
        <v>2121600</v>
      </c>
      <c r="J1324" s="3">
        <v>97.28</v>
      </c>
      <c r="K1324" s="3">
        <v>2180900</v>
      </c>
      <c r="L1324" s="3">
        <v>0</v>
      </c>
      <c r="M1324" s="3">
        <v>2180900</v>
      </c>
      <c r="N1324" s="3">
        <v>6983100</v>
      </c>
      <c r="O1324" s="3">
        <v>6983100</v>
      </c>
      <c r="P1324" s="3">
        <v>261400</v>
      </c>
      <c r="Q1324" s="3">
        <v>261400</v>
      </c>
      <c r="R1324" s="3">
        <v>11100</v>
      </c>
      <c r="S1324" s="3">
        <v>0</v>
      </c>
      <c r="T1324" s="3">
        <v>0</v>
      </c>
      <c r="U1324" s="3">
        <v>0</v>
      </c>
      <c r="V1324" s="3">
        <v>2002</v>
      </c>
      <c r="W1324" s="3">
        <v>2070300</v>
      </c>
      <c r="X1324" s="3">
        <v>9436500</v>
      </c>
      <c r="Y1324" s="3">
        <v>7366200</v>
      </c>
      <c r="Z1324" s="3">
        <v>9086700</v>
      </c>
      <c r="AA1324" s="3">
        <v>349800</v>
      </c>
      <c r="AB1324" s="3">
        <v>4</v>
      </c>
    </row>
    <row r="1325" spans="1:28" x14ac:dyDescent="0.35">
      <c r="A1325">
        <v>2022</v>
      </c>
      <c r="B1325" t="str">
        <f t="shared" si="164"/>
        <v>70</v>
      </c>
      <c r="C1325" t="s">
        <v>471</v>
      </c>
      <c r="D1325" t="s">
        <v>33</v>
      </c>
      <c r="E1325" t="str">
        <f>"191"</f>
        <v>191</v>
      </c>
      <c r="F1325" t="s">
        <v>473</v>
      </c>
      <c r="G1325" t="str">
        <f>"008"</f>
        <v>008</v>
      </c>
      <c r="H1325" t="str">
        <f>"6608"</f>
        <v>6608</v>
      </c>
      <c r="I1325" s="3">
        <v>1993700</v>
      </c>
      <c r="J1325" s="3">
        <v>97.28</v>
      </c>
      <c r="K1325" s="3">
        <v>2049400</v>
      </c>
      <c r="L1325" s="3">
        <v>0</v>
      </c>
      <c r="M1325" s="3">
        <v>2049400</v>
      </c>
      <c r="N1325" s="3">
        <v>0</v>
      </c>
      <c r="O1325" s="3">
        <v>0</v>
      </c>
      <c r="P1325" s="3">
        <v>0</v>
      </c>
      <c r="Q1325" s="3">
        <v>0</v>
      </c>
      <c r="R1325" s="3">
        <v>-238100</v>
      </c>
      <c r="S1325" s="3">
        <v>0</v>
      </c>
      <c r="T1325" s="3">
        <v>0</v>
      </c>
      <c r="U1325" s="3">
        <v>0</v>
      </c>
      <c r="V1325" s="3">
        <v>2011</v>
      </c>
      <c r="W1325" s="3">
        <v>0</v>
      </c>
      <c r="X1325" s="3">
        <v>1811300</v>
      </c>
      <c r="Y1325" s="3">
        <v>1811300</v>
      </c>
      <c r="Z1325" s="3">
        <v>2117900</v>
      </c>
      <c r="AA1325" s="3">
        <v>-306600</v>
      </c>
      <c r="AB1325" s="3">
        <v>-14</v>
      </c>
    </row>
    <row r="1326" spans="1:28" x14ac:dyDescent="0.35">
      <c r="A1326">
        <v>2022</v>
      </c>
      <c r="B1326" t="str">
        <f t="shared" si="164"/>
        <v>70</v>
      </c>
      <c r="C1326" t="s">
        <v>471</v>
      </c>
      <c r="D1326" t="s">
        <v>35</v>
      </c>
      <c r="E1326" t="str">
        <f>"201"</f>
        <v>201</v>
      </c>
      <c r="F1326" t="s">
        <v>75</v>
      </c>
      <c r="G1326" t="str">
        <f>"007"</f>
        <v>007</v>
      </c>
      <c r="H1326" t="str">
        <f t="shared" ref="H1326:H1333" si="165">"3430"</f>
        <v>3430</v>
      </c>
      <c r="I1326" s="3">
        <v>37088800</v>
      </c>
      <c r="J1326" s="3">
        <v>79.41</v>
      </c>
      <c r="K1326" s="3">
        <v>46705500</v>
      </c>
      <c r="L1326" s="3">
        <v>0</v>
      </c>
      <c r="M1326" s="3">
        <v>46705500</v>
      </c>
      <c r="N1326" s="3">
        <v>0</v>
      </c>
      <c r="O1326" s="3">
        <v>0</v>
      </c>
      <c r="P1326" s="3">
        <v>0</v>
      </c>
      <c r="Q1326" s="3">
        <v>0</v>
      </c>
      <c r="R1326" s="3">
        <v>43100</v>
      </c>
      <c r="S1326" s="3">
        <v>0</v>
      </c>
      <c r="T1326" s="3">
        <v>0</v>
      </c>
      <c r="U1326" s="3">
        <v>0</v>
      </c>
      <c r="V1326" s="3">
        <v>2007</v>
      </c>
      <c r="W1326" s="3">
        <v>25657000</v>
      </c>
      <c r="X1326" s="3">
        <v>46748600</v>
      </c>
      <c r="Y1326" s="3">
        <v>21091600</v>
      </c>
      <c r="Z1326" s="3">
        <v>40712900</v>
      </c>
      <c r="AA1326" s="3">
        <v>6035700</v>
      </c>
      <c r="AB1326" s="3">
        <v>15</v>
      </c>
    </row>
    <row r="1327" spans="1:28" x14ac:dyDescent="0.35">
      <c r="A1327">
        <v>2022</v>
      </c>
      <c r="B1327" t="str">
        <f t="shared" si="164"/>
        <v>70</v>
      </c>
      <c r="C1327" t="s">
        <v>471</v>
      </c>
      <c r="D1327" t="s">
        <v>35</v>
      </c>
      <c r="E1327" t="str">
        <f t="shared" ref="E1327:E1333" si="166">"251"</f>
        <v>251</v>
      </c>
      <c r="F1327" t="s">
        <v>79</v>
      </c>
      <c r="G1327" t="str">
        <f>"004"</f>
        <v>004</v>
      </c>
      <c r="H1327" t="str">
        <f t="shared" si="165"/>
        <v>3430</v>
      </c>
      <c r="I1327" s="3">
        <v>7357600</v>
      </c>
      <c r="J1327" s="3">
        <v>100</v>
      </c>
      <c r="K1327" s="3">
        <v>7357600</v>
      </c>
      <c r="L1327" s="3">
        <v>0</v>
      </c>
      <c r="M1327" s="3">
        <v>7357600</v>
      </c>
      <c r="N1327" s="3">
        <v>113500</v>
      </c>
      <c r="O1327" s="3">
        <v>113500</v>
      </c>
      <c r="P1327" s="3">
        <v>1200</v>
      </c>
      <c r="Q1327" s="3">
        <v>1200</v>
      </c>
      <c r="R1327" s="3">
        <v>78500</v>
      </c>
      <c r="S1327" s="3">
        <v>0</v>
      </c>
      <c r="T1327" s="3">
        <v>0</v>
      </c>
      <c r="U1327" s="3">
        <v>0</v>
      </c>
      <c r="V1327" s="3">
        <v>1997</v>
      </c>
      <c r="W1327" s="3">
        <v>4196000</v>
      </c>
      <c r="X1327" s="3">
        <v>7550800</v>
      </c>
      <c r="Y1327" s="3">
        <v>3354800</v>
      </c>
      <c r="Z1327" s="3">
        <v>7264600</v>
      </c>
      <c r="AA1327" s="3">
        <v>286200</v>
      </c>
      <c r="AB1327" s="3">
        <v>4</v>
      </c>
    </row>
    <row r="1328" spans="1:28" x14ac:dyDescent="0.35">
      <c r="A1328">
        <v>2022</v>
      </c>
      <c r="B1328" t="str">
        <f t="shared" si="164"/>
        <v>70</v>
      </c>
      <c r="C1328" t="s">
        <v>471</v>
      </c>
      <c r="D1328" t="s">
        <v>35</v>
      </c>
      <c r="E1328" t="str">
        <f t="shared" si="166"/>
        <v>251</v>
      </c>
      <c r="F1328" t="s">
        <v>79</v>
      </c>
      <c r="G1328" t="str">
        <f>"007"</f>
        <v>007</v>
      </c>
      <c r="H1328" t="str">
        <f t="shared" si="165"/>
        <v>3430</v>
      </c>
      <c r="I1328" s="3">
        <v>5730900</v>
      </c>
      <c r="J1328" s="3">
        <v>100</v>
      </c>
      <c r="K1328" s="3">
        <v>5730900</v>
      </c>
      <c r="L1328" s="3">
        <v>0</v>
      </c>
      <c r="M1328" s="3">
        <v>5730900</v>
      </c>
      <c r="N1328" s="3">
        <v>0</v>
      </c>
      <c r="O1328" s="3">
        <v>0</v>
      </c>
      <c r="P1328" s="3">
        <v>0</v>
      </c>
      <c r="Q1328" s="3">
        <v>0</v>
      </c>
      <c r="R1328" s="3">
        <v>60500</v>
      </c>
      <c r="S1328" s="3">
        <v>0</v>
      </c>
      <c r="T1328" s="3">
        <v>0</v>
      </c>
      <c r="U1328" s="3">
        <v>0</v>
      </c>
      <c r="V1328" s="3">
        <v>2003</v>
      </c>
      <c r="W1328" s="3">
        <v>687300</v>
      </c>
      <c r="X1328" s="3">
        <v>5791400</v>
      </c>
      <c r="Y1328" s="3">
        <v>5104100</v>
      </c>
      <c r="Z1328" s="3">
        <v>5507900</v>
      </c>
      <c r="AA1328" s="3">
        <v>283500</v>
      </c>
      <c r="AB1328" s="3">
        <v>5</v>
      </c>
    </row>
    <row r="1329" spans="1:28" x14ac:dyDescent="0.35">
      <c r="A1329">
        <v>2022</v>
      </c>
      <c r="B1329" t="str">
        <f t="shared" si="164"/>
        <v>70</v>
      </c>
      <c r="C1329" t="s">
        <v>471</v>
      </c>
      <c r="D1329" t="s">
        <v>35</v>
      </c>
      <c r="E1329" t="str">
        <f t="shared" si="166"/>
        <v>251</v>
      </c>
      <c r="F1329" t="s">
        <v>79</v>
      </c>
      <c r="G1329" t="str">
        <f>"008"</f>
        <v>008</v>
      </c>
      <c r="H1329" t="str">
        <f t="shared" si="165"/>
        <v>3430</v>
      </c>
      <c r="I1329" s="3">
        <v>3832900</v>
      </c>
      <c r="J1329" s="3">
        <v>100</v>
      </c>
      <c r="K1329" s="3">
        <v>3832900</v>
      </c>
      <c r="L1329" s="3">
        <v>0</v>
      </c>
      <c r="M1329" s="3">
        <v>3832900</v>
      </c>
      <c r="N1329" s="3">
        <v>0</v>
      </c>
      <c r="O1329" s="3">
        <v>0</v>
      </c>
      <c r="P1329" s="3">
        <v>0</v>
      </c>
      <c r="Q1329" s="3">
        <v>0</v>
      </c>
      <c r="R1329" s="3">
        <v>40900</v>
      </c>
      <c r="S1329" s="3">
        <v>0</v>
      </c>
      <c r="T1329" s="3">
        <v>0</v>
      </c>
      <c r="U1329" s="3">
        <v>0</v>
      </c>
      <c r="V1329" s="3">
        <v>2005</v>
      </c>
      <c r="W1329" s="3">
        <v>484500</v>
      </c>
      <c r="X1329" s="3">
        <v>3873800</v>
      </c>
      <c r="Y1329" s="3">
        <v>3389300</v>
      </c>
      <c r="Z1329" s="3">
        <v>3740100</v>
      </c>
      <c r="AA1329" s="3">
        <v>133700</v>
      </c>
      <c r="AB1329" s="3">
        <v>4</v>
      </c>
    </row>
    <row r="1330" spans="1:28" x14ac:dyDescent="0.35">
      <c r="A1330">
        <v>2022</v>
      </c>
      <c r="B1330" t="str">
        <f t="shared" si="164"/>
        <v>70</v>
      </c>
      <c r="C1330" t="s">
        <v>471</v>
      </c>
      <c r="D1330" t="s">
        <v>35</v>
      </c>
      <c r="E1330" t="str">
        <f t="shared" si="166"/>
        <v>251</v>
      </c>
      <c r="F1330" t="s">
        <v>79</v>
      </c>
      <c r="G1330" t="str">
        <f>"010"</f>
        <v>010</v>
      </c>
      <c r="H1330" t="str">
        <f t="shared" si="165"/>
        <v>3430</v>
      </c>
      <c r="I1330" s="3">
        <v>8227000</v>
      </c>
      <c r="J1330" s="3">
        <v>100</v>
      </c>
      <c r="K1330" s="3">
        <v>8227000</v>
      </c>
      <c r="L1330" s="3">
        <v>0</v>
      </c>
      <c r="M1330" s="3">
        <v>8227000</v>
      </c>
      <c r="N1330" s="3">
        <v>3624700</v>
      </c>
      <c r="O1330" s="3">
        <v>3624700</v>
      </c>
      <c r="P1330" s="3">
        <v>855100</v>
      </c>
      <c r="Q1330" s="3">
        <v>855100</v>
      </c>
      <c r="R1330" s="3">
        <v>85600</v>
      </c>
      <c r="S1330" s="3">
        <v>0</v>
      </c>
      <c r="T1330" s="3">
        <v>0</v>
      </c>
      <c r="U1330" s="3">
        <v>0</v>
      </c>
      <c r="V1330" s="3">
        <v>2006</v>
      </c>
      <c r="W1330" s="3">
        <v>9701900</v>
      </c>
      <c r="X1330" s="3">
        <v>12792400</v>
      </c>
      <c r="Y1330" s="3">
        <v>3090500</v>
      </c>
      <c r="Z1330" s="3">
        <v>12353900</v>
      </c>
      <c r="AA1330" s="3">
        <v>438500</v>
      </c>
      <c r="AB1330" s="3">
        <v>4</v>
      </c>
    </row>
    <row r="1331" spans="1:28" x14ac:dyDescent="0.35">
      <c r="A1331">
        <v>2022</v>
      </c>
      <c r="B1331" t="str">
        <f t="shared" si="164"/>
        <v>70</v>
      </c>
      <c r="C1331" t="s">
        <v>471</v>
      </c>
      <c r="D1331" t="s">
        <v>35</v>
      </c>
      <c r="E1331" t="str">
        <f t="shared" si="166"/>
        <v>251</v>
      </c>
      <c r="F1331" t="s">
        <v>79</v>
      </c>
      <c r="G1331" t="str">
        <f>"011"</f>
        <v>011</v>
      </c>
      <c r="H1331" t="str">
        <f t="shared" si="165"/>
        <v>3430</v>
      </c>
      <c r="I1331" s="3">
        <v>3974200</v>
      </c>
      <c r="J1331" s="3">
        <v>100</v>
      </c>
      <c r="K1331" s="3">
        <v>3974200</v>
      </c>
      <c r="L1331" s="3">
        <v>0</v>
      </c>
      <c r="M1331" s="3">
        <v>3974200</v>
      </c>
      <c r="N1331" s="3">
        <v>0</v>
      </c>
      <c r="O1331" s="3">
        <v>0</v>
      </c>
      <c r="P1331" s="3">
        <v>0</v>
      </c>
      <c r="Q1331" s="3">
        <v>0</v>
      </c>
      <c r="R1331" s="3">
        <v>36200</v>
      </c>
      <c r="S1331" s="3">
        <v>0</v>
      </c>
      <c r="T1331" s="3">
        <v>0</v>
      </c>
      <c r="U1331" s="3">
        <v>0</v>
      </c>
      <c r="V1331" s="3">
        <v>2007</v>
      </c>
      <c r="W1331" s="3">
        <v>284900</v>
      </c>
      <c r="X1331" s="3">
        <v>4010400</v>
      </c>
      <c r="Y1331" s="3">
        <v>3725500</v>
      </c>
      <c r="Z1331" s="3">
        <v>3297300</v>
      </c>
      <c r="AA1331" s="3">
        <v>713100</v>
      </c>
      <c r="AB1331" s="3">
        <v>22</v>
      </c>
    </row>
    <row r="1332" spans="1:28" x14ac:dyDescent="0.35">
      <c r="A1332">
        <v>2022</v>
      </c>
      <c r="B1332" t="str">
        <f t="shared" si="164"/>
        <v>70</v>
      </c>
      <c r="C1332" t="s">
        <v>471</v>
      </c>
      <c r="D1332" t="s">
        <v>35</v>
      </c>
      <c r="E1332" t="str">
        <f t="shared" si="166"/>
        <v>251</v>
      </c>
      <c r="F1332" t="s">
        <v>79</v>
      </c>
      <c r="G1332" t="str">
        <f>"013"</f>
        <v>013</v>
      </c>
      <c r="H1332" t="str">
        <f t="shared" si="165"/>
        <v>3430</v>
      </c>
      <c r="I1332" s="3">
        <v>15776600</v>
      </c>
      <c r="J1332" s="3">
        <v>100</v>
      </c>
      <c r="K1332" s="3">
        <v>15776600</v>
      </c>
      <c r="L1332" s="3">
        <v>0</v>
      </c>
      <c r="M1332" s="3">
        <v>15776600</v>
      </c>
      <c r="N1332" s="3">
        <v>0</v>
      </c>
      <c r="O1332" s="3">
        <v>0</v>
      </c>
      <c r="P1332" s="3">
        <v>0</v>
      </c>
      <c r="Q1332" s="3">
        <v>0</v>
      </c>
      <c r="R1332" s="3">
        <v>170500</v>
      </c>
      <c r="S1332" s="3">
        <v>0</v>
      </c>
      <c r="T1332" s="3">
        <v>0</v>
      </c>
      <c r="U1332" s="3">
        <v>0</v>
      </c>
      <c r="V1332" s="3">
        <v>2015</v>
      </c>
      <c r="W1332" s="3">
        <v>248200</v>
      </c>
      <c r="X1332" s="3">
        <v>15947100</v>
      </c>
      <c r="Y1332" s="3">
        <v>15698900</v>
      </c>
      <c r="Z1332" s="3">
        <v>15556900</v>
      </c>
      <c r="AA1332" s="3">
        <v>390200</v>
      </c>
      <c r="AB1332" s="3">
        <v>3</v>
      </c>
    </row>
    <row r="1333" spans="1:28" x14ac:dyDescent="0.35">
      <c r="A1333">
        <v>2022</v>
      </c>
      <c r="B1333" t="str">
        <f t="shared" si="164"/>
        <v>70</v>
      </c>
      <c r="C1333" t="s">
        <v>471</v>
      </c>
      <c r="D1333" t="s">
        <v>35</v>
      </c>
      <c r="E1333" t="str">
        <f t="shared" si="166"/>
        <v>251</v>
      </c>
      <c r="F1333" t="s">
        <v>79</v>
      </c>
      <c r="G1333" t="str">
        <f>"014"</f>
        <v>014</v>
      </c>
      <c r="H1333" t="str">
        <f t="shared" si="165"/>
        <v>3430</v>
      </c>
      <c r="I1333" s="3">
        <v>3007800</v>
      </c>
      <c r="J1333" s="3">
        <v>100</v>
      </c>
      <c r="K1333" s="3">
        <v>3007800</v>
      </c>
      <c r="L1333" s="3">
        <v>0</v>
      </c>
      <c r="M1333" s="3">
        <v>3007800</v>
      </c>
      <c r="N1333" s="3">
        <v>0</v>
      </c>
      <c r="O1333" s="3">
        <v>0</v>
      </c>
      <c r="P1333" s="3">
        <v>0</v>
      </c>
      <c r="Q1333" s="3">
        <v>0</v>
      </c>
      <c r="R1333" s="3">
        <v>33800</v>
      </c>
      <c r="S1333" s="3">
        <v>0</v>
      </c>
      <c r="T1333" s="3">
        <v>0</v>
      </c>
      <c r="U1333" s="3">
        <v>0</v>
      </c>
      <c r="V1333" s="3">
        <v>2019</v>
      </c>
      <c r="W1333" s="3">
        <v>5936500</v>
      </c>
      <c r="X1333" s="3">
        <v>3041600</v>
      </c>
      <c r="Y1333" s="3">
        <v>-2894900</v>
      </c>
      <c r="Z1333" s="3">
        <v>3103200</v>
      </c>
      <c r="AA1333" s="3">
        <v>-61600</v>
      </c>
      <c r="AB1333" s="3">
        <v>-2</v>
      </c>
    </row>
    <row r="1334" spans="1:28" x14ac:dyDescent="0.35">
      <c r="A1334">
        <v>2022</v>
      </c>
      <c r="B1334" t="str">
        <f t="shared" si="164"/>
        <v>70</v>
      </c>
      <c r="C1334" t="s">
        <v>471</v>
      </c>
      <c r="D1334" t="s">
        <v>35</v>
      </c>
      <c r="E1334" t="str">
        <f t="shared" ref="E1334:E1340" si="167">"261"</f>
        <v>261</v>
      </c>
      <c r="F1334" t="s">
        <v>474</v>
      </c>
      <c r="G1334" t="str">
        <f>"005"</f>
        <v>005</v>
      </c>
      <c r="H1334" t="str">
        <f t="shared" ref="H1334:H1340" si="168">"3892"</f>
        <v>3892</v>
      </c>
      <c r="I1334" s="3">
        <v>25751900</v>
      </c>
      <c r="J1334" s="3">
        <v>86.8</v>
      </c>
      <c r="K1334" s="3">
        <v>29668100</v>
      </c>
      <c r="L1334" s="3">
        <v>0</v>
      </c>
      <c r="M1334" s="3">
        <v>29668100</v>
      </c>
      <c r="N1334" s="3">
        <v>0</v>
      </c>
      <c r="O1334" s="3">
        <v>0</v>
      </c>
      <c r="P1334" s="3">
        <v>0</v>
      </c>
      <c r="Q1334" s="3">
        <v>0</v>
      </c>
      <c r="R1334" s="3">
        <v>-361900</v>
      </c>
      <c r="S1334" s="3">
        <v>0</v>
      </c>
      <c r="T1334" s="3">
        <v>0</v>
      </c>
      <c r="U1334" s="3">
        <v>0</v>
      </c>
      <c r="V1334" s="3">
        <v>1993</v>
      </c>
      <c r="W1334" s="3">
        <v>13458200</v>
      </c>
      <c r="X1334" s="3">
        <v>29306200</v>
      </c>
      <c r="Y1334" s="3">
        <v>15848000</v>
      </c>
      <c r="Z1334" s="3">
        <v>27287500</v>
      </c>
      <c r="AA1334" s="3">
        <v>2018700</v>
      </c>
      <c r="AB1334" s="3">
        <v>7</v>
      </c>
    </row>
    <row r="1335" spans="1:28" x14ac:dyDescent="0.35">
      <c r="A1335">
        <v>2022</v>
      </c>
      <c r="B1335" t="str">
        <f t="shared" si="164"/>
        <v>70</v>
      </c>
      <c r="C1335" t="s">
        <v>471</v>
      </c>
      <c r="D1335" t="s">
        <v>35</v>
      </c>
      <c r="E1335" t="str">
        <f t="shared" si="167"/>
        <v>261</v>
      </c>
      <c r="F1335" t="s">
        <v>474</v>
      </c>
      <c r="G1335" t="str">
        <f>"006"</f>
        <v>006</v>
      </c>
      <c r="H1335" t="str">
        <f t="shared" si="168"/>
        <v>3892</v>
      </c>
      <c r="I1335" s="3">
        <v>7729000</v>
      </c>
      <c r="J1335" s="3">
        <v>86.8</v>
      </c>
      <c r="K1335" s="3">
        <v>8904400</v>
      </c>
      <c r="L1335" s="3">
        <v>0</v>
      </c>
      <c r="M1335" s="3">
        <v>8904400</v>
      </c>
      <c r="N1335" s="3">
        <v>21482600</v>
      </c>
      <c r="O1335" s="3">
        <v>21482600</v>
      </c>
      <c r="P1335" s="3">
        <v>1294400</v>
      </c>
      <c r="Q1335" s="3">
        <v>1294400</v>
      </c>
      <c r="R1335" s="3">
        <v>-112200</v>
      </c>
      <c r="S1335" s="3">
        <v>0</v>
      </c>
      <c r="T1335" s="3">
        <v>0</v>
      </c>
      <c r="U1335" s="3">
        <v>0</v>
      </c>
      <c r="V1335" s="3">
        <v>1997</v>
      </c>
      <c r="W1335" s="3">
        <v>2869600</v>
      </c>
      <c r="X1335" s="3">
        <v>31569200</v>
      </c>
      <c r="Y1335" s="3">
        <v>28699600</v>
      </c>
      <c r="Z1335" s="3">
        <v>31300600</v>
      </c>
      <c r="AA1335" s="3">
        <v>268600</v>
      </c>
      <c r="AB1335" s="3">
        <v>1</v>
      </c>
    </row>
    <row r="1336" spans="1:28" x14ac:dyDescent="0.35">
      <c r="A1336">
        <v>2022</v>
      </c>
      <c r="B1336" t="str">
        <f t="shared" si="164"/>
        <v>70</v>
      </c>
      <c r="C1336" t="s">
        <v>471</v>
      </c>
      <c r="D1336" t="s">
        <v>35</v>
      </c>
      <c r="E1336" t="str">
        <f t="shared" si="167"/>
        <v>261</v>
      </c>
      <c r="F1336" t="s">
        <v>474</v>
      </c>
      <c r="G1336" t="str">
        <f>"007"</f>
        <v>007</v>
      </c>
      <c r="H1336" t="str">
        <f t="shared" si="168"/>
        <v>3892</v>
      </c>
      <c r="I1336" s="3">
        <v>133375700</v>
      </c>
      <c r="J1336" s="3">
        <v>86.8</v>
      </c>
      <c r="K1336" s="3">
        <v>153658600</v>
      </c>
      <c r="L1336" s="3">
        <v>0</v>
      </c>
      <c r="M1336" s="3">
        <v>153658600</v>
      </c>
      <c r="N1336" s="3">
        <v>346100</v>
      </c>
      <c r="O1336" s="3">
        <v>346100</v>
      </c>
      <c r="P1336" s="3">
        <v>6600</v>
      </c>
      <c r="Q1336" s="3">
        <v>6600</v>
      </c>
      <c r="R1336" s="3">
        <v>-1913800</v>
      </c>
      <c r="S1336" s="3">
        <v>0</v>
      </c>
      <c r="T1336" s="3">
        <v>0</v>
      </c>
      <c r="U1336" s="3">
        <v>0</v>
      </c>
      <c r="V1336" s="3">
        <v>2000</v>
      </c>
      <c r="W1336" s="3">
        <v>39226900</v>
      </c>
      <c r="X1336" s="3">
        <v>152097500</v>
      </c>
      <c r="Y1336" s="3">
        <v>112870600</v>
      </c>
      <c r="Z1336" s="3">
        <v>144569300</v>
      </c>
      <c r="AA1336" s="3">
        <v>7528200</v>
      </c>
      <c r="AB1336" s="3">
        <v>5</v>
      </c>
    </row>
    <row r="1337" spans="1:28" x14ac:dyDescent="0.35">
      <c r="A1337">
        <v>2022</v>
      </c>
      <c r="B1337" t="str">
        <f t="shared" si="164"/>
        <v>70</v>
      </c>
      <c r="C1337" t="s">
        <v>471</v>
      </c>
      <c r="D1337" t="s">
        <v>35</v>
      </c>
      <c r="E1337" t="str">
        <f t="shared" si="167"/>
        <v>261</v>
      </c>
      <c r="F1337" t="s">
        <v>474</v>
      </c>
      <c r="G1337" t="str">
        <f>"008"</f>
        <v>008</v>
      </c>
      <c r="H1337" t="str">
        <f t="shared" si="168"/>
        <v>3892</v>
      </c>
      <c r="I1337" s="3">
        <v>73757400</v>
      </c>
      <c r="J1337" s="3">
        <v>86.8</v>
      </c>
      <c r="K1337" s="3">
        <v>84974000</v>
      </c>
      <c r="L1337" s="3">
        <v>0</v>
      </c>
      <c r="M1337" s="3">
        <v>84974000</v>
      </c>
      <c r="N1337" s="3">
        <v>2517300</v>
      </c>
      <c r="O1337" s="3">
        <v>2517300</v>
      </c>
      <c r="P1337" s="3">
        <v>1039400</v>
      </c>
      <c r="Q1337" s="3">
        <v>1039400</v>
      </c>
      <c r="R1337" s="3">
        <v>-960900</v>
      </c>
      <c r="S1337" s="3">
        <v>0</v>
      </c>
      <c r="T1337" s="3">
        <v>0</v>
      </c>
      <c r="U1337" s="3">
        <v>0</v>
      </c>
      <c r="V1337" s="3">
        <v>2001</v>
      </c>
      <c r="W1337" s="3">
        <v>14743600</v>
      </c>
      <c r="X1337" s="3">
        <v>87569800</v>
      </c>
      <c r="Y1337" s="3">
        <v>72826200</v>
      </c>
      <c r="Z1337" s="3">
        <v>75970100</v>
      </c>
      <c r="AA1337" s="3">
        <v>11599700</v>
      </c>
      <c r="AB1337" s="3">
        <v>15</v>
      </c>
    </row>
    <row r="1338" spans="1:28" x14ac:dyDescent="0.35">
      <c r="A1338">
        <v>2022</v>
      </c>
      <c r="B1338" t="str">
        <f t="shared" si="164"/>
        <v>70</v>
      </c>
      <c r="C1338" t="s">
        <v>471</v>
      </c>
      <c r="D1338" t="s">
        <v>35</v>
      </c>
      <c r="E1338" t="str">
        <f t="shared" si="167"/>
        <v>261</v>
      </c>
      <c r="F1338" t="s">
        <v>474</v>
      </c>
      <c r="G1338" t="str">
        <f>"009"</f>
        <v>009</v>
      </c>
      <c r="H1338" t="str">
        <f t="shared" si="168"/>
        <v>3892</v>
      </c>
      <c r="I1338" s="3">
        <v>5752800</v>
      </c>
      <c r="J1338" s="3">
        <v>86.8</v>
      </c>
      <c r="K1338" s="3">
        <v>6627600</v>
      </c>
      <c r="L1338" s="3">
        <v>0</v>
      </c>
      <c r="M1338" s="3">
        <v>6627600</v>
      </c>
      <c r="N1338" s="3">
        <v>16826100</v>
      </c>
      <c r="O1338" s="3">
        <v>16826100</v>
      </c>
      <c r="P1338" s="3">
        <v>2513400</v>
      </c>
      <c r="Q1338" s="3">
        <v>2513400</v>
      </c>
      <c r="R1338" s="3">
        <v>-84700</v>
      </c>
      <c r="S1338" s="3">
        <v>0</v>
      </c>
      <c r="T1338" s="3">
        <v>0</v>
      </c>
      <c r="U1338" s="3">
        <v>0</v>
      </c>
      <c r="V1338" s="3">
        <v>2015</v>
      </c>
      <c r="W1338" s="3">
        <v>15959100</v>
      </c>
      <c r="X1338" s="3">
        <v>25882400</v>
      </c>
      <c r="Y1338" s="3">
        <v>9923300</v>
      </c>
      <c r="Z1338" s="3">
        <v>25974900</v>
      </c>
      <c r="AA1338" s="3">
        <v>-92500</v>
      </c>
      <c r="AB1338" s="3">
        <v>0</v>
      </c>
    </row>
    <row r="1339" spans="1:28" x14ac:dyDescent="0.35">
      <c r="A1339">
        <v>2022</v>
      </c>
      <c r="B1339" t="str">
        <f t="shared" si="164"/>
        <v>70</v>
      </c>
      <c r="C1339" t="s">
        <v>471</v>
      </c>
      <c r="D1339" t="s">
        <v>35</v>
      </c>
      <c r="E1339" t="str">
        <f t="shared" si="167"/>
        <v>261</v>
      </c>
      <c r="F1339" t="s">
        <v>474</v>
      </c>
      <c r="G1339" t="str">
        <f>"010"</f>
        <v>010</v>
      </c>
      <c r="H1339" t="str">
        <f t="shared" si="168"/>
        <v>3892</v>
      </c>
      <c r="I1339" s="3">
        <v>16874700</v>
      </c>
      <c r="J1339" s="3">
        <v>86.8</v>
      </c>
      <c r="K1339" s="3">
        <v>19440900</v>
      </c>
      <c r="L1339" s="3">
        <v>0</v>
      </c>
      <c r="M1339" s="3">
        <v>19440900</v>
      </c>
      <c r="N1339" s="3">
        <v>1021100</v>
      </c>
      <c r="O1339" s="3">
        <v>1021100</v>
      </c>
      <c r="P1339" s="3">
        <v>14900</v>
      </c>
      <c r="Q1339" s="3">
        <v>14900</v>
      </c>
      <c r="R1339" s="3">
        <v>-250900</v>
      </c>
      <c r="S1339" s="3">
        <v>0</v>
      </c>
      <c r="T1339" s="3">
        <v>0</v>
      </c>
      <c r="U1339" s="3">
        <v>0</v>
      </c>
      <c r="V1339" s="3">
        <v>2015</v>
      </c>
      <c r="W1339" s="3">
        <v>3681600</v>
      </c>
      <c r="X1339" s="3">
        <v>20226000</v>
      </c>
      <c r="Y1339" s="3">
        <v>16544400</v>
      </c>
      <c r="Z1339" s="3">
        <v>19907700</v>
      </c>
      <c r="AA1339" s="3">
        <v>318300</v>
      </c>
      <c r="AB1339" s="3">
        <v>2</v>
      </c>
    </row>
    <row r="1340" spans="1:28" x14ac:dyDescent="0.35">
      <c r="A1340">
        <v>2022</v>
      </c>
      <c r="B1340" t="str">
        <f t="shared" si="164"/>
        <v>70</v>
      </c>
      <c r="C1340" t="s">
        <v>471</v>
      </c>
      <c r="D1340" t="s">
        <v>35</v>
      </c>
      <c r="E1340" t="str">
        <f t="shared" si="167"/>
        <v>261</v>
      </c>
      <c r="F1340" t="s">
        <v>474</v>
      </c>
      <c r="G1340" t="str">
        <f>"011"</f>
        <v>011</v>
      </c>
      <c r="H1340" t="str">
        <f t="shared" si="168"/>
        <v>3892</v>
      </c>
      <c r="I1340" s="3">
        <v>15577500</v>
      </c>
      <c r="J1340" s="3">
        <v>86.8</v>
      </c>
      <c r="K1340" s="3">
        <v>17946400</v>
      </c>
      <c r="L1340" s="3">
        <v>0</v>
      </c>
      <c r="M1340" s="3">
        <v>17946400</v>
      </c>
      <c r="N1340" s="3">
        <v>0</v>
      </c>
      <c r="O1340" s="3">
        <v>0</v>
      </c>
      <c r="P1340" s="3">
        <v>0</v>
      </c>
      <c r="Q1340" s="3">
        <v>0</v>
      </c>
      <c r="R1340" s="3">
        <v>-224600</v>
      </c>
      <c r="S1340" s="3">
        <v>0</v>
      </c>
      <c r="T1340" s="3">
        <v>0</v>
      </c>
      <c r="U1340" s="3">
        <v>0</v>
      </c>
      <c r="V1340" s="3">
        <v>2017</v>
      </c>
      <c r="W1340" s="3">
        <v>117700</v>
      </c>
      <c r="X1340" s="3">
        <v>17721800</v>
      </c>
      <c r="Y1340" s="3">
        <v>17604100</v>
      </c>
      <c r="Z1340" s="3">
        <v>16946500</v>
      </c>
      <c r="AA1340" s="3">
        <v>775300</v>
      </c>
      <c r="AB1340" s="3">
        <v>5</v>
      </c>
    </row>
    <row r="1341" spans="1:28" x14ac:dyDescent="0.35">
      <c r="A1341">
        <v>2022</v>
      </c>
      <c r="B1341" t="str">
        <f t="shared" si="164"/>
        <v>70</v>
      </c>
      <c r="C1341" t="s">
        <v>471</v>
      </c>
      <c r="D1341" t="s">
        <v>35</v>
      </c>
      <c r="E1341" t="str">
        <f>"265"</f>
        <v>265</v>
      </c>
      <c r="F1341" t="s">
        <v>475</v>
      </c>
      <c r="G1341" t="str">
        <f>"007"</f>
        <v>007</v>
      </c>
      <c r="H1341" t="str">
        <f>"4088"</f>
        <v>4088</v>
      </c>
      <c r="I1341" s="3">
        <v>10289800</v>
      </c>
      <c r="J1341" s="3">
        <v>78.48</v>
      </c>
      <c r="K1341" s="3">
        <v>13111400</v>
      </c>
      <c r="L1341" s="3">
        <v>0</v>
      </c>
      <c r="M1341" s="3">
        <v>13111400</v>
      </c>
      <c r="N1341" s="3">
        <v>0</v>
      </c>
      <c r="O1341" s="3">
        <v>0</v>
      </c>
      <c r="P1341" s="3">
        <v>0</v>
      </c>
      <c r="Q1341" s="3">
        <v>0</v>
      </c>
      <c r="R1341" s="3">
        <v>274300</v>
      </c>
      <c r="S1341" s="3">
        <v>0</v>
      </c>
      <c r="T1341" s="3">
        <v>0</v>
      </c>
      <c r="U1341" s="3">
        <v>0</v>
      </c>
      <c r="V1341" s="3">
        <v>2017</v>
      </c>
      <c r="W1341" s="3">
        <v>4351700</v>
      </c>
      <c r="X1341" s="3">
        <v>13385700</v>
      </c>
      <c r="Y1341" s="3">
        <v>9034000</v>
      </c>
      <c r="Z1341" s="3">
        <v>8524800</v>
      </c>
      <c r="AA1341" s="3">
        <v>4860900</v>
      </c>
      <c r="AB1341" s="3">
        <v>57</v>
      </c>
    </row>
    <row r="1342" spans="1:28" x14ac:dyDescent="0.35">
      <c r="A1342">
        <v>2022</v>
      </c>
      <c r="B1342" t="str">
        <f t="shared" si="164"/>
        <v>70</v>
      </c>
      <c r="C1342" t="s">
        <v>471</v>
      </c>
      <c r="D1342" t="s">
        <v>35</v>
      </c>
      <c r="E1342" t="str">
        <f t="shared" ref="E1342:E1369" si="169">"266"</f>
        <v>266</v>
      </c>
      <c r="F1342" t="s">
        <v>476</v>
      </c>
      <c r="G1342" t="str">
        <f>"012"</f>
        <v>012</v>
      </c>
      <c r="H1342" t="str">
        <f t="shared" ref="H1342:H1369" si="170">"4179"</f>
        <v>4179</v>
      </c>
      <c r="I1342" s="3">
        <v>5984400</v>
      </c>
      <c r="J1342" s="3">
        <v>75.41</v>
      </c>
      <c r="K1342" s="3">
        <v>7935800</v>
      </c>
      <c r="L1342" s="3">
        <v>0</v>
      </c>
      <c r="M1342" s="3">
        <v>7935800</v>
      </c>
      <c r="N1342" s="3">
        <v>0</v>
      </c>
      <c r="O1342" s="3">
        <v>0</v>
      </c>
      <c r="P1342" s="3">
        <v>0</v>
      </c>
      <c r="Q1342" s="3">
        <v>0</v>
      </c>
      <c r="R1342" s="3">
        <v>23500</v>
      </c>
      <c r="S1342" s="3">
        <v>0</v>
      </c>
      <c r="T1342" s="3">
        <v>0</v>
      </c>
      <c r="U1342" s="3">
        <v>0</v>
      </c>
      <c r="V1342" s="3">
        <v>1997</v>
      </c>
      <c r="W1342" s="3">
        <v>1715400</v>
      </c>
      <c r="X1342" s="3">
        <v>7959300</v>
      </c>
      <c r="Y1342" s="3">
        <v>6243900</v>
      </c>
      <c r="Z1342" s="3">
        <v>7208400</v>
      </c>
      <c r="AA1342" s="3">
        <v>750900</v>
      </c>
      <c r="AB1342" s="3">
        <v>10</v>
      </c>
    </row>
    <row r="1343" spans="1:28" x14ac:dyDescent="0.35">
      <c r="A1343">
        <v>2022</v>
      </c>
      <c r="B1343" t="str">
        <f t="shared" si="164"/>
        <v>70</v>
      </c>
      <c r="C1343" t="s">
        <v>471</v>
      </c>
      <c r="D1343" t="s">
        <v>35</v>
      </c>
      <c r="E1343" t="str">
        <f t="shared" si="169"/>
        <v>266</v>
      </c>
      <c r="F1343" t="s">
        <v>476</v>
      </c>
      <c r="G1343" t="str">
        <f>"013"</f>
        <v>013</v>
      </c>
      <c r="H1343" t="str">
        <f t="shared" si="170"/>
        <v>4179</v>
      </c>
      <c r="I1343" s="3">
        <v>14835900</v>
      </c>
      <c r="J1343" s="3">
        <v>75.41</v>
      </c>
      <c r="K1343" s="3">
        <v>19673700</v>
      </c>
      <c r="L1343" s="3">
        <v>0</v>
      </c>
      <c r="M1343" s="3">
        <v>19673700</v>
      </c>
      <c r="N1343" s="3">
        <v>0</v>
      </c>
      <c r="O1343" s="3">
        <v>0</v>
      </c>
      <c r="P1343" s="3">
        <v>0</v>
      </c>
      <c r="Q1343" s="3">
        <v>0</v>
      </c>
      <c r="R1343" s="3">
        <v>57800</v>
      </c>
      <c r="S1343" s="3">
        <v>0</v>
      </c>
      <c r="T1343" s="3">
        <v>0</v>
      </c>
      <c r="U1343" s="3">
        <v>0</v>
      </c>
      <c r="V1343" s="3">
        <v>1998</v>
      </c>
      <c r="W1343" s="3">
        <v>5869100</v>
      </c>
      <c r="X1343" s="3">
        <v>19731500</v>
      </c>
      <c r="Y1343" s="3">
        <v>13862400</v>
      </c>
      <c r="Z1343" s="3">
        <v>17754500</v>
      </c>
      <c r="AA1343" s="3">
        <v>1977000</v>
      </c>
      <c r="AB1343" s="3">
        <v>11</v>
      </c>
    </row>
    <row r="1344" spans="1:28" x14ac:dyDescent="0.35">
      <c r="A1344">
        <v>2022</v>
      </c>
      <c r="B1344" t="str">
        <f t="shared" si="164"/>
        <v>70</v>
      </c>
      <c r="C1344" t="s">
        <v>471</v>
      </c>
      <c r="D1344" t="s">
        <v>35</v>
      </c>
      <c r="E1344" t="str">
        <f t="shared" si="169"/>
        <v>266</v>
      </c>
      <c r="F1344" t="s">
        <v>476</v>
      </c>
      <c r="G1344" t="str">
        <f>"014"</f>
        <v>014</v>
      </c>
      <c r="H1344" t="str">
        <f t="shared" si="170"/>
        <v>4179</v>
      </c>
      <c r="I1344" s="3">
        <v>19106900</v>
      </c>
      <c r="J1344" s="3">
        <v>75.41</v>
      </c>
      <c r="K1344" s="3">
        <v>25337400</v>
      </c>
      <c r="L1344" s="3">
        <v>0</v>
      </c>
      <c r="M1344" s="3">
        <v>25337400</v>
      </c>
      <c r="N1344" s="3">
        <v>0</v>
      </c>
      <c r="O1344" s="3">
        <v>0</v>
      </c>
      <c r="P1344" s="3">
        <v>0</v>
      </c>
      <c r="Q1344" s="3">
        <v>0</v>
      </c>
      <c r="R1344" s="3">
        <v>74800</v>
      </c>
      <c r="S1344" s="3">
        <v>0</v>
      </c>
      <c r="T1344" s="3">
        <v>0</v>
      </c>
      <c r="U1344" s="3">
        <v>0</v>
      </c>
      <c r="V1344" s="3">
        <v>2000</v>
      </c>
      <c r="W1344" s="3">
        <v>558400</v>
      </c>
      <c r="X1344" s="3">
        <v>25412200</v>
      </c>
      <c r="Y1344" s="3">
        <v>24853800</v>
      </c>
      <c r="Z1344" s="3">
        <v>22975300</v>
      </c>
      <c r="AA1344" s="3">
        <v>2436900</v>
      </c>
      <c r="AB1344" s="3">
        <v>11</v>
      </c>
    </row>
    <row r="1345" spans="1:28" x14ac:dyDescent="0.35">
      <c r="A1345">
        <v>2022</v>
      </c>
      <c r="B1345" t="str">
        <f t="shared" si="164"/>
        <v>70</v>
      </c>
      <c r="C1345" t="s">
        <v>471</v>
      </c>
      <c r="D1345" t="s">
        <v>35</v>
      </c>
      <c r="E1345" t="str">
        <f t="shared" si="169"/>
        <v>266</v>
      </c>
      <c r="F1345" t="s">
        <v>476</v>
      </c>
      <c r="G1345" t="str">
        <f>"015"</f>
        <v>015</v>
      </c>
      <c r="H1345" t="str">
        <f t="shared" si="170"/>
        <v>4179</v>
      </c>
      <c r="I1345" s="3">
        <v>7360100</v>
      </c>
      <c r="J1345" s="3">
        <v>75.41</v>
      </c>
      <c r="K1345" s="3">
        <v>9760100</v>
      </c>
      <c r="L1345" s="3">
        <v>0</v>
      </c>
      <c r="M1345" s="3">
        <v>9760100</v>
      </c>
      <c r="N1345" s="3">
        <v>0</v>
      </c>
      <c r="O1345" s="3">
        <v>0</v>
      </c>
      <c r="P1345" s="3">
        <v>0</v>
      </c>
      <c r="Q1345" s="3">
        <v>0</v>
      </c>
      <c r="R1345" s="3">
        <v>29900</v>
      </c>
      <c r="S1345" s="3">
        <v>0</v>
      </c>
      <c r="T1345" s="3">
        <v>0</v>
      </c>
      <c r="U1345" s="3">
        <v>0</v>
      </c>
      <c r="V1345" s="3">
        <v>2001</v>
      </c>
      <c r="W1345" s="3">
        <v>564900</v>
      </c>
      <c r="X1345" s="3">
        <v>9790000</v>
      </c>
      <c r="Y1345" s="3">
        <v>9225100</v>
      </c>
      <c r="Z1345" s="3">
        <v>9159900</v>
      </c>
      <c r="AA1345" s="3">
        <v>630100</v>
      </c>
      <c r="AB1345" s="3">
        <v>7</v>
      </c>
    </row>
    <row r="1346" spans="1:28" x14ac:dyDescent="0.35">
      <c r="A1346">
        <v>2022</v>
      </c>
      <c r="B1346" t="str">
        <f t="shared" si="164"/>
        <v>70</v>
      </c>
      <c r="C1346" t="s">
        <v>471</v>
      </c>
      <c r="D1346" t="s">
        <v>35</v>
      </c>
      <c r="E1346" t="str">
        <f t="shared" si="169"/>
        <v>266</v>
      </c>
      <c r="F1346" t="s">
        <v>476</v>
      </c>
      <c r="G1346" t="str">
        <f>"016"</f>
        <v>016</v>
      </c>
      <c r="H1346" t="str">
        <f t="shared" si="170"/>
        <v>4179</v>
      </c>
      <c r="I1346" s="3">
        <v>4723800</v>
      </c>
      <c r="J1346" s="3">
        <v>75.41</v>
      </c>
      <c r="K1346" s="3">
        <v>6264200</v>
      </c>
      <c r="L1346" s="3">
        <v>0</v>
      </c>
      <c r="M1346" s="3">
        <v>6264200</v>
      </c>
      <c r="N1346" s="3">
        <v>0</v>
      </c>
      <c r="O1346" s="3">
        <v>0</v>
      </c>
      <c r="P1346" s="3">
        <v>0</v>
      </c>
      <c r="Q1346" s="3">
        <v>0</v>
      </c>
      <c r="R1346" s="3">
        <v>18500</v>
      </c>
      <c r="S1346" s="3">
        <v>0</v>
      </c>
      <c r="T1346" s="3">
        <v>0</v>
      </c>
      <c r="U1346" s="3">
        <v>0</v>
      </c>
      <c r="V1346" s="3">
        <v>2001</v>
      </c>
      <c r="W1346" s="3">
        <v>0</v>
      </c>
      <c r="X1346" s="3">
        <v>6282700</v>
      </c>
      <c r="Y1346" s="3">
        <v>6282700</v>
      </c>
      <c r="Z1346" s="3">
        <v>5692000</v>
      </c>
      <c r="AA1346" s="3">
        <v>590700</v>
      </c>
      <c r="AB1346" s="3">
        <v>10</v>
      </c>
    </row>
    <row r="1347" spans="1:28" x14ac:dyDescent="0.35">
      <c r="A1347">
        <v>2022</v>
      </c>
      <c r="B1347" t="str">
        <f t="shared" si="164"/>
        <v>70</v>
      </c>
      <c r="C1347" t="s">
        <v>471</v>
      </c>
      <c r="D1347" t="s">
        <v>35</v>
      </c>
      <c r="E1347" t="str">
        <f t="shared" si="169"/>
        <v>266</v>
      </c>
      <c r="F1347" t="s">
        <v>476</v>
      </c>
      <c r="G1347" t="str">
        <f>"017"</f>
        <v>017</v>
      </c>
      <c r="H1347" t="str">
        <f t="shared" si="170"/>
        <v>4179</v>
      </c>
      <c r="I1347" s="3">
        <v>11681000</v>
      </c>
      <c r="J1347" s="3">
        <v>75.41</v>
      </c>
      <c r="K1347" s="3">
        <v>15490000</v>
      </c>
      <c r="L1347" s="3">
        <v>0</v>
      </c>
      <c r="M1347" s="3">
        <v>15490000</v>
      </c>
      <c r="N1347" s="3">
        <v>0</v>
      </c>
      <c r="O1347" s="3">
        <v>0</v>
      </c>
      <c r="P1347" s="3">
        <v>0</v>
      </c>
      <c r="Q1347" s="3">
        <v>0</v>
      </c>
      <c r="R1347" s="3">
        <v>46100</v>
      </c>
      <c r="S1347" s="3">
        <v>0</v>
      </c>
      <c r="T1347" s="3">
        <v>0</v>
      </c>
      <c r="U1347" s="3">
        <v>0</v>
      </c>
      <c r="V1347" s="3">
        <v>2001</v>
      </c>
      <c r="W1347" s="3">
        <v>2210600</v>
      </c>
      <c r="X1347" s="3">
        <v>15536100</v>
      </c>
      <c r="Y1347" s="3">
        <v>13325500</v>
      </c>
      <c r="Z1347" s="3">
        <v>14169800</v>
      </c>
      <c r="AA1347" s="3">
        <v>1366300</v>
      </c>
      <c r="AB1347" s="3">
        <v>10</v>
      </c>
    </row>
    <row r="1348" spans="1:28" x14ac:dyDescent="0.35">
      <c r="A1348">
        <v>2022</v>
      </c>
      <c r="B1348" t="str">
        <f t="shared" ref="B1348:B1369" si="171">"70"</f>
        <v>70</v>
      </c>
      <c r="C1348" t="s">
        <v>471</v>
      </c>
      <c r="D1348" t="s">
        <v>35</v>
      </c>
      <c r="E1348" t="str">
        <f t="shared" si="169"/>
        <v>266</v>
      </c>
      <c r="F1348" t="s">
        <v>476</v>
      </c>
      <c r="G1348" t="str">
        <f>"018"</f>
        <v>018</v>
      </c>
      <c r="H1348" t="str">
        <f t="shared" si="170"/>
        <v>4179</v>
      </c>
      <c r="I1348" s="3">
        <v>6654100</v>
      </c>
      <c r="J1348" s="3">
        <v>75.41</v>
      </c>
      <c r="K1348" s="3">
        <v>8823900</v>
      </c>
      <c r="L1348" s="3">
        <v>0</v>
      </c>
      <c r="M1348" s="3">
        <v>8823900</v>
      </c>
      <c r="N1348" s="3">
        <v>11699300</v>
      </c>
      <c r="O1348" s="3">
        <v>11699300</v>
      </c>
      <c r="P1348" s="3">
        <v>1800100</v>
      </c>
      <c r="Q1348" s="3">
        <v>1800100</v>
      </c>
      <c r="R1348" s="3">
        <v>26100</v>
      </c>
      <c r="S1348" s="3">
        <v>0</v>
      </c>
      <c r="T1348" s="3">
        <v>0</v>
      </c>
      <c r="U1348" s="3">
        <v>0</v>
      </c>
      <c r="V1348" s="3">
        <v>2002</v>
      </c>
      <c r="W1348" s="3">
        <v>51300</v>
      </c>
      <c r="X1348" s="3">
        <v>22349400</v>
      </c>
      <c r="Y1348" s="3">
        <v>22298100</v>
      </c>
      <c r="Z1348" s="3">
        <v>21501600</v>
      </c>
      <c r="AA1348" s="3">
        <v>847800</v>
      </c>
      <c r="AB1348" s="3">
        <v>4</v>
      </c>
    </row>
    <row r="1349" spans="1:28" x14ac:dyDescent="0.35">
      <c r="A1349">
        <v>2022</v>
      </c>
      <c r="B1349" t="str">
        <f t="shared" si="171"/>
        <v>70</v>
      </c>
      <c r="C1349" t="s">
        <v>471</v>
      </c>
      <c r="D1349" t="s">
        <v>35</v>
      </c>
      <c r="E1349" t="str">
        <f t="shared" si="169"/>
        <v>266</v>
      </c>
      <c r="F1349" t="s">
        <v>476</v>
      </c>
      <c r="G1349" t="str">
        <f>"019"</f>
        <v>019</v>
      </c>
      <c r="H1349" t="str">
        <f t="shared" si="170"/>
        <v>4179</v>
      </c>
      <c r="I1349" s="3">
        <v>4851800</v>
      </c>
      <c r="J1349" s="3">
        <v>75.41</v>
      </c>
      <c r="K1349" s="3">
        <v>6433900</v>
      </c>
      <c r="L1349" s="3">
        <v>0</v>
      </c>
      <c r="M1349" s="3">
        <v>6433900</v>
      </c>
      <c r="N1349" s="3">
        <v>4554400</v>
      </c>
      <c r="O1349" s="3">
        <v>4554400</v>
      </c>
      <c r="P1349" s="3">
        <v>273500</v>
      </c>
      <c r="Q1349" s="3">
        <v>273500</v>
      </c>
      <c r="R1349" s="3">
        <v>19500</v>
      </c>
      <c r="S1349" s="3">
        <v>0</v>
      </c>
      <c r="T1349" s="3">
        <v>0</v>
      </c>
      <c r="U1349" s="3">
        <v>0</v>
      </c>
      <c r="V1349" s="3">
        <v>2003</v>
      </c>
      <c r="W1349" s="3">
        <v>104200</v>
      </c>
      <c r="X1349" s="3">
        <v>11281300</v>
      </c>
      <c r="Y1349" s="3">
        <v>11177100</v>
      </c>
      <c r="Z1349" s="3">
        <v>10627200</v>
      </c>
      <c r="AA1349" s="3">
        <v>654100</v>
      </c>
      <c r="AB1349" s="3">
        <v>6</v>
      </c>
    </row>
    <row r="1350" spans="1:28" x14ac:dyDescent="0.35">
      <c r="A1350">
        <v>2022</v>
      </c>
      <c r="B1350" t="str">
        <f t="shared" si="171"/>
        <v>70</v>
      </c>
      <c r="C1350" t="s">
        <v>471</v>
      </c>
      <c r="D1350" t="s">
        <v>35</v>
      </c>
      <c r="E1350" t="str">
        <f t="shared" si="169"/>
        <v>266</v>
      </c>
      <c r="F1350" t="s">
        <v>476</v>
      </c>
      <c r="G1350" t="str">
        <f>"020"</f>
        <v>020</v>
      </c>
      <c r="H1350" t="str">
        <f t="shared" si="170"/>
        <v>4179</v>
      </c>
      <c r="I1350" s="3">
        <v>10356700</v>
      </c>
      <c r="J1350" s="3">
        <v>75.41</v>
      </c>
      <c r="K1350" s="3">
        <v>13733900</v>
      </c>
      <c r="L1350" s="3">
        <v>0</v>
      </c>
      <c r="M1350" s="3">
        <v>13733900</v>
      </c>
      <c r="N1350" s="3">
        <v>313200</v>
      </c>
      <c r="O1350" s="3">
        <v>313200</v>
      </c>
      <c r="P1350" s="3">
        <v>3700</v>
      </c>
      <c r="Q1350" s="3">
        <v>3700</v>
      </c>
      <c r="R1350" s="3">
        <v>40700</v>
      </c>
      <c r="S1350" s="3">
        <v>0</v>
      </c>
      <c r="T1350" s="3">
        <v>0</v>
      </c>
      <c r="U1350" s="3">
        <v>3199400</v>
      </c>
      <c r="V1350" s="3">
        <v>2005</v>
      </c>
      <c r="W1350" s="3">
        <v>20815500</v>
      </c>
      <c r="X1350" s="3">
        <v>17290900</v>
      </c>
      <c r="Y1350" s="3">
        <v>-3524600</v>
      </c>
      <c r="Z1350" s="3">
        <v>15821700</v>
      </c>
      <c r="AA1350" s="3">
        <v>1469200</v>
      </c>
      <c r="AB1350" s="3">
        <v>9</v>
      </c>
    </row>
    <row r="1351" spans="1:28" x14ac:dyDescent="0.35">
      <c r="A1351">
        <v>2022</v>
      </c>
      <c r="B1351" t="str">
        <f t="shared" si="171"/>
        <v>70</v>
      </c>
      <c r="C1351" t="s">
        <v>471</v>
      </c>
      <c r="D1351" t="s">
        <v>35</v>
      </c>
      <c r="E1351" t="str">
        <f t="shared" si="169"/>
        <v>266</v>
      </c>
      <c r="F1351" t="s">
        <v>476</v>
      </c>
      <c r="G1351" t="str">
        <f>"021"</f>
        <v>021</v>
      </c>
      <c r="H1351" t="str">
        <f t="shared" si="170"/>
        <v>4179</v>
      </c>
      <c r="I1351" s="3">
        <v>17612500</v>
      </c>
      <c r="J1351" s="3">
        <v>75.41</v>
      </c>
      <c r="K1351" s="3">
        <v>23355700</v>
      </c>
      <c r="L1351" s="3">
        <v>0</v>
      </c>
      <c r="M1351" s="3">
        <v>23355700</v>
      </c>
      <c r="N1351" s="3">
        <v>0</v>
      </c>
      <c r="O1351" s="3">
        <v>0</v>
      </c>
      <c r="P1351" s="3">
        <v>0</v>
      </c>
      <c r="Q1351" s="3">
        <v>0</v>
      </c>
      <c r="R1351" s="3">
        <v>69100</v>
      </c>
      <c r="S1351" s="3">
        <v>0</v>
      </c>
      <c r="T1351" s="3">
        <v>0</v>
      </c>
      <c r="U1351" s="3">
        <v>118900</v>
      </c>
      <c r="V1351" s="3">
        <v>2006</v>
      </c>
      <c r="W1351" s="3">
        <v>1954900</v>
      </c>
      <c r="X1351" s="3">
        <v>23543700</v>
      </c>
      <c r="Y1351" s="3">
        <v>21588800</v>
      </c>
      <c r="Z1351" s="3">
        <v>21329700</v>
      </c>
      <c r="AA1351" s="3">
        <v>2214000</v>
      </c>
      <c r="AB1351" s="3">
        <v>10</v>
      </c>
    </row>
    <row r="1352" spans="1:28" x14ac:dyDescent="0.35">
      <c r="A1352">
        <v>2022</v>
      </c>
      <c r="B1352" t="str">
        <f t="shared" si="171"/>
        <v>70</v>
      </c>
      <c r="C1352" t="s">
        <v>471</v>
      </c>
      <c r="D1352" t="s">
        <v>35</v>
      </c>
      <c r="E1352" t="str">
        <f t="shared" si="169"/>
        <v>266</v>
      </c>
      <c r="F1352" t="s">
        <v>476</v>
      </c>
      <c r="G1352" t="str">
        <f>"023"</f>
        <v>023</v>
      </c>
      <c r="H1352" t="str">
        <f t="shared" si="170"/>
        <v>4179</v>
      </c>
      <c r="I1352" s="3">
        <v>891000</v>
      </c>
      <c r="J1352" s="3">
        <v>75.41</v>
      </c>
      <c r="K1352" s="3">
        <v>1181500</v>
      </c>
      <c r="L1352" s="3">
        <v>0</v>
      </c>
      <c r="M1352" s="3">
        <v>1181500</v>
      </c>
      <c r="N1352" s="3">
        <v>0</v>
      </c>
      <c r="O1352" s="3">
        <v>0</v>
      </c>
      <c r="P1352" s="3">
        <v>0</v>
      </c>
      <c r="Q1352" s="3">
        <v>0</v>
      </c>
      <c r="R1352" s="3">
        <v>3500</v>
      </c>
      <c r="S1352" s="3">
        <v>0</v>
      </c>
      <c r="T1352" s="3">
        <v>0</v>
      </c>
      <c r="U1352" s="3">
        <v>0</v>
      </c>
      <c r="V1352" s="3">
        <v>2009</v>
      </c>
      <c r="W1352" s="3">
        <v>233700</v>
      </c>
      <c r="X1352" s="3">
        <v>1185000</v>
      </c>
      <c r="Y1352" s="3">
        <v>951300</v>
      </c>
      <c r="Z1352" s="3">
        <v>1071700</v>
      </c>
      <c r="AA1352" s="3">
        <v>113300</v>
      </c>
      <c r="AB1352" s="3">
        <v>11</v>
      </c>
    </row>
    <row r="1353" spans="1:28" x14ac:dyDescent="0.35">
      <c r="A1353">
        <v>2022</v>
      </c>
      <c r="B1353" t="str">
        <f t="shared" si="171"/>
        <v>70</v>
      </c>
      <c r="C1353" t="s">
        <v>471</v>
      </c>
      <c r="D1353" t="s">
        <v>35</v>
      </c>
      <c r="E1353" t="str">
        <f t="shared" si="169"/>
        <v>266</v>
      </c>
      <c r="F1353" t="s">
        <v>476</v>
      </c>
      <c r="G1353" t="str">
        <f>"024"</f>
        <v>024</v>
      </c>
      <c r="H1353" t="str">
        <f t="shared" si="170"/>
        <v>4179</v>
      </c>
      <c r="I1353" s="3">
        <v>0</v>
      </c>
      <c r="J1353" s="3">
        <v>75.41</v>
      </c>
      <c r="K1353" s="3">
        <v>0</v>
      </c>
      <c r="L1353" s="3">
        <v>0</v>
      </c>
      <c r="M1353" s="3">
        <v>0</v>
      </c>
      <c r="N1353" s="3">
        <v>15766600</v>
      </c>
      <c r="O1353" s="3">
        <v>15766600</v>
      </c>
      <c r="P1353" s="3">
        <v>3325900</v>
      </c>
      <c r="Q1353" s="3">
        <v>3325900</v>
      </c>
      <c r="R1353" s="3">
        <v>0</v>
      </c>
      <c r="S1353" s="3">
        <v>0</v>
      </c>
      <c r="T1353" s="3">
        <v>0</v>
      </c>
      <c r="U1353" s="3">
        <v>0</v>
      </c>
      <c r="V1353" s="3">
        <v>2010</v>
      </c>
      <c r="W1353" s="3">
        <v>8464900</v>
      </c>
      <c r="X1353" s="3">
        <v>19092500</v>
      </c>
      <c r="Y1353" s="3">
        <v>10627600</v>
      </c>
      <c r="Z1353" s="3">
        <v>18379000</v>
      </c>
      <c r="AA1353" s="3">
        <v>713500</v>
      </c>
      <c r="AB1353" s="3">
        <v>4</v>
      </c>
    </row>
    <row r="1354" spans="1:28" x14ac:dyDescent="0.35">
      <c r="A1354">
        <v>2022</v>
      </c>
      <c r="B1354" t="str">
        <f t="shared" si="171"/>
        <v>70</v>
      </c>
      <c r="C1354" t="s">
        <v>471</v>
      </c>
      <c r="D1354" t="s">
        <v>35</v>
      </c>
      <c r="E1354" t="str">
        <f t="shared" si="169"/>
        <v>266</v>
      </c>
      <c r="F1354" t="s">
        <v>476</v>
      </c>
      <c r="G1354" t="str">
        <f>"025"</f>
        <v>025</v>
      </c>
      <c r="H1354" t="str">
        <f t="shared" si="170"/>
        <v>4179</v>
      </c>
      <c r="I1354" s="3">
        <v>9686300</v>
      </c>
      <c r="J1354" s="3">
        <v>75.41</v>
      </c>
      <c r="K1354" s="3">
        <v>12844800</v>
      </c>
      <c r="L1354" s="3">
        <v>0</v>
      </c>
      <c r="M1354" s="3">
        <v>12844800</v>
      </c>
      <c r="N1354" s="3">
        <v>0</v>
      </c>
      <c r="O1354" s="3">
        <v>0</v>
      </c>
      <c r="P1354" s="3">
        <v>0</v>
      </c>
      <c r="Q1354" s="3">
        <v>0</v>
      </c>
      <c r="R1354" s="3">
        <v>38600</v>
      </c>
      <c r="S1354" s="3">
        <v>0</v>
      </c>
      <c r="T1354" s="3">
        <v>0</v>
      </c>
      <c r="U1354" s="3">
        <v>0</v>
      </c>
      <c r="V1354" s="3">
        <v>2012</v>
      </c>
      <c r="W1354" s="3">
        <v>1050800</v>
      </c>
      <c r="X1354" s="3">
        <v>12883400</v>
      </c>
      <c r="Y1354" s="3">
        <v>11832600</v>
      </c>
      <c r="Z1354" s="3">
        <v>11859400</v>
      </c>
      <c r="AA1354" s="3">
        <v>1024000</v>
      </c>
      <c r="AB1354" s="3">
        <v>9</v>
      </c>
    </row>
    <row r="1355" spans="1:28" x14ac:dyDescent="0.35">
      <c r="A1355">
        <v>2022</v>
      </c>
      <c r="B1355" t="str">
        <f t="shared" si="171"/>
        <v>70</v>
      </c>
      <c r="C1355" t="s">
        <v>471</v>
      </c>
      <c r="D1355" t="s">
        <v>35</v>
      </c>
      <c r="E1355" t="str">
        <f t="shared" si="169"/>
        <v>266</v>
      </c>
      <c r="F1355" t="s">
        <v>476</v>
      </c>
      <c r="G1355" t="str">
        <f>"026"</f>
        <v>026</v>
      </c>
      <c r="H1355" t="str">
        <f t="shared" si="170"/>
        <v>4179</v>
      </c>
      <c r="I1355" s="3">
        <v>0</v>
      </c>
      <c r="J1355" s="3">
        <v>75.41</v>
      </c>
      <c r="K1355" s="3">
        <v>0</v>
      </c>
      <c r="L1355" s="3">
        <v>0</v>
      </c>
      <c r="M1355" s="3">
        <v>0</v>
      </c>
      <c r="N1355" s="3">
        <v>0</v>
      </c>
      <c r="O1355" s="3">
        <v>0</v>
      </c>
      <c r="P1355" s="3">
        <v>0</v>
      </c>
      <c r="Q1355" s="3">
        <v>0</v>
      </c>
      <c r="R1355" s="3">
        <v>0</v>
      </c>
      <c r="S1355" s="3">
        <v>0</v>
      </c>
      <c r="T1355" s="3">
        <v>0</v>
      </c>
      <c r="U1355" s="3">
        <v>0</v>
      </c>
      <c r="V1355" s="3">
        <v>2013</v>
      </c>
      <c r="W1355" s="3">
        <v>29400</v>
      </c>
      <c r="X1355" s="3">
        <v>0</v>
      </c>
      <c r="Y1355" s="3">
        <v>-29400</v>
      </c>
      <c r="Z1355" s="3">
        <v>0</v>
      </c>
      <c r="AA1355" s="3">
        <v>0</v>
      </c>
      <c r="AB1355" s="3">
        <v>0</v>
      </c>
    </row>
    <row r="1356" spans="1:28" x14ac:dyDescent="0.35">
      <c r="A1356">
        <v>2022</v>
      </c>
      <c r="B1356" t="str">
        <f t="shared" si="171"/>
        <v>70</v>
      </c>
      <c r="C1356" t="s">
        <v>471</v>
      </c>
      <c r="D1356" t="s">
        <v>35</v>
      </c>
      <c r="E1356" t="str">
        <f t="shared" si="169"/>
        <v>266</v>
      </c>
      <c r="F1356" t="s">
        <v>476</v>
      </c>
      <c r="G1356" t="str">
        <f>"027"</f>
        <v>027</v>
      </c>
      <c r="H1356" t="str">
        <f t="shared" si="170"/>
        <v>4179</v>
      </c>
      <c r="I1356" s="3">
        <v>16407600</v>
      </c>
      <c r="J1356" s="3">
        <v>75.41</v>
      </c>
      <c r="K1356" s="3">
        <v>21757900</v>
      </c>
      <c r="L1356" s="3">
        <v>0</v>
      </c>
      <c r="M1356" s="3">
        <v>21757900</v>
      </c>
      <c r="N1356" s="3">
        <v>34637000</v>
      </c>
      <c r="O1356" s="3">
        <v>34637000</v>
      </c>
      <c r="P1356" s="3">
        <v>14778300</v>
      </c>
      <c r="Q1356" s="3">
        <v>14778300</v>
      </c>
      <c r="R1356" s="3">
        <v>56300</v>
      </c>
      <c r="S1356" s="3">
        <v>0</v>
      </c>
      <c r="T1356" s="3">
        <v>0</v>
      </c>
      <c r="U1356" s="3">
        <v>0</v>
      </c>
      <c r="V1356" s="3">
        <v>2014</v>
      </c>
      <c r="W1356" s="3">
        <v>58230300</v>
      </c>
      <c r="X1356" s="3">
        <v>71229500</v>
      </c>
      <c r="Y1356" s="3">
        <v>12999200</v>
      </c>
      <c r="Z1356" s="3">
        <v>67253600</v>
      </c>
      <c r="AA1356" s="3">
        <v>3975900</v>
      </c>
      <c r="AB1356" s="3">
        <v>6</v>
      </c>
    </row>
    <row r="1357" spans="1:28" x14ac:dyDescent="0.35">
      <c r="A1357">
        <v>2022</v>
      </c>
      <c r="B1357" t="str">
        <f t="shared" si="171"/>
        <v>70</v>
      </c>
      <c r="C1357" t="s">
        <v>471</v>
      </c>
      <c r="D1357" t="s">
        <v>35</v>
      </c>
      <c r="E1357" t="str">
        <f t="shared" si="169"/>
        <v>266</v>
      </c>
      <c r="F1357" t="s">
        <v>476</v>
      </c>
      <c r="G1357" t="str">
        <f>"028"</f>
        <v>028</v>
      </c>
      <c r="H1357" t="str">
        <f t="shared" si="170"/>
        <v>4179</v>
      </c>
      <c r="I1357" s="3">
        <v>2228300</v>
      </c>
      <c r="J1357" s="3">
        <v>75.41</v>
      </c>
      <c r="K1357" s="3">
        <v>2954900</v>
      </c>
      <c r="L1357" s="3">
        <v>0</v>
      </c>
      <c r="M1357" s="3">
        <v>2954900</v>
      </c>
      <c r="N1357" s="3">
        <v>0</v>
      </c>
      <c r="O1357" s="3">
        <v>0</v>
      </c>
      <c r="P1357" s="3">
        <v>0</v>
      </c>
      <c r="Q1357" s="3">
        <v>0</v>
      </c>
      <c r="R1357" s="3">
        <v>8700</v>
      </c>
      <c r="S1357" s="3">
        <v>0</v>
      </c>
      <c r="T1357" s="3">
        <v>0</v>
      </c>
      <c r="U1357" s="3">
        <v>0</v>
      </c>
      <c r="V1357" s="3">
        <v>2016</v>
      </c>
      <c r="W1357" s="3">
        <v>575700</v>
      </c>
      <c r="X1357" s="3">
        <v>2963600</v>
      </c>
      <c r="Y1357" s="3">
        <v>2387900</v>
      </c>
      <c r="Z1357" s="3">
        <v>2669000</v>
      </c>
      <c r="AA1357" s="3">
        <v>294600</v>
      </c>
      <c r="AB1357" s="3">
        <v>11</v>
      </c>
    </row>
    <row r="1358" spans="1:28" x14ac:dyDescent="0.35">
      <c r="A1358">
        <v>2022</v>
      </c>
      <c r="B1358" t="str">
        <f t="shared" si="171"/>
        <v>70</v>
      </c>
      <c r="C1358" t="s">
        <v>471</v>
      </c>
      <c r="D1358" t="s">
        <v>35</v>
      </c>
      <c r="E1358" t="str">
        <f t="shared" si="169"/>
        <v>266</v>
      </c>
      <c r="F1358" t="s">
        <v>476</v>
      </c>
      <c r="G1358" t="str">
        <f>"029"</f>
        <v>029</v>
      </c>
      <c r="H1358" t="str">
        <f t="shared" si="170"/>
        <v>4179</v>
      </c>
      <c r="I1358" s="3">
        <v>1424800</v>
      </c>
      <c r="J1358" s="3">
        <v>75.41</v>
      </c>
      <c r="K1358" s="3">
        <v>1889400</v>
      </c>
      <c r="L1358" s="3">
        <v>0</v>
      </c>
      <c r="M1358" s="3">
        <v>1889400</v>
      </c>
      <c r="N1358" s="3">
        <v>0</v>
      </c>
      <c r="O1358" s="3">
        <v>0</v>
      </c>
      <c r="P1358" s="3">
        <v>0</v>
      </c>
      <c r="Q1358" s="3">
        <v>0</v>
      </c>
      <c r="R1358" s="3">
        <v>5400</v>
      </c>
      <c r="S1358" s="3">
        <v>0</v>
      </c>
      <c r="T1358" s="3">
        <v>0</v>
      </c>
      <c r="U1358" s="3">
        <v>0</v>
      </c>
      <c r="V1358" s="3">
        <v>2016</v>
      </c>
      <c r="W1358" s="3">
        <v>1268100</v>
      </c>
      <c r="X1358" s="3">
        <v>1894800</v>
      </c>
      <c r="Y1358" s="3">
        <v>626700</v>
      </c>
      <c r="Z1358" s="3">
        <v>1657700</v>
      </c>
      <c r="AA1358" s="3">
        <v>237100</v>
      </c>
      <c r="AB1358" s="3">
        <v>14</v>
      </c>
    </row>
    <row r="1359" spans="1:28" x14ac:dyDescent="0.35">
      <c r="A1359">
        <v>2022</v>
      </c>
      <c r="B1359" t="str">
        <f t="shared" si="171"/>
        <v>70</v>
      </c>
      <c r="C1359" t="s">
        <v>471</v>
      </c>
      <c r="D1359" t="s">
        <v>35</v>
      </c>
      <c r="E1359" t="str">
        <f t="shared" si="169"/>
        <v>266</v>
      </c>
      <c r="F1359" t="s">
        <v>476</v>
      </c>
      <c r="G1359" t="str">
        <f>"030"</f>
        <v>030</v>
      </c>
      <c r="H1359" t="str">
        <f t="shared" si="170"/>
        <v>4179</v>
      </c>
      <c r="I1359" s="3">
        <v>2192200</v>
      </c>
      <c r="J1359" s="3">
        <v>75.41</v>
      </c>
      <c r="K1359" s="3">
        <v>2907000</v>
      </c>
      <c r="L1359" s="3">
        <v>0</v>
      </c>
      <c r="M1359" s="3">
        <v>2907000</v>
      </c>
      <c r="N1359" s="3">
        <v>0</v>
      </c>
      <c r="O1359" s="3">
        <v>0</v>
      </c>
      <c r="P1359" s="3">
        <v>0</v>
      </c>
      <c r="Q1359" s="3">
        <v>0</v>
      </c>
      <c r="R1359" s="3">
        <v>8700</v>
      </c>
      <c r="S1359" s="3">
        <v>0</v>
      </c>
      <c r="T1359" s="3">
        <v>0</v>
      </c>
      <c r="U1359" s="3">
        <v>0</v>
      </c>
      <c r="V1359" s="3">
        <v>2016</v>
      </c>
      <c r="W1359" s="3">
        <v>570500</v>
      </c>
      <c r="X1359" s="3">
        <v>2915700</v>
      </c>
      <c r="Y1359" s="3">
        <v>2345200</v>
      </c>
      <c r="Z1359" s="3">
        <v>2643600</v>
      </c>
      <c r="AA1359" s="3">
        <v>272100</v>
      </c>
      <c r="AB1359" s="3">
        <v>10</v>
      </c>
    </row>
    <row r="1360" spans="1:28" x14ac:dyDescent="0.35">
      <c r="A1360">
        <v>2022</v>
      </c>
      <c r="B1360" t="str">
        <f t="shared" si="171"/>
        <v>70</v>
      </c>
      <c r="C1360" t="s">
        <v>471</v>
      </c>
      <c r="D1360" t="s">
        <v>35</v>
      </c>
      <c r="E1360" t="str">
        <f t="shared" si="169"/>
        <v>266</v>
      </c>
      <c r="F1360" t="s">
        <v>476</v>
      </c>
      <c r="G1360" t="str">
        <f>"031"</f>
        <v>031</v>
      </c>
      <c r="H1360" t="str">
        <f t="shared" si="170"/>
        <v>4179</v>
      </c>
      <c r="I1360" s="3">
        <v>17923300</v>
      </c>
      <c r="J1360" s="3">
        <v>75.41</v>
      </c>
      <c r="K1360" s="3">
        <v>23767800</v>
      </c>
      <c r="L1360" s="3">
        <v>0</v>
      </c>
      <c r="M1360" s="3">
        <v>23767800</v>
      </c>
      <c r="N1360" s="3">
        <v>0</v>
      </c>
      <c r="O1360" s="3">
        <v>0</v>
      </c>
      <c r="P1360" s="3">
        <v>0</v>
      </c>
      <c r="Q1360" s="3">
        <v>0</v>
      </c>
      <c r="R1360" s="3">
        <v>70300</v>
      </c>
      <c r="S1360" s="3">
        <v>0</v>
      </c>
      <c r="T1360" s="3">
        <v>0</v>
      </c>
      <c r="U1360" s="3">
        <v>0</v>
      </c>
      <c r="V1360" s="3">
        <v>2017</v>
      </c>
      <c r="W1360" s="3">
        <v>143600</v>
      </c>
      <c r="X1360" s="3">
        <v>23838100</v>
      </c>
      <c r="Y1360" s="3">
        <v>23694500</v>
      </c>
      <c r="Z1360" s="3">
        <v>21577700</v>
      </c>
      <c r="AA1360" s="3">
        <v>2260400</v>
      </c>
      <c r="AB1360" s="3">
        <v>10</v>
      </c>
    </row>
    <row r="1361" spans="1:28" x14ac:dyDescent="0.35">
      <c r="A1361">
        <v>2022</v>
      </c>
      <c r="B1361" t="str">
        <f t="shared" si="171"/>
        <v>70</v>
      </c>
      <c r="C1361" t="s">
        <v>471</v>
      </c>
      <c r="D1361" t="s">
        <v>35</v>
      </c>
      <c r="E1361" t="str">
        <f t="shared" si="169"/>
        <v>266</v>
      </c>
      <c r="F1361" t="s">
        <v>476</v>
      </c>
      <c r="G1361" t="str">
        <f>"032"</f>
        <v>032</v>
      </c>
      <c r="H1361" t="str">
        <f t="shared" si="170"/>
        <v>4179</v>
      </c>
      <c r="I1361" s="3">
        <v>561500</v>
      </c>
      <c r="J1361" s="3">
        <v>75.41</v>
      </c>
      <c r="K1361" s="3">
        <v>744600</v>
      </c>
      <c r="L1361" s="3">
        <v>0</v>
      </c>
      <c r="M1361" s="3">
        <v>744600</v>
      </c>
      <c r="N1361" s="3">
        <v>0</v>
      </c>
      <c r="O1361" s="3">
        <v>0</v>
      </c>
      <c r="P1361" s="3">
        <v>0</v>
      </c>
      <c r="Q1361" s="3">
        <v>0</v>
      </c>
      <c r="R1361" s="3">
        <v>2300</v>
      </c>
      <c r="S1361" s="3">
        <v>0</v>
      </c>
      <c r="T1361" s="3">
        <v>0</v>
      </c>
      <c r="U1361" s="3">
        <v>0</v>
      </c>
      <c r="V1361" s="3">
        <v>2017</v>
      </c>
      <c r="W1361" s="3">
        <v>115900</v>
      </c>
      <c r="X1361" s="3">
        <v>746900</v>
      </c>
      <c r="Y1361" s="3">
        <v>631000</v>
      </c>
      <c r="Z1361" s="3">
        <v>699200</v>
      </c>
      <c r="AA1361" s="3">
        <v>47700</v>
      </c>
      <c r="AB1361" s="3">
        <v>7</v>
      </c>
    </row>
    <row r="1362" spans="1:28" x14ac:dyDescent="0.35">
      <c r="A1362">
        <v>2022</v>
      </c>
      <c r="B1362" t="str">
        <f t="shared" si="171"/>
        <v>70</v>
      </c>
      <c r="C1362" t="s">
        <v>471</v>
      </c>
      <c r="D1362" t="s">
        <v>35</v>
      </c>
      <c r="E1362" t="str">
        <f t="shared" si="169"/>
        <v>266</v>
      </c>
      <c r="F1362" t="s">
        <v>476</v>
      </c>
      <c r="G1362" t="str">
        <f>"033"</f>
        <v>033</v>
      </c>
      <c r="H1362" t="str">
        <f t="shared" si="170"/>
        <v>4179</v>
      </c>
      <c r="I1362" s="3">
        <v>10572100</v>
      </c>
      <c r="J1362" s="3">
        <v>75.41</v>
      </c>
      <c r="K1362" s="3">
        <v>14019500</v>
      </c>
      <c r="L1362" s="3">
        <v>0</v>
      </c>
      <c r="M1362" s="3">
        <v>14019500</v>
      </c>
      <c r="N1362" s="3">
        <v>0</v>
      </c>
      <c r="O1362" s="3">
        <v>0</v>
      </c>
      <c r="P1362" s="3">
        <v>0</v>
      </c>
      <c r="Q1362" s="3">
        <v>0</v>
      </c>
      <c r="R1362" s="3">
        <v>41500</v>
      </c>
      <c r="S1362" s="3">
        <v>0</v>
      </c>
      <c r="T1362" s="3">
        <v>0</v>
      </c>
      <c r="U1362" s="3">
        <v>0</v>
      </c>
      <c r="V1362" s="3">
        <v>2017</v>
      </c>
      <c r="W1362" s="3">
        <v>746100</v>
      </c>
      <c r="X1362" s="3">
        <v>14061000</v>
      </c>
      <c r="Y1362" s="3">
        <v>13314900</v>
      </c>
      <c r="Z1362" s="3">
        <v>12726700</v>
      </c>
      <c r="AA1362" s="3">
        <v>1334300</v>
      </c>
      <c r="AB1362" s="3">
        <v>10</v>
      </c>
    </row>
    <row r="1363" spans="1:28" x14ac:dyDescent="0.35">
      <c r="A1363">
        <v>2022</v>
      </c>
      <c r="B1363" t="str">
        <f t="shared" si="171"/>
        <v>70</v>
      </c>
      <c r="C1363" t="s">
        <v>471</v>
      </c>
      <c r="D1363" t="s">
        <v>35</v>
      </c>
      <c r="E1363" t="str">
        <f t="shared" si="169"/>
        <v>266</v>
      </c>
      <c r="F1363" t="s">
        <v>476</v>
      </c>
      <c r="G1363" t="str">
        <f>"034"</f>
        <v>034</v>
      </c>
      <c r="H1363" t="str">
        <f t="shared" si="170"/>
        <v>4179</v>
      </c>
      <c r="I1363" s="3">
        <v>36446000</v>
      </c>
      <c r="J1363" s="3">
        <v>75.41</v>
      </c>
      <c r="K1363" s="3">
        <v>48330500</v>
      </c>
      <c r="L1363" s="3">
        <v>0</v>
      </c>
      <c r="M1363" s="3">
        <v>48330500</v>
      </c>
      <c r="N1363" s="3">
        <v>0</v>
      </c>
      <c r="O1363" s="3">
        <v>0</v>
      </c>
      <c r="P1363" s="3">
        <v>0</v>
      </c>
      <c r="Q1363" s="3">
        <v>0</v>
      </c>
      <c r="R1363" s="3">
        <v>146400</v>
      </c>
      <c r="S1363" s="3">
        <v>0</v>
      </c>
      <c r="T1363" s="3">
        <v>0</v>
      </c>
      <c r="U1363" s="3">
        <v>0</v>
      </c>
      <c r="V1363" s="3">
        <v>2018</v>
      </c>
      <c r="W1363" s="3">
        <v>0</v>
      </c>
      <c r="X1363" s="3">
        <v>48476900</v>
      </c>
      <c r="Y1363" s="3">
        <v>48476900</v>
      </c>
      <c r="Z1363" s="3">
        <v>44958000</v>
      </c>
      <c r="AA1363" s="3">
        <v>3518900</v>
      </c>
      <c r="AB1363" s="3">
        <v>8</v>
      </c>
    </row>
    <row r="1364" spans="1:28" x14ac:dyDescent="0.35">
      <c r="A1364">
        <v>2022</v>
      </c>
      <c r="B1364" t="str">
        <f t="shared" si="171"/>
        <v>70</v>
      </c>
      <c r="C1364" t="s">
        <v>471</v>
      </c>
      <c r="D1364" t="s">
        <v>35</v>
      </c>
      <c r="E1364" t="str">
        <f t="shared" si="169"/>
        <v>266</v>
      </c>
      <c r="F1364" t="s">
        <v>476</v>
      </c>
      <c r="G1364" t="str">
        <f>"035"</f>
        <v>035</v>
      </c>
      <c r="H1364" t="str">
        <f t="shared" si="170"/>
        <v>4179</v>
      </c>
      <c r="I1364" s="3">
        <v>31878100</v>
      </c>
      <c r="J1364" s="3">
        <v>75.41</v>
      </c>
      <c r="K1364" s="3">
        <v>42273000</v>
      </c>
      <c r="L1364" s="3">
        <v>0</v>
      </c>
      <c r="M1364" s="3">
        <v>42273000</v>
      </c>
      <c r="N1364" s="3">
        <v>0</v>
      </c>
      <c r="O1364" s="3">
        <v>0</v>
      </c>
      <c r="P1364" s="3">
        <v>0</v>
      </c>
      <c r="Q1364" s="3">
        <v>0</v>
      </c>
      <c r="R1364" s="3">
        <v>92000</v>
      </c>
      <c r="S1364" s="3">
        <v>0</v>
      </c>
      <c r="T1364" s="3">
        <v>0</v>
      </c>
      <c r="U1364" s="3">
        <v>0</v>
      </c>
      <c r="V1364" s="3">
        <v>2018</v>
      </c>
      <c r="W1364" s="3">
        <v>15645000</v>
      </c>
      <c r="X1364" s="3">
        <v>42365000</v>
      </c>
      <c r="Y1364" s="3">
        <v>26720000</v>
      </c>
      <c r="Z1364" s="3">
        <v>28236600</v>
      </c>
      <c r="AA1364" s="3">
        <v>14128400</v>
      </c>
      <c r="AB1364" s="3">
        <v>50</v>
      </c>
    </row>
    <row r="1365" spans="1:28" x14ac:dyDescent="0.35">
      <c r="A1365">
        <v>2022</v>
      </c>
      <c r="B1365" t="str">
        <f t="shared" si="171"/>
        <v>70</v>
      </c>
      <c r="C1365" t="s">
        <v>471</v>
      </c>
      <c r="D1365" t="s">
        <v>35</v>
      </c>
      <c r="E1365" t="str">
        <f t="shared" si="169"/>
        <v>266</v>
      </c>
      <c r="F1365" t="s">
        <v>476</v>
      </c>
      <c r="G1365" t="str">
        <f>"036"</f>
        <v>036</v>
      </c>
      <c r="H1365" t="str">
        <f t="shared" si="170"/>
        <v>4179</v>
      </c>
      <c r="I1365" s="3">
        <v>6603300</v>
      </c>
      <c r="J1365" s="3">
        <v>75.41</v>
      </c>
      <c r="K1365" s="3">
        <v>8756500</v>
      </c>
      <c r="L1365" s="3">
        <v>0</v>
      </c>
      <c r="M1365" s="3">
        <v>8756500</v>
      </c>
      <c r="N1365" s="3">
        <v>0</v>
      </c>
      <c r="O1365" s="3">
        <v>0</v>
      </c>
      <c r="P1365" s="3">
        <v>0</v>
      </c>
      <c r="Q1365" s="3">
        <v>0</v>
      </c>
      <c r="R1365" s="3">
        <v>16300</v>
      </c>
      <c r="S1365" s="3">
        <v>0</v>
      </c>
      <c r="T1365" s="3">
        <v>0</v>
      </c>
      <c r="U1365" s="3">
        <v>0</v>
      </c>
      <c r="V1365" s="3">
        <v>2019</v>
      </c>
      <c r="W1365" s="3">
        <v>0</v>
      </c>
      <c r="X1365" s="3">
        <v>8772800</v>
      </c>
      <c r="Y1365" s="3">
        <v>8772800</v>
      </c>
      <c r="Z1365" s="3">
        <v>5007700</v>
      </c>
      <c r="AA1365" s="3">
        <v>3765100</v>
      </c>
      <c r="AB1365" s="3">
        <v>75</v>
      </c>
    </row>
    <row r="1366" spans="1:28" x14ac:dyDescent="0.35">
      <c r="A1366">
        <v>2022</v>
      </c>
      <c r="B1366" t="str">
        <f t="shared" si="171"/>
        <v>70</v>
      </c>
      <c r="C1366" t="s">
        <v>471</v>
      </c>
      <c r="D1366" t="s">
        <v>35</v>
      </c>
      <c r="E1366" t="str">
        <f t="shared" si="169"/>
        <v>266</v>
      </c>
      <c r="F1366" t="s">
        <v>476</v>
      </c>
      <c r="G1366" t="str">
        <f>"037"</f>
        <v>037</v>
      </c>
      <c r="H1366" t="str">
        <f t="shared" si="170"/>
        <v>4179</v>
      </c>
      <c r="I1366" s="3">
        <v>12676500</v>
      </c>
      <c r="J1366" s="3">
        <v>75.41</v>
      </c>
      <c r="K1366" s="3">
        <v>16810100</v>
      </c>
      <c r="L1366" s="3">
        <v>0</v>
      </c>
      <c r="M1366" s="3">
        <v>16810100</v>
      </c>
      <c r="N1366" s="3">
        <v>0</v>
      </c>
      <c r="O1366" s="3">
        <v>0</v>
      </c>
      <c r="P1366" s="3">
        <v>0</v>
      </c>
      <c r="Q1366" s="3">
        <v>0</v>
      </c>
      <c r="R1366" s="3">
        <v>50400</v>
      </c>
      <c r="S1366" s="3">
        <v>0</v>
      </c>
      <c r="T1366" s="3">
        <v>0</v>
      </c>
      <c r="U1366" s="3">
        <v>0</v>
      </c>
      <c r="V1366" s="3">
        <v>2019</v>
      </c>
      <c r="W1366" s="3">
        <v>6810700</v>
      </c>
      <c r="X1366" s="3">
        <v>16860500</v>
      </c>
      <c r="Y1366" s="3">
        <v>10049800</v>
      </c>
      <c r="Z1366" s="3">
        <v>15489900</v>
      </c>
      <c r="AA1366" s="3">
        <v>1370600</v>
      </c>
      <c r="AB1366" s="3">
        <v>9</v>
      </c>
    </row>
    <row r="1367" spans="1:28" x14ac:dyDescent="0.35">
      <c r="A1367">
        <v>2022</v>
      </c>
      <c r="B1367" t="str">
        <f t="shared" si="171"/>
        <v>70</v>
      </c>
      <c r="C1367" t="s">
        <v>471</v>
      </c>
      <c r="D1367" t="s">
        <v>35</v>
      </c>
      <c r="E1367" t="str">
        <f t="shared" si="169"/>
        <v>266</v>
      </c>
      <c r="F1367" t="s">
        <v>476</v>
      </c>
      <c r="G1367" t="str">
        <f>"038"</f>
        <v>038</v>
      </c>
      <c r="H1367" t="str">
        <f t="shared" si="170"/>
        <v>4179</v>
      </c>
      <c r="I1367" s="3">
        <v>1959600</v>
      </c>
      <c r="J1367" s="3">
        <v>75.41</v>
      </c>
      <c r="K1367" s="3">
        <v>2598600</v>
      </c>
      <c r="L1367" s="3">
        <v>0</v>
      </c>
      <c r="M1367" s="3">
        <v>2598600</v>
      </c>
      <c r="N1367" s="3">
        <v>0</v>
      </c>
      <c r="O1367" s="3">
        <v>0</v>
      </c>
      <c r="P1367" s="3">
        <v>0</v>
      </c>
      <c r="Q1367" s="3">
        <v>0</v>
      </c>
      <c r="R1367" s="3">
        <v>7600</v>
      </c>
      <c r="S1367" s="3">
        <v>0</v>
      </c>
      <c r="T1367" s="3">
        <v>0</v>
      </c>
      <c r="U1367" s="3">
        <v>0</v>
      </c>
      <c r="V1367" s="3">
        <v>2019</v>
      </c>
      <c r="W1367" s="3">
        <v>2176700</v>
      </c>
      <c r="X1367" s="3">
        <v>2606200</v>
      </c>
      <c r="Y1367" s="3">
        <v>429500</v>
      </c>
      <c r="Z1367" s="3">
        <v>2345400</v>
      </c>
      <c r="AA1367" s="3">
        <v>260800</v>
      </c>
      <c r="AB1367" s="3">
        <v>11</v>
      </c>
    </row>
    <row r="1368" spans="1:28" x14ac:dyDescent="0.35">
      <c r="A1368">
        <v>2022</v>
      </c>
      <c r="B1368" t="str">
        <f t="shared" si="171"/>
        <v>70</v>
      </c>
      <c r="C1368" t="s">
        <v>471</v>
      </c>
      <c r="D1368" t="s">
        <v>35</v>
      </c>
      <c r="E1368" t="str">
        <f t="shared" si="169"/>
        <v>266</v>
      </c>
      <c r="F1368" t="s">
        <v>476</v>
      </c>
      <c r="G1368" t="str">
        <f>"039"</f>
        <v>039</v>
      </c>
      <c r="H1368" t="str">
        <f t="shared" si="170"/>
        <v>4179</v>
      </c>
      <c r="I1368" s="3">
        <v>778900</v>
      </c>
      <c r="J1368" s="3">
        <v>75.41</v>
      </c>
      <c r="K1368" s="3">
        <v>1032900</v>
      </c>
      <c r="L1368" s="3">
        <v>0</v>
      </c>
      <c r="M1368" s="3">
        <v>1032900</v>
      </c>
      <c r="N1368" s="3">
        <v>0</v>
      </c>
      <c r="O1368" s="3">
        <v>0</v>
      </c>
      <c r="P1368" s="3">
        <v>0</v>
      </c>
      <c r="Q1368" s="3">
        <v>0</v>
      </c>
      <c r="R1368" s="3">
        <v>1600</v>
      </c>
      <c r="S1368" s="3">
        <v>0</v>
      </c>
      <c r="T1368" s="3">
        <v>0</v>
      </c>
      <c r="U1368" s="3">
        <v>0</v>
      </c>
      <c r="V1368" s="3">
        <v>2020</v>
      </c>
      <c r="W1368" s="3">
        <v>0</v>
      </c>
      <c r="X1368" s="3">
        <v>1034500</v>
      </c>
      <c r="Y1368" s="3">
        <v>1034500</v>
      </c>
      <c r="Z1368" s="3">
        <v>476400</v>
      </c>
      <c r="AA1368" s="3">
        <v>558100</v>
      </c>
      <c r="AB1368" s="3">
        <v>117</v>
      </c>
    </row>
    <row r="1369" spans="1:28" x14ac:dyDescent="0.35">
      <c r="A1369">
        <v>2022</v>
      </c>
      <c r="B1369" t="str">
        <f t="shared" si="171"/>
        <v>70</v>
      </c>
      <c r="C1369" t="s">
        <v>471</v>
      </c>
      <c r="D1369" t="s">
        <v>35</v>
      </c>
      <c r="E1369" t="str">
        <f t="shared" si="169"/>
        <v>266</v>
      </c>
      <c r="F1369" t="s">
        <v>476</v>
      </c>
      <c r="G1369" t="str">
        <f>"040"</f>
        <v>040</v>
      </c>
      <c r="H1369" t="str">
        <f t="shared" si="170"/>
        <v>4179</v>
      </c>
      <c r="I1369" s="3">
        <v>148500</v>
      </c>
      <c r="J1369" s="3">
        <v>75.41</v>
      </c>
      <c r="K1369" s="3">
        <v>196900</v>
      </c>
      <c r="L1369" s="3">
        <v>0</v>
      </c>
      <c r="M1369" s="3">
        <v>196900</v>
      </c>
      <c r="N1369" s="3">
        <v>0</v>
      </c>
      <c r="O1369" s="3">
        <v>0</v>
      </c>
      <c r="P1369" s="3">
        <v>0</v>
      </c>
      <c r="Q1369" s="3">
        <v>0</v>
      </c>
      <c r="R1369" s="3">
        <v>0</v>
      </c>
      <c r="S1369" s="3">
        <v>0</v>
      </c>
      <c r="T1369" s="3">
        <v>0</v>
      </c>
      <c r="U1369" s="3">
        <v>0</v>
      </c>
      <c r="V1369" s="3">
        <v>2021</v>
      </c>
      <c r="W1369" s="3">
        <v>179200</v>
      </c>
      <c r="X1369" s="3">
        <v>196900</v>
      </c>
      <c r="Y1369" s="3">
        <v>17700</v>
      </c>
      <c r="Z1369" s="3">
        <v>179200</v>
      </c>
      <c r="AA1369" s="3">
        <v>17700</v>
      </c>
      <c r="AB1369" s="3">
        <v>10</v>
      </c>
    </row>
    <row r="1370" spans="1:28" x14ac:dyDescent="0.35">
      <c r="A1370">
        <v>2022</v>
      </c>
      <c r="B1370" t="str">
        <f t="shared" ref="B1370:B1392" si="172">"71"</f>
        <v>71</v>
      </c>
      <c r="C1370" t="s">
        <v>477</v>
      </c>
      <c r="D1370" t="s">
        <v>33</v>
      </c>
      <c r="E1370" t="str">
        <f>"101"</f>
        <v>101</v>
      </c>
      <c r="F1370" t="s">
        <v>478</v>
      </c>
      <c r="G1370" t="str">
        <f>"001"</f>
        <v>001</v>
      </c>
      <c r="H1370" t="str">
        <f>"0203"</f>
        <v>0203</v>
      </c>
      <c r="I1370" s="3">
        <v>2141000</v>
      </c>
      <c r="J1370" s="3">
        <v>77.52</v>
      </c>
      <c r="K1370" s="3">
        <v>2761900</v>
      </c>
      <c r="L1370" s="3">
        <v>0</v>
      </c>
      <c r="M1370" s="3">
        <v>2761900</v>
      </c>
      <c r="N1370" s="3">
        <v>11400</v>
      </c>
      <c r="O1370" s="3">
        <v>11400</v>
      </c>
      <c r="P1370" s="3">
        <v>0</v>
      </c>
      <c r="Q1370" s="3">
        <v>0</v>
      </c>
      <c r="R1370" s="3">
        <v>-3300</v>
      </c>
      <c r="S1370" s="3">
        <v>0</v>
      </c>
      <c r="T1370" s="3">
        <v>0</v>
      </c>
      <c r="U1370" s="3">
        <v>1540100</v>
      </c>
      <c r="V1370" s="3">
        <v>2006</v>
      </c>
      <c r="W1370" s="3">
        <v>2073000</v>
      </c>
      <c r="X1370" s="3">
        <v>4310100</v>
      </c>
      <c r="Y1370" s="3">
        <v>2237100</v>
      </c>
      <c r="Z1370" s="3">
        <v>4062700</v>
      </c>
      <c r="AA1370" s="3">
        <v>247400</v>
      </c>
      <c r="AB1370" s="3">
        <v>6</v>
      </c>
    </row>
    <row r="1371" spans="1:28" x14ac:dyDescent="0.35">
      <c r="A1371">
        <v>2022</v>
      </c>
      <c r="B1371" t="str">
        <f t="shared" si="172"/>
        <v>71</v>
      </c>
      <c r="C1371" t="s">
        <v>477</v>
      </c>
      <c r="D1371" t="s">
        <v>33</v>
      </c>
      <c r="E1371" t="str">
        <f>"101"</f>
        <v>101</v>
      </c>
      <c r="F1371" t="s">
        <v>478</v>
      </c>
      <c r="G1371" t="str">
        <f>"002"</f>
        <v>002</v>
      </c>
      <c r="H1371" t="str">
        <f>"0203"</f>
        <v>0203</v>
      </c>
      <c r="I1371" s="3">
        <v>2401600</v>
      </c>
      <c r="J1371" s="3">
        <v>77.52</v>
      </c>
      <c r="K1371" s="3">
        <v>3098000</v>
      </c>
      <c r="L1371" s="3">
        <v>0</v>
      </c>
      <c r="M1371" s="3">
        <v>3098000</v>
      </c>
      <c r="N1371" s="3">
        <v>75800</v>
      </c>
      <c r="O1371" s="3">
        <v>75800</v>
      </c>
      <c r="P1371" s="3">
        <v>0</v>
      </c>
      <c r="Q1371" s="3">
        <v>0</v>
      </c>
      <c r="R1371" s="3">
        <v>-4100</v>
      </c>
      <c r="S1371" s="3">
        <v>0</v>
      </c>
      <c r="T1371" s="3">
        <v>0</v>
      </c>
      <c r="U1371" s="3">
        <v>0</v>
      </c>
      <c r="V1371" s="3">
        <v>2015</v>
      </c>
      <c r="W1371" s="3">
        <v>1800400</v>
      </c>
      <c r="X1371" s="3">
        <v>3169700</v>
      </c>
      <c r="Y1371" s="3">
        <v>1369300</v>
      </c>
      <c r="Z1371" s="3">
        <v>3502700</v>
      </c>
      <c r="AA1371" s="3">
        <v>-333000</v>
      </c>
      <c r="AB1371" s="3">
        <v>-10</v>
      </c>
    </row>
    <row r="1372" spans="1:28" x14ac:dyDescent="0.35">
      <c r="A1372">
        <v>2022</v>
      </c>
      <c r="B1372" t="str">
        <f t="shared" si="172"/>
        <v>71</v>
      </c>
      <c r="C1372" t="s">
        <v>477</v>
      </c>
      <c r="D1372" t="s">
        <v>33</v>
      </c>
      <c r="E1372" t="str">
        <f>"106"</f>
        <v>106</v>
      </c>
      <c r="F1372" t="s">
        <v>479</v>
      </c>
      <c r="G1372" t="str">
        <f>"001"</f>
        <v>001</v>
      </c>
      <c r="H1372" t="str">
        <f>"6685"</f>
        <v>6685</v>
      </c>
      <c r="I1372" s="3">
        <v>993400</v>
      </c>
      <c r="J1372" s="3">
        <v>77</v>
      </c>
      <c r="K1372" s="3">
        <v>1290100</v>
      </c>
      <c r="L1372" s="3">
        <v>0</v>
      </c>
      <c r="M1372" s="3">
        <v>1290100</v>
      </c>
      <c r="N1372" s="3">
        <v>0</v>
      </c>
      <c r="O1372" s="3">
        <v>0</v>
      </c>
      <c r="P1372" s="3">
        <v>0</v>
      </c>
      <c r="Q1372" s="3">
        <v>0</v>
      </c>
      <c r="R1372" s="3">
        <v>1500</v>
      </c>
      <c r="S1372" s="3">
        <v>0</v>
      </c>
      <c r="T1372" s="3">
        <v>0</v>
      </c>
      <c r="U1372" s="3">
        <v>3802900</v>
      </c>
      <c r="V1372" s="3">
        <v>2006</v>
      </c>
      <c r="W1372" s="3">
        <v>3500700</v>
      </c>
      <c r="X1372" s="3">
        <v>5094500</v>
      </c>
      <c r="Y1372" s="3">
        <v>1593800</v>
      </c>
      <c r="Z1372" s="3">
        <v>4915600</v>
      </c>
      <c r="AA1372" s="3">
        <v>178900</v>
      </c>
      <c r="AB1372" s="3">
        <v>4</v>
      </c>
    </row>
    <row r="1373" spans="1:28" x14ac:dyDescent="0.35">
      <c r="A1373">
        <v>2022</v>
      </c>
      <c r="B1373" t="str">
        <f t="shared" si="172"/>
        <v>71</v>
      </c>
      <c r="C1373" t="s">
        <v>477</v>
      </c>
      <c r="D1373" t="s">
        <v>33</v>
      </c>
      <c r="E1373" t="str">
        <f>"106"</f>
        <v>106</v>
      </c>
      <c r="F1373" t="s">
        <v>479</v>
      </c>
      <c r="G1373" t="str">
        <f>"002"</f>
        <v>002</v>
      </c>
      <c r="H1373" t="str">
        <f>"6685"</f>
        <v>6685</v>
      </c>
      <c r="I1373" s="3">
        <v>32747100</v>
      </c>
      <c r="J1373" s="3">
        <v>77</v>
      </c>
      <c r="K1373" s="3">
        <v>42528700</v>
      </c>
      <c r="L1373" s="3">
        <v>0</v>
      </c>
      <c r="M1373" s="3">
        <v>42528700</v>
      </c>
      <c r="N1373" s="3">
        <v>123000</v>
      </c>
      <c r="O1373" s="3">
        <v>123000</v>
      </c>
      <c r="P1373" s="3">
        <v>4300</v>
      </c>
      <c r="Q1373" s="3">
        <v>4300</v>
      </c>
      <c r="R1373" s="3">
        <v>49800</v>
      </c>
      <c r="S1373" s="3">
        <v>0</v>
      </c>
      <c r="T1373" s="3">
        <v>0</v>
      </c>
      <c r="U1373" s="3">
        <v>0</v>
      </c>
      <c r="V1373" s="3">
        <v>2006</v>
      </c>
      <c r="W1373" s="3">
        <v>5111000</v>
      </c>
      <c r="X1373" s="3">
        <v>42705800</v>
      </c>
      <c r="Y1373" s="3">
        <v>37594800</v>
      </c>
      <c r="Z1373" s="3">
        <v>38256400</v>
      </c>
      <c r="AA1373" s="3">
        <v>4449400</v>
      </c>
      <c r="AB1373" s="3">
        <v>12</v>
      </c>
    </row>
    <row r="1374" spans="1:28" x14ac:dyDescent="0.35">
      <c r="A1374">
        <v>2022</v>
      </c>
      <c r="B1374" t="str">
        <f t="shared" si="172"/>
        <v>71</v>
      </c>
      <c r="C1374" t="s">
        <v>477</v>
      </c>
      <c r="D1374" t="s">
        <v>33</v>
      </c>
      <c r="E1374" t="str">
        <f>"106"</f>
        <v>106</v>
      </c>
      <c r="F1374" t="s">
        <v>479</v>
      </c>
      <c r="G1374" t="str">
        <f>"003"</f>
        <v>003</v>
      </c>
      <c r="H1374" t="str">
        <f>"6685"</f>
        <v>6685</v>
      </c>
      <c r="I1374" s="3">
        <v>13170000</v>
      </c>
      <c r="J1374" s="3">
        <v>77</v>
      </c>
      <c r="K1374" s="3">
        <v>17103900</v>
      </c>
      <c r="L1374" s="3">
        <v>0</v>
      </c>
      <c r="M1374" s="3">
        <v>17103900</v>
      </c>
      <c r="N1374" s="3">
        <v>0</v>
      </c>
      <c r="O1374" s="3">
        <v>0</v>
      </c>
      <c r="P1374" s="3">
        <v>0</v>
      </c>
      <c r="Q1374" s="3">
        <v>0</v>
      </c>
      <c r="R1374" s="3">
        <v>16600</v>
      </c>
      <c r="S1374" s="3">
        <v>0</v>
      </c>
      <c r="T1374" s="3">
        <v>0</v>
      </c>
      <c r="U1374" s="3">
        <v>0</v>
      </c>
      <c r="V1374" s="3">
        <v>2009</v>
      </c>
      <c r="W1374" s="3">
        <v>3897200</v>
      </c>
      <c r="X1374" s="3">
        <v>17120500</v>
      </c>
      <c r="Y1374" s="3">
        <v>13223300</v>
      </c>
      <c r="Z1374" s="3">
        <v>12479300</v>
      </c>
      <c r="AA1374" s="3">
        <v>4641200</v>
      </c>
      <c r="AB1374" s="3">
        <v>37</v>
      </c>
    </row>
    <row r="1375" spans="1:28" x14ac:dyDescent="0.35">
      <c r="A1375">
        <v>2022</v>
      </c>
      <c r="B1375" t="str">
        <f t="shared" si="172"/>
        <v>71</v>
      </c>
      <c r="C1375" t="s">
        <v>477</v>
      </c>
      <c r="D1375" t="s">
        <v>33</v>
      </c>
      <c r="E1375" t="str">
        <f>"171"</f>
        <v>171</v>
      </c>
      <c r="F1375" t="s">
        <v>480</v>
      </c>
      <c r="G1375" t="str">
        <f>"002"</f>
        <v>002</v>
      </c>
      <c r="H1375" t="str">
        <f>"4508"</f>
        <v>4508</v>
      </c>
      <c r="I1375" s="3">
        <v>5851500</v>
      </c>
      <c r="J1375" s="3">
        <v>68.28</v>
      </c>
      <c r="K1375" s="3">
        <v>8569900</v>
      </c>
      <c r="L1375" s="3">
        <v>0</v>
      </c>
      <c r="M1375" s="3">
        <v>8569900</v>
      </c>
      <c r="N1375" s="3">
        <v>7457400</v>
      </c>
      <c r="O1375" s="3">
        <v>7457400</v>
      </c>
      <c r="P1375" s="3">
        <v>3944700</v>
      </c>
      <c r="Q1375" s="3">
        <v>3944700</v>
      </c>
      <c r="R1375" s="3">
        <v>-5000</v>
      </c>
      <c r="S1375" s="3">
        <v>0</v>
      </c>
      <c r="T1375" s="3">
        <v>0</v>
      </c>
      <c r="U1375" s="3">
        <v>0</v>
      </c>
      <c r="V1375" s="3">
        <v>2009</v>
      </c>
      <c r="W1375" s="3">
        <v>9384200</v>
      </c>
      <c r="X1375" s="3">
        <v>19967000</v>
      </c>
      <c r="Y1375" s="3">
        <v>10582800</v>
      </c>
      <c r="Z1375" s="3">
        <v>18757900</v>
      </c>
      <c r="AA1375" s="3">
        <v>1209100</v>
      </c>
      <c r="AB1375" s="3">
        <v>6</v>
      </c>
    </row>
    <row r="1376" spans="1:28" x14ac:dyDescent="0.35">
      <c r="A1376">
        <v>2022</v>
      </c>
      <c r="B1376" t="str">
        <f t="shared" si="172"/>
        <v>71</v>
      </c>
      <c r="C1376" t="s">
        <v>477</v>
      </c>
      <c r="D1376" t="s">
        <v>33</v>
      </c>
      <c r="E1376" t="str">
        <f>"186"</f>
        <v>186</v>
      </c>
      <c r="F1376" t="s">
        <v>481</v>
      </c>
      <c r="G1376" t="str">
        <f>"001"</f>
        <v>001</v>
      </c>
      <c r="H1376" t="str">
        <f>"6685"</f>
        <v>6685</v>
      </c>
      <c r="I1376" s="3">
        <v>3239400</v>
      </c>
      <c r="J1376" s="3">
        <v>84.96</v>
      </c>
      <c r="K1376" s="3">
        <v>3812900</v>
      </c>
      <c r="L1376" s="3">
        <v>0</v>
      </c>
      <c r="M1376" s="3">
        <v>3812900</v>
      </c>
      <c r="N1376" s="3">
        <v>433200</v>
      </c>
      <c r="O1376" s="3">
        <v>433200</v>
      </c>
      <c r="P1376" s="3">
        <v>0</v>
      </c>
      <c r="Q1376" s="3">
        <v>0</v>
      </c>
      <c r="R1376" s="3">
        <v>-3900</v>
      </c>
      <c r="S1376" s="3">
        <v>0</v>
      </c>
      <c r="T1376" s="3">
        <v>0</v>
      </c>
      <c r="U1376" s="3">
        <v>0</v>
      </c>
      <c r="V1376" s="3">
        <v>2006</v>
      </c>
      <c r="W1376" s="3">
        <v>2637300</v>
      </c>
      <c r="X1376" s="3">
        <v>4242200</v>
      </c>
      <c r="Y1376" s="3">
        <v>1604900</v>
      </c>
      <c r="Z1376" s="3">
        <v>4126400</v>
      </c>
      <c r="AA1376" s="3">
        <v>115800</v>
      </c>
      <c r="AB1376" s="3">
        <v>3</v>
      </c>
    </row>
    <row r="1377" spans="1:28" x14ac:dyDescent="0.35">
      <c r="A1377">
        <v>2022</v>
      </c>
      <c r="B1377" t="str">
        <f t="shared" si="172"/>
        <v>71</v>
      </c>
      <c r="C1377" t="s">
        <v>477</v>
      </c>
      <c r="D1377" t="s">
        <v>35</v>
      </c>
      <c r="E1377" t="str">
        <f t="shared" ref="E1377:E1384" si="173">"251"</f>
        <v>251</v>
      </c>
      <c r="F1377" t="s">
        <v>482</v>
      </c>
      <c r="G1377" t="str">
        <f>"004"</f>
        <v>004</v>
      </c>
      <c r="H1377" t="str">
        <f t="shared" ref="H1377:H1384" si="174">"3339"</f>
        <v>3339</v>
      </c>
      <c r="I1377" s="3">
        <v>61006100</v>
      </c>
      <c r="J1377" s="3">
        <v>72.98</v>
      </c>
      <c r="K1377" s="3">
        <v>83592900</v>
      </c>
      <c r="L1377" s="3">
        <v>0</v>
      </c>
      <c r="M1377" s="3">
        <v>83592900</v>
      </c>
      <c r="N1377" s="3">
        <v>3155700</v>
      </c>
      <c r="O1377" s="3">
        <v>3155700</v>
      </c>
      <c r="P1377" s="3">
        <v>665100</v>
      </c>
      <c r="Q1377" s="3">
        <v>665100</v>
      </c>
      <c r="R1377" s="3">
        <v>463700</v>
      </c>
      <c r="S1377" s="3">
        <v>0</v>
      </c>
      <c r="T1377" s="3">
        <v>0</v>
      </c>
      <c r="U1377" s="3">
        <v>0</v>
      </c>
      <c r="V1377" s="3">
        <v>1996</v>
      </c>
      <c r="W1377" s="3">
        <v>37757800</v>
      </c>
      <c r="X1377" s="3">
        <v>87877400</v>
      </c>
      <c r="Y1377" s="3">
        <v>50119600</v>
      </c>
      <c r="Z1377" s="3">
        <v>75670500</v>
      </c>
      <c r="AA1377" s="3">
        <v>12206900</v>
      </c>
      <c r="AB1377" s="3">
        <v>16</v>
      </c>
    </row>
    <row r="1378" spans="1:28" x14ac:dyDescent="0.35">
      <c r="A1378">
        <v>2022</v>
      </c>
      <c r="B1378" t="str">
        <f t="shared" si="172"/>
        <v>71</v>
      </c>
      <c r="C1378" t="s">
        <v>477</v>
      </c>
      <c r="D1378" t="s">
        <v>35</v>
      </c>
      <c r="E1378" t="str">
        <f t="shared" si="173"/>
        <v>251</v>
      </c>
      <c r="F1378" t="s">
        <v>482</v>
      </c>
      <c r="G1378" t="str">
        <f>"005"</f>
        <v>005</v>
      </c>
      <c r="H1378" t="str">
        <f t="shared" si="174"/>
        <v>3339</v>
      </c>
      <c r="I1378" s="3">
        <v>20912900</v>
      </c>
      <c r="J1378" s="3">
        <v>72.98</v>
      </c>
      <c r="K1378" s="3">
        <v>28655700</v>
      </c>
      <c r="L1378" s="3">
        <v>0</v>
      </c>
      <c r="M1378" s="3">
        <v>28655700</v>
      </c>
      <c r="N1378" s="3">
        <v>1295000</v>
      </c>
      <c r="O1378" s="3">
        <v>1295000</v>
      </c>
      <c r="P1378" s="3">
        <v>30300</v>
      </c>
      <c r="Q1378" s="3">
        <v>30300</v>
      </c>
      <c r="R1378" s="3">
        <v>158800</v>
      </c>
      <c r="S1378" s="3">
        <v>0</v>
      </c>
      <c r="T1378" s="3">
        <v>0</v>
      </c>
      <c r="U1378" s="3">
        <v>0</v>
      </c>
      <c r="V1378" s="3">
        <v>1997</v>
      </c>
      <c r="W1378" s="3">
        <v>299500</v>
      </c>
      <c r="X1378" s="3">
        <v>30139800</v>
      </c>
      <c r="Y1378" s="3">
        <v>29840300</v>
      </c>
      <c r="Z1378" s="3">
        <v>25896900</v>
      </c>
      <c r="AA1378" s="3">
        <v>4242900</v>
      </c>
      <c r="AB1378" s="3">
        <v>16</v>
      </c>
    </row>
    <row r="1379" spans="1:28" x14ac:dyDescent="0.35">
      <c r="A1379">
        <v>2022</v>
      </c>
      <c r="B1379" t="str">
        <f t="shared" si="172"/>
        <v>71</v>
      </c>
      <c r="C1379" t="s">
        <v>477</v>
      </c>
      <c r="D1379" t="s">
        <v>35</v>
      </c>
      <c r="E1379" t="str">
        <f t="shared" si="173"/>
        <v>251</v>
      </c>
      <c r="F1379" t="s">
        <v>482</v>
      </c>
      <c r="G1379" t="str">
        <f>"007"</f>
        <v>007</v>
      </c>
      <c r="H1379" t="str">
        <f t="shared" si="174"/>
        <v>3339</v>
      </c>
      <c r="I1379" s="3">
        <v>2641500</v>
      </c>
      <c r="J1379" s="3">
        <v>72.98</v>
      </c>
      <c r="K1379" s="3">
        <v>3619500</v>
      </c>
      <c r="L1379" s="3">
        <v>0</v>
      </c>
      <c r="M1379" s="3">
        <v>3619500</v>
      </c>
      <c r="N1379" s="3">
        <v>34396200</v>
      </c>
      <c r="O1379" s="3">
        <v>34396200</v>
      </c>
      <c r="P1379" s="3">
        <v>2342300</v>
      </c>
      <c r="Q1379" s="3">
        <v>2342300</v>
      </c>
      <c r="R1379" s="3">
        <v>-89000</v>
      </c>
      <c r="S1379" s="3">
        <v>0</v>
      </c>
      <c r="T1379" s="3">
        <v>0</v>
      </c>
      <c r="U1379" s="3">
        <v>0</v>
      </c>
      <c r="V1379" s="3">
        <v>2001</v>
      </c>
      <c r="W1379" s="3">
        <v>2210500</v>
      </c>
      <c r="X1379" s="3">
        <v>40269000</v>
      </c>
      <c r="Y1379" s="3">
        <v>38058500</v>
      </c>
      <c r="Z1379" s="3">
        <v>39077000</v>
      </c>
      <c r="AA1379" s="3">
        <v>1192000</v>
      </c>
      <c r="AB1379" s="3">
        <v>3</v>
      </c>
    </row>
    <row r="1380" spans="1:28" x14ac:dyDescent="0.35">
      <c r="A1380">
        <v>2022</v>
      </c>
      <c r="B1380" t="str">
        <f t="shared" si="172"/>
        <v>71</v>
      </c>
      <c r="C1380" t="s">
        <v>477</v>
      </c>
      <c r="D1380" t="s">
        <v>35</v>
      </c>
      <c r="E1380" t="str">
        <f t="shared" si="173"/>
        <v>251</v>
      </c>
      <c r="F1380" t="s">
        <v>482</v>
      </c>
      <c r="G1380" t="str">
        <f>"009"</f>
        <v>009</v>
      </c>
      <c r="H1380" t="str">
        <f t="shared" si="174"/>
        <v>3339</v>
      </c>
      <c r="I1380" s="3">
        <v>16632400</v>
      </c>
      <c r="J1380" s="3">
        <v>72.98</v>
      </c>
      <c r="K1380" s="3">
        <v>22790400</v>
      </c>
      <c r="L1380" s="3">
        <v>0</v>
      </c>
      <c r="M1380" s="3">
        <v>22790400</v>
      </c>
      <c r="N1380" s="3">
        <v>0</v>
      </c>
      <c r="O1380" s="3">
        <v>0</v>
      </c>
      <c r="P1380" s="3">
        <v>0</v>
      </c>
      <c r="Q1380" s="3">
        <v>0</v>
      </c>
      <c r="R1380" s="3">
        <v>122800</v>
      </c>
      <c r="S1380" s="3">
        <v>0</v>
      </c>
      <c r="T1380" s="3">
        <v>0</v>
      </c>
      <c r="U1380" s="3">
        <v>0</v>
      </c>
      <c r="V1380" s="3">
        <v>2013</v>
      </c>
      <c r="W1380" s="3">
        <v>1484800</v>
      </c>
      <c r="X1380" s="3">
        <v>22913200</v>
      </c>
      <c r="Y1380" s="3">
        <v>21428400</v>
      </c>
      <c r="Z1380" s="3">
        <v>19049900</v>
      </c>
      <c r="AA1380" s="3">
        <v>3863300</v>
      </c>
      <c r="AB1380" s="3">
        <v>20</v>
      </c>
    </row>
    <row r="1381" spans="1:28" x14ac:dyDescent="0.35">
      <c r="A1381">
        <v>2022</v>
      </c>
      <c r="B1381" t="str">
        <f t="shared" si="172"/>
        <v>71</v>
      </c>
      <c r="C1381" t="s">
        <v>477</v>
      </c>
      <c r="D1381" t="s">
        <v>35</v>
      </c>
      <c r="E1381" t="str">
        <f t="shared" si="173"/>
        <v>251</v>
      </c>
      <c r="F1381" t="s">
        <v>482</v>
      </c>
      <c r="G1381" t="str">
        <f>"010"</f>
        <v>010</v>
      </c>
      <c r="H1381" t="str">
        <f t="shared" si="174"/>
        <v>3339</v>
      </c>
      <c r="I1381" s="3">
        <v>17467900</v>
      </c>
      <c r="J1381" s="3">
        <v>72.98</v>
      </c>
      <c r="K1381" s="3">
        <v>23935200</v>
      </c>
      <c r="L1381" s="3">
        <v>0</v>
      </c>
      <c r="M1381" s="3">
        <v>23935200</v>
      </c>
      <c r="N1381" s="3">
        <v>0</v>
      </c>
      <c r="O1381" s="3">
        <v>0</v>
      </c>
      <c r="P1381" s="3">
        <v>0</v>
      </c>
      <c r="Q1381" s="3">
        <v>0</v>
      </c>
      <c r="R1381" s="3">
        <v>-356000</v>
      </c>
      <c r="S1381" s="3">
        <v>0</v>
      </c>
      <c r="T1381" s="3">
        <v>0</v>
      </c>
      <c r="U1381" s="3">
        <v>0</v>
      </c>
      <c r="V1381" s="3">
        <v>2015</v>
      </c>
      <c r="W1381" s="3">
        <v>16534500</v>
      </c>
      <c r="X1381" s="3">
        <v>23579200</v>
      </c>
      <c r="Y1381" s="3">
        <v>7044700</v>
      </c>
      <c r="Z1381" s="3">
        <v>20698700</v>
      </c>
      <c r="AA1381" s="3">
        <v>2880500</v>
      </c>
      <c r="AB1381" s="3">
        <v>14</v>
      </c>
    </row>
    <row r="1382" spans="1:28" x14ac:dyDescent="0.35">
      <c r="A1382">
        <v>2022</v>
      </c>
      <c r="B1382" t="str">
        <f t="shared" si="172"/>
        <v>71</v>
      </c>
      <c r="C1382" t="s">
        <v>477</v>
      </c>
      <c r="D1382" t="s">
        <v>35</v>
      </c>
      <c r="E1382" t="str">
        <f t="shared" si="173"/>
        <v>251</v>
      </c>
      <c r="F1382" t="s">
        <v>482</v>
      </c>
      <c r="G1382" t="str">
        <f>"011"</f>
        <v>011</v>
      </c>
      <c r="H1382" t="str">
        <f t="shared" si="174"/>
        <v>3339</v>
      </c>
      <c r="I1382" s="3">
        <v>4527900</v>
      </c>
      <c r="J1382" s="3">
        <v>72.98</v>
      </c>
      <c r="K1382" s="3">
        <v>6204300</v>
      </c>
      <c r="L1382" s="3">
        <v>0</v>
      </c>
      <c r="M1382" s="3">
        <v>6204300</v>
      </c>
      <c r="N1382" s="3">
        <v>0</v>
      </c>
      <c r="O1382" s="3">
        <v>0</v>
      </c>
      <c r="P1382" s="3">
        <v>0</v>
      </c>
      <c r="Q1382" s="3">
        <v>0</v>
      </c>
      <c r="R1382" s="3">
        <v>28000</v>
      </c>
      <c r="S1382" s="3">
        <v>0</v>
      </c>
      <c r="T1382" s="3">
        <v>0</v>
      </c>
      <c r="U1382" s="3">
        <v>0</v>
      </c>
      <c r="V1382" s="3">
        <v>2016</v>
      </c>
      <c r="W1382" s="3">
        <v>543500</v>
      </c>
      <c r="X1382" s="3">
        <v>6232300</v>
      </c>
      <c r="Y1382" s="3">
        <v>5688800</v>
      </c>
      <c r="Z1382" s="3">
        <v>4354400</v>
      </c>
      <c r="AA1382" s="3">
        <v>1877900</v>
      </c>
      <c r="AB1382" s="3">
        <v>43</v>
      </c>
    </row>
    <row r="1383" spans="1:28" x14ac:dyDescent="0.35">
      <c r="A1383">
        <v>2022</v>
      </c>
      <c r="B1383" t="str">
        <f t="shared" si="172"/>
        <v>71</v>
      </c>
      <c r="C1383" t="s">
        <v>477</v>
      </c>
      <c r="D1383" t="s">
        <v>35</v>
      </c>
      <c r="E1383" t="str">
        <f t="shared" si="173"/>
        <v>251</v>
      </c>
      <c r="F1383" t="s">
        <v>482</v>
      </c>
      <c r="G1383" t="str">
        <f>"012"</f>
        <v>012</v>
      </c>
      <c r="H1383" t="str">
        <f t="shared" si="174"/>
        <v>3339</v>
      </c>
      <c r="I1383" s="3">
        <v>0</v>
      </c>
      <c r="J1383" s="3">
        <v>72.98</v>
      </c>
      <c r="K1383" s="3">
        <v>0</v>
      </c>
      <c r="L1383" s="3">
        <v>0</v>
      </c>
      <c r="M1383" s="3">
        <v>0</v>
      </c>
      <c r="N1383" s="3">
        <v>0</v>
      </c>
      <c r="O1383" s="3">
        <v>0</v>
      </c>
      <c r="P1383" s="3">
        <v>0</v>
      </c>
      <c r="Q1383" s="3">
        <v>0</v>
      </c>
      <c r="R1383" s="3">
        <v>0</v>
      </c>
      <c r="S1383" s="3">
        <v>0</v>
      </c>
      <c r="T1383" s="3">
        <v>0</v>
      </c>
      <c r="U1383" s="3">
        <v>0</v>
      </c>
      <c r="V1383" s="3">
        <v>2021</v>
      </c>
      <c r="W1383" s="3">
        <v>0</v>
      </c>
      <c r="X1383" s="3">
        <v>0</v>
      </c>
      <c r="Y1383" s="3">
        <v>0</v>
      </c>
      <c r="Z1383" s="3">
        <v>0</v>
      </c>
      <c r="AA1383" s="3">
        <v>0</v>
      </c>
      <c r="AB1383" s="3">
        <v>0</v>
      </c>
    </row>
    <row r="1384" spans="1:28" x14ac:dyDescent="0.35">
      <c r="A1384">
        <v>2022</v>
      </c>
      <c r="B1384" t="str">
        <f t="shared" si="172"/>
        <v>71</v>
      </c>
      <c r="C1384" t="s">
        <v>477</v>
      </c>
      <c r="D1384" t="s">
        <v>35</v>
      </c>
      <c r="E1384" t="str">
        <f t="shared" si="173"/>
        <v>251</v>
      </c>
      <c r="F1384" t="s">
        <v>482</v>
      </c>
      <c r="G1384" t="str">
        <f>"013"</f>
        <v>013</v>
      </c>
      <c r="H1384" t="str">
        <f t="shared" si="174"/>
        <v>3339</v>
      </c>
      <c r="I1384" s="3">
        <v>5101200</v>
      </c>
      <c r="J1384" s="3">
        <v>72.98</v>
      </c>
      <c r="K1384" s="3">
        <v>6989900</v>
      </c>
      <c r="L1384" s="3">
        <v>0</v>
      </c>
      <c r="M1384" s="3">
        <v>6989900</v>
      </c>
      <c r="N1384" s="3">
        <v>14488200</v>
      </c>
      <c r="O1384" s="3">
        <v>14488200</v>
      </c>
      <c r="P1384" s="3">
        <v>1416300</v>
      </c>
      <c r="Q1384" s="3">
        <v>1416300</v>
      </c>
      <c r="R1384" s="3">
        <v>0</v>
      </c>
      <c r="S1384" s="3">
        <v>0</v>
      </c>
      <c r="T1384" s="3">
        <v>0</v>
      </c>
      <c r="U1384" s="3">
        <v>0</v>
      </c>
      <c r="V1384" s="3">
        <v>2021</v>
      </c>
      <c r="W1384" s="3">
        <v>21020000</v>
      </c>
      <c r="X1384" s="3">
        <v>22894400</v>
      </c>
      <c r="Y1384" s="3">
        <v>1874400</v>
      </c>
      <c r="Z1384" s="3">
        <v>21020000</v>
      </c>
      <c r="AA1384" s="3">
        <v>1874400</v>
      </c>
      <c r="AB1384" s="3">
        <v>9</v>
      </c>
    </row>
    <row r="1385" spans="1:28" x14ac:dyDescent="0.35">
      <c r="A1385">
        <v>2022</v>
      </c>
      <c r="B1385" t="str">
        <f t="shared" si="172"/>
        <v>71</v>
      </c>
      <c r="C1385" t="s">
        <v>477</v>
      </c>
      <c r="D1385" t="s">
        <v>35</v>
      </c>
      <c r="E1385" t="str">
        <f>"261"</f>
        <v>261</v>
      </c>
      <c r="F1385" t="s">
        <v>483</v>
      </c>
      <c r="G1385" t="str">
        <f>"001"</f>
        <v>001</v>
      </c>
      <c r="H1385" t="str">
        <f>"3906"</f>
        <v>3906</v>
      </c>
      <c r="I1385" s="3">
        <v>604200</v>
      </c>
      <c r="J1385" s="3">
        <v>65.34</v>
      </c>
      <c r="K1385" s="3">
        <v>924700</v>
      </c>
      <c r="L1385" s="3">
        <v>0</v>
      </c>
      <c r="M1385" s="3">
        <v>924700</v>
      </c>
      <c r="N1385" s="3">
        <v>0</v>
      </c>
      <c r="O1385" s="3">
        <v>0</v>
      </c>
      <c r="P1385" s="3">
        <v>0</v>
      </c>
      <c r="Q1385" s="3">
        <v>0</v>
      </c>
      <c r="R1385" s="3">
        <v>-200</v>
      </c>
      <c r="S1385" s="3">
        <v>0</v>
      </c>
      <c r="T1385" s="3">
        <v>0</v>
      </c>
      <c r="U1385" s="3">
        <v>16721700</v>
      </c>
      <c r="V1385" s="3">
        <v>1997</v>
      </c>
      <c r="W1385" s="3">
        <v>10523600</v>
      </c>
      <c r="X1385" s="3">
        <v>17646200</v>
      </c>
      <c r="Y1385" s="3">
        <v>7122600</v>
      </c>
      <c r="Z1385" s="3">
        <v>17463000</v>
      </c>
      <c r="AA1385" s="3">
        <v>183200</v>
      </c>
      <c r="AB1385" s="3">
        <v>1</v>
      </c>
    </row>
    <row r="1386" spans="1:28" x14ac:dyDescent="0.35">
      <c r="A1386">
        <v>2022</v>
      </c>
      <c r="B1386" t="str">
        <f t="shared" si="172"/>
        <v>71</v>
      </c>
      <c r="C1386" t="s">
        <v>477</v>
      </c>
      <c r="D1386" t="s">
        <v>35</v>
      </c>
      <c r="E1386" t="str">
        <f>"261"</f>
        <v>261</v>
      </c>
      <c r="F1386" t="s">
        <v>483</v>
      </c>
      <c r="G1386" t="str">
        <f>"002"</f>
        <v>002</v>
      </c>
      <c r="H1386" t="str">
        <f>"3906"</f>
        <v>3906</v>
      </c>
      <c r="I1386" s="3">
        <v>2814100</v>
      </c>
      <c r="J1386" s="3">
        <v>65.34</v>
      </c>
      <c r="K1386" s="3">
        <v>4306900</v>
      </c>
      <c r="L1386" s="3">
        <v>0</v>
      </c>
      <c r="M1386" s="3">
        <v>4306900</v>
      </c>
      <c r="N1386" s="3">
        <v>0</v>
      </c>
      <c r="O1386" s="3">
        <v>0</v>
      </c>
      <c r="P1386" s="3">
        <v>0</v>
      </c>
      <c r="Q1386" s="3">
        <v>0</v>
      </c>
      <c r="R1386" s="3">
        <v>-800</v>
      </c>
      <c r="S1386" s="3">
        <v>0</v>
      </c>
      <c r="T1386" s="3">
        <v>0</v>
      </c>
      <c r="U1386" s="3">
        <v>2470300</v>
      </c>
      <c r="V1386" s="3">
        <v>2002</v>
      </c>
      <c r="W1386" s="3">
        <v>609300</v>
      </c>
      <c r="X1386" s="3">
        <v>6776400</v>
      </c>
      <c r="Y1386" s="3">
        <v>6167100</v>
      </c>
      <c r="Z1386" s="3">
        <v>5848400</v>
      </c>
      <c r="AA1386" s="3">
        <v>928000</v>
      </c>
      <c r="AB1386" s="3">
        <v>16</v>
      </c>
    </row>
    <row r="1387" spans="1:28" x14ac:dyDescent="0.35">
      <c r="A1387">
        <v>2022</v>
      </c>
      <c r="B1387" t="str">
        <f t="shared" si="172"/>
        <v>71</v>
      </c>
      <c r="C1387" t="s">
        <v>477</v>
      </c>
      <c r="D1387" t="s">
        <v>35</v>
      </c>
      <c r="E1387" t="str">
        <f>"261"</f>
        <v>261</v>
      </c>
      <c r="F1387" t="s">
        <v>483</v>
      </c>
      <c r="G1387" t="str">
        <f>"003"</f>
        <v>003</v>
      </c>
      <c r="H1387" t="str">
        <f>"3906"</f>
        <v>3906</v>
      </c>
      <c r="I1387" s="3">
        <v>14296100</v>
      </c>
      <c r="J1387" s="3">
        <v>65.34</v>
      </c>
      <c r="K1387" s="3">
        <v>21879600</v>
      </c>
      <c r="L1387" s="3">
        <v>0</v>
      </c>
      <c r="M1387" s="3">
        <v>21879600</v>
      </c>
      <c r="N1387" s="3">
        <v>4366600</v>
      </c>
      <c r="O1387" s="3">
        <v>4366600</v>
      </c>
      <c r="P1387" s="3">
        <v>459400</v>
      </c>
      <c r="Q1387" s="3">
        <v>459400</v>
      </c>
      <c r="R1387" s="3">
        <v>-4300</v>
      </c>
      <c r="S1387" s="3">
        <v>0</v>
      </c>
      <c r="T1387" s="3">
        <v>0</v>
      </c>
      <c r="U1387" s="3">
        <v>571100</v>
      </c>
      <c r="V1387" s="3">
        <v>2012</v>
      </c>
      <c r="W1387" s="3">
        <v>17816300</v>
      </c>
      <c r="X1387" s="3">
        <v>27272400</v>
      </c>
      <c r="Y1387" s="3">
        <v>9456100</v>
      </c>
      <c r="Z1387" s="3">
        <v>22514600</v>
      </c>
      <c r="AA1387" s="3">
        <v>4757800</v>
      </c>
      <c r="AB1387" s="3">
        <v>21</v>
      </c>
    </row>
    <row r="1388" spans="1:28" x14ac:dyDescent="0.35">
      <c r="A1388">
        <v>2022</v>
      </c>
      <c r="B1388" t="str">
        <f t="shared" si="172"/>
        <v>71</v>
      </c>
      <c r="C1388" t="s">
        <v>477</v>
      </c>
      <c r="D1388" t="s">
        <v>35</v>
      </c>
      <c r="E1388" t="str">
        <f>"261"</f>
        <v>261</v>
      </c>
      <c r="F1388" t="s">
        <v>483</v>
      </c>
      <c r="G1388" t="str">
        <f>"004"</f>
        <v>004</v>
      </c>
      <c r="H1388" t="str">
        <f>"3906"</f>
        <v>3906</v>
      </c>
      <c r="I1388" s="3">
        <v>3314500</v>
      </c>
      <c r="J1388" s="3">
        <v>65.34</v>
      </c>
      <c r="K1388" s="3">
        <v>5072700</v>
      </c>
      <c r="L1388" s="3">
        <v>0</v>
      </c>
      <c r="M1388" s="3">
        <v>5072700</v>
      </c>
      <c r="N1388" s="3">
        <v>0</v>
      </c>
      <c r="O1388" s="3">
        <v>0</v>
      </c>
      <c r="P1388" s="3">
        <v>0</v>
      </c>
      <c r="Q1388" s="3">
        <v>0</v>
      </c>
      <c r="R1388" s="3">
        <v>-1000</v>
      </c>
      <c r="S1388" s="3">
        <v>0</v>
      </c>
      <c r="T1388" s="3">
        <v>0</v>
      </c>
      <c r="U1388" s="3">
        <v>0</v>
      </c>
      <c r="V1388" s="3">
        <v>2018</v>
      </c>
      <c r="W1388" s="3">
        <v>3086000</v>
      </c>
      <c r="X1388" s="3">
        <v>5071700</v>
      </c>
      <c r="Y1388" s="3">
        <v>1985700</v>
      </c>
      <c r="Z1388" s="3">
        <v>4005800</v>
      </c>
      <c r="AA1388" s="3">
        <v>1065900</v>
      </c>
      <c r="AB1388" s="3">
        <v>27</v>
      </c>
    </row>
    <row r="1389" spans="1:28" x14ac:dyDescent="0.35">
      <c r="A1389">
        <v>2022</v>
      </c>
      <c r="B1389" t="str">
        <f t="shared" si="172"/>
        <v>71</v>
      </c>
      <c r="C1389" t="s">
        <v>477</v>
      </c>
      <c r="D1389" t="s">
        <v>35</v>
      </c>
      <c r="E1389" t="str">
        <f>"271"</f>
        <v>271</v>
      </c>
      <c r="F1389" t="s">
        <v>484</v>
      </c>
      <c r="G1389" t="str">
        <f>"003"</f>
        <v>003</v>
      </c>
      <c r="H1389" t="str">
        <f>"4368"</f>
        <v>4368</v>
      </c>
      <c r="I1389" s="3">
        <v>27190900</v>
      </c>
      <c r="J1389" s="3">
        <v>91.58</v>
      </c>
      <c r="K1389" s="3">
        <v>29690900</v>
      </c>
      <c r="L1389" s="3">
        <v>0</v>
      </c>
      <c r="M1389" s="3">
        <v>29690900</v>
      </c>
      <c r="N1389" s="3">
        <v>8187600</v>
      </c>
      <c r="O1389" s="3">
        <v>8187600</v>
      </c>
      <c r="P1389" s="3">
        <v>3311800</v>
      </c>
      <c r="Q1389" s="3">
        <v>3311800</v>
      </c>
      <c r="R1389" s="3">
        <v>-27700</v>
      </c>
      <c r="S1389" s="3">
        <v>0</v>
      </c>
      <c r="T1389" s="3">
        <v>0</v>
      </c>
      <c r="U1389" s="3">
        <v>0</v>
      </c>
      <c r="V1389" s="3">
        <v>1995</v>
      </c>
      <c r="W1389" s="3">
        <v>2542000</v>
      </c>
      <c r="X1389" s="3">
        <v>41162600</v>
      </c>
      <c r="Y1389" s="3">
        <v>38620600</v>
      </c>
      <c r="Z1389" s="3">
        <v>40359000</v>
      </c>
      <c r="AA1389" s="3">
        <v>803600</v>
      </c>
      <c r="AB1389" s="3">
        <v>2</v>
      </c>
    </row>
    <row r="1390" spans="1:28" x14ac:dyDescent="0.35">
      <c r="A1390">
        <v>2022</v>
      </c>
      <c r="B1390" t="str">
        <f t="shared" si="172"/>
        <v>71</v>
      </c>
      <c r="C1390" t="s">
        <v>477</v>
      </c>
      <c r="D1390" t="s">
        <v>35</v>
      </c>
      <c r="E1390" t="str">
        <f>"291"</f>
        <v>291</v>
      </c>
      <c r="F1390" t="s">
        <v>485</v>
      </c>
      <c r="G1390" t="str">
        <f>"006"</f>
        <v>006</v>
      </c>
      <c r="H1390" t="str">
        <f>"6685"</f>
        <v>6685</v>
      </c>
      <c r="I1390" s="3">
        <v>8268800</v>
      </c>
      <c r="J1390" s="3">
        <v>79.25</v>
      </c>
      <c r="K1390" s="3">
        <v>10433800</v>
      </c>
      <c r="L1390" s="3">
        <v>0</v>
      </c>
      <c r="M1390" s="3">
        <v>10433800</v>
      </c>
      <c r="N1390" s="3">
        <v>6983500</v>
      </c>
      <c r="O1390" s="3">
        <v>6983500</v>
      </c>
      <c r="P1390" s="3">
        <v>939900</v>
      </c>
      <c r="Q1390" s="3">
        <v>939900</v>
      </c>
      <c r="R1390" s="3">
        <v>4500</v>
      </c>
      <c r="S1390" s="3">
        <v>0</v>
      </c>
      <c r="T1390" s="3">
        <v>0</v>
      </c>
      <c r="U1390" s="3">
        <v>0</v>
      </c>
      <c r="V1390" s="3">
        <v>2004</v>
      </c>
      <c r="W1390" s="3">
        <v>3915100</v>
      </c>
      <c r="X1390" s="3">
        <v>18361700</v>
      </c>
      <c r="Y1390" s="3">
        <v>14446600</v>
      </c>
      <c r="Z1390" s="3">
        <v>15823400</v>
      </c>
      <c r="AA1390" s="3">
        <v>2538300</v>
      </c>
      <c r="AB1390" s="3">
        <v>16</v>
      </c>
    </row>
    <row r="1391" spans="1:28" x14ac:dyDescent="0.35">
      <c r="A1391">
        <v>2022</v>
      </c>
      <c r="B1391" t="str">
        <f t="shared" si="172"/>
        <v>71</v>
      </c>
      <c r="C1391" t="s">
        <v>477</v>
      </c>
      <c r="D1391" t="s">
        <v>35</v>
      </c>
      <c r="E1391" t="str">
        <f>"291"</f>
        <v>291</v>
      </c>
      <c r="F1391" t="s">
        <v>485</v>
      </c>
      <c r="G1391" t="str">
        <f>"007"</f>
        <v>007</v>
      </c>
      <c r="H1391" t="str">
        <f>"6685"</f>
        <v>6685</v>
      </c>
      <c r="I1391" s="3">
        <v>37103100</v>
      </c>
      <c r="J1391" s="3">
        <v>79.25</v>
      </c>
      <c r="K1391" s="3">
        <v>46817800</v>
      </c>
      <c r="L1391" s="3">
        <v>0</v>
      </c>
      <c r="M1391" s="3">
        <v>46817800</v>
      </c>
      <c r="N1391" s="3">
        <v>301500</v>
      </c>
      <c r="O1391" s="3">
        <v>301500</v>
      </c>
      <c r="P1391" s="3">
        <v>142000</v>
      </c>
      <c r="Q1391" s="3">
        <v>142000</v>
      </c>
      <c r="R1391" s="3">
        <v>24300</v>
      </c>
      <c r="S1391" s="3">
        <v>0</v>
      </c>
      <c r="T1391" s="3">
        <v>0</v>
      </c>
      <c r="U1391" s="3">
        <v>0</v>
      </c>
      <c r="V1391" s="3">
        <v>2005</v>
      </c>
      <c r="W1391" s="3">
        <v>34949700</v>
      </c>
      <c r="X1391" s="3">
        <v>47285600</v>
      </c>
      <c r="Y1391" s="3">
        <v>12335900</v>
      </c>
      <c r="Z1391" s="3">
        <v>44051100</v>
      </c>
      <c r="AA1391" s="3">
        <v>3234500</v>
      </c>
      <c r="AB1391" s="3">
        <v>7</v>
      </c>
    </row>
    <row r="1392" spans="1:28" x14ac:dyDescent="0.35">
      <c r="A1392">
        <v>2022</v>
      </c>
      <c r="B1392" t="str">
        <f t="shared" si="172"/>
        <v>71</v>
      </c>
      <c r="C1392" t="s">
        <v>477</v>
      </c>
      <c r="D1392" t="s">
        <v>35</v>
      </c>
      <c r="E1392" t="str">
        <f>"291"</f>
        <v>291</v>
      </c>
      <c r="F1392" t="s">
        <v>485</v>
      </c>
      <c r="G1392" t="str">
        <f>"008"</f>
        <v>008</v>
      </c>
      <c r="H1392" t="str">
        <f>"6685"</f>
        <v>6685</v>
      </c>
      <c r="I1392" s="3">
        <v>7500</v>
      </c>
      <c r="J1392" s="3">
        <v>79.25</v>
      </c>
      <c r="K1392" s="3">
        <v>9500</v>
      </c>
      <c r="L1392" s="3">
        <v>0</v>
      </c>
      <c r="M1392" s="3">
        <v>9500</v>
      </c>
      <c r="N1392" s="3">
        <v>22691000</v>
      </c>
      <c r="O1392" s="3">
        <v>22691000</v>
      </c>
      <c r="P1392" s="3">
        <v>1403900</v>
      </c>
      <c r="Q1392" s="3">
        <v>1403900</v>
      </c>
      <c r="R1392" s="3">
        <v>0</v>
      </c>
      <c r="S1392" s="3">
        <v>0</v>
      </c>
      <c r="T1392" s="3">
        <v>0</v>
      </c>
      <c r="U1392" s="3">
        <v>0</v>
      </c>
      <c r="V1392" s="3">
        <v>2019</v>
      </c>
      <c r="W1392" s="3">
        <v>0</v>
      </c>
      <c r="X1392" s="3">
        <v>24104400</v>
      </c>
      <c r="Y1392" s="3">
        <v>24104400</v>
      </c>
      <c r="Z1392" s="3">
        <v>26320000</v>
      </c>
      <c r="AA1392" s="3">
        <v>-2215600</v>
      </c>
      <c r="AB1392" s="3">
        <v>-8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VersionStatus xmlns="9e30f06f-ad7a-453a-8e08-8a8878e30bd1" xsi:nil="true"/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2022</_x002e_DocumentYear>
    <_dlc_DocId xmlns="bb65cc95-6d4e-4879-a879-9838761499af">33E6D4FPPFNA-2091641682-8054</_dlc_DocId>
    <_dlc_DocIdUrl xmlns="bb65cc95-6d4e-4879-a879-9838761499af">
      <Url>http://apwmad0p7106:9444/_layouts/15/DocIdRedir.aspx?ID=33E6D4FPPFNA-2091641682-8054</Url>
      <Description>33E6D4FPPFNA-2091641682-8054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78216C-AC57-482E-BEF9-A5E27AA876DE}"/>
</file>

<file path=customXml/itemProps2.xml><?xml version="1.0" encoding="utf-8"?>
<ds:datastoreItem xmlns:ds="http://schemas.openxmlformats.org/officeDocument/2006/customXml" ds:itemID="{104F0581-BFC9-4D2C-A85A-C3E69D84FC8D}"/>
</file>

<file path=customXml/itemProps3.xml><?xml version="1.0" encoding="utf-8"?>
<ds:datastoreItem xmlns:ds="http://schemas.openxmlformats.org/officeDocument/2006/customXml" ds:itemID="{EF7F49CE-CBAD-47A0-9CE1-915B1C89BEE6}"/>
</file>

<file path=customXml/itemProps4.xml><?xml version="1.0" encoding="utf-8"?>
<ds:datastoreItem xmlns:ds="http://schemas.openxmlformats.org/officeDocument/2006/customXml" ds:itemID="{83CC31A6-7EB0-454E-AEF2-90B260DABF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TIDSOC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Cusick, Carrie A - DOR</dc:creator>
  <cp:lastModifiedBy>Lentz, Matthew C - DOR</cp:lastModifiedBy>
  <dcterms:created xsi:type="dcterms:W3CDTF">2022-08-09T21:29:28Z</dcterms:created>
  <dcterms:modified xsi:type="dcterms:W3CDTF">2022-08-12T22:10:13Z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ee2ce36f-8971-4bb4-9cde-59e52b30fadd</vt:lpwstr>
  </property>
</Properties>
</file>