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TAS\EQ\EQ Values\2019\Final (Aug 15)\"/>
    </mc:Choice>
  </mc:AlternateContent>
  <bookViews>
    <workbookView xWindow="0" yWindow="0" windowWidth="25200" windowHeight="11235"/>
  </bookViews>
  <sheets>
    <sheet name="TID303WI-FINAL.PDF" sheetId="1" r:id="rId1"/>
  </sheets>
  <calcPr calcId="0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D14" i="1"/>
  <c r="A15" i="1"/>
  <c r="A16" i="1"/>
  <c r="A17" i="1"/>
  <c r="A18" i="1"/>
  <c r="A19" i="1"/>
  <c r="A20" i="1"/>
  <c r="D20" i="1"/>
  <c r="A21" i="1"/>
  <c r="A22" i="1"/>
  <c r="A23" i="1"/>
  <c r="A25" i="1"/>
  <c r="D25" i="1"/>
  <c r="A26" i="1"/>
  <c r="D26" i="1"/>
  <c r="A27" i="1"/>
  <c r="A29" i="1"/>
  <c r="D29" i="1"/>
  <c r="A30" i="1"/>
  <c r="D30" i="1"/>
  <c r="A31" i="1"/>
  <c r="A32" i="1"/>
  <c r="D32" i="1"/>
  <c r="A33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50" i="1"/>
  <c r="A52" i="1"/>
  <c r="D52" i="1"/>
  <c r="A53" i="1"/>
  <c r="D53" i="1"/>
  <c r="A54" i="1"/>
  <c r="D54" i="1"/>
  <c r="A55" i="1"/>
  <c r="A56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5" i="1"/>
  <c r="D85" i="1"/>
  <c r="A86" i="1"/>
  <c r="D86" i="1"/>
  <c r="A87" i="1"/>
  <c r="A88" i="1"/>
  <c r="D88" i="1"/>
  <c r="A89" i="1"/>
  <c r="A90" i="1"/>
  <c r="D90" i="1"/>
  <c r="A91" i="1"/>
  <c r="A92" i="1"/>
  <c r="A93" i="1"/>
  <c r="A94" i="1"/>
  <c r="D94" i="1"/>
  <c r="A95" i="1"/>
  <c r="A96" i="1"/>
  <c r="D96" i="1"/>
  <c r="A97" i="1"/>
  <c r="A99" i="1"/>
  <c r="D99" i="1"/>
  <c r="A100" i="1"/>
  <c r="D100" i="1"/>
  <c r="A101" i="1"/>
  <c r="D101" i="1"/>
  <c r="A102" i="1"/>
  <c r="D102" i="1"/>
  <c r="A103" i="1"/>
  <c r="D103" i="1"/>
  <c r="A104" i="1"/>
  <c r="A105" i="1"/>
  <c r="D105" i="1"/>
  <c r="A106" i="1"/>
  <c r="A107" i="1"/>
  <c r="D107" i="1"/>
  <c r="A108" i="1"/>
  <c r="D108" i="1"/>
  <c r="A109" i="1"/>
  <c r="D109" i="1"/>
  <c r="A110" i="1"/>
  <c r="A111" i="1"/>
  <c r="D111" i="1"/>
  <c r="A112" i="1"/>
  <c r="D112" i="1"/>
  <c r="A113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2" i="1"/>
  <c r="D142" i="1"/>
  <c r="A143" i="1"/>
  <c r="A145" i="1"/>
  <c r="A146" i="1"/>
  <c r="A147" i="1"/>
  <c r="D147" i="1"/>
  <c r="A148" i="1"/>
  <c r="D148" i="1"/>
  <c r="A149" i="1"/>
  <c r="A152" i="1"/>
  <c r="A153" i="1"/>
  <c r="A154" i="1"/>
  <c r="A155" i="1"/>
  <c r="A156" i="1"/>
  <c r="A157" i="1"/>
  <c r="D157" i="1"/>
  <c r="A158" i="1"/>
  <c r="D158" i="1"/>
  <c r="A159" i="1"/>
  <c r="A160" i="1"/>
  <c r="D160" i="1"/>
  <c r="A161" i="1"/>
  <c r="A162" i="1"/>
  <c r="A163" i="1"/>
  <c r="A164" i="1"/>
  <c r="A165" i="1"/>
  <c r="A166" i="1"/>
  <c r="A167" i="1"/>
  <c r="A169" i="1"/>
  <c r="D169" i="1"/>
  <c r="A170" i="1"/>
  <c r="A171" i="1"/>
  <c r="D171" i="1"/>
  <c r="A172" i="1"/>
  <c r="D172" i="1"/>
  <c r="A173" i="1"/>
  <c r="D173" i="1"/>
  <c r="A174" i="1"/>
  <c r="A175" i="1"/>
  <c r="D175" i="1"/>
  <c r="A176" i="1"/>
  <c r="D176" i="1"/>
  <c r="A177" i="1"/>
  <c r="A178" i="1"/>
  <c r="A179" i="1"/>
  <c r="D179" i="1"/>
  <c r="A180" i="1"/>
  <c r="D180" i="1"/>
  <c r="A181" i="1"/>
  <c r="A182" i="1"/>
  <c r="D182" i="1"/>
  <c r="A183" i="1"/>
  <c r="D183" i="1"/>
  <c r="A184" i="1"/>
  <c r="D184" i="1"/>
  <c r="A185" i="1"/>
  <c r="D185" i="1"/>
  <c r="A186" i="1"/>
  <c r="D186" i="1"/>
  <c r="A187" i="1"/>
  <c r="D187" i="1"/>
  <c r="A188" i="1"/>
  <c r="A189" i="1"/>
  <c r="D189" i="1"/>
  <c r="A190" i="1"/>
  <c r="D190" i="1"/>
  <c r="A191" i="1"/>
  <c r="D191" i="1"/>
  <c r="A192" i="1"/>
  <c r="A193" i="1"/>
  <c r="D193" i="1"/>
  <c r="A194" i="1"/>
  <c r="D194" i="1"/>
  <c r="A195" i="1"/>
  <c r="D195" i="1"/>
  <c r="A196" i="1"/>
  <c r="A197" i="1"/>
  <c r="D197" i="1"/>
  <c r="A198" i="1"/>
  <c r="D198" i="1"/>
  <c r="A199" i="1"/>
  <c r="D199" i="1"/>
  <c r="A200" i="1"/>
  <c r="A202" i="1"/>
  <c r="D202" i="1"/>
  <c r="A203" i="1"/>
  <c r="D203" i="1"/>
  <c r="A204" i="1"/>
  <c r="D204" i="1"/>
  <c r="A205" i="1"/>
  <c r="D205" i="1"/>
  <c r="A206" i="1"/>
  <c r="D206" i="1"/>
  <c r="A207" i="1"/>
  <c r="D207" i="1"/>
  <c r="A208" i="1"/>
  <c r="D208" i="1"/>
  <c r="A209" i="1"/>
  <c r="D209" i="1"/>
  <c r="A210" i="1"/>
  <c r="D210" i="1"/>
  <c r="A211" i="1"/>
  <c r="A212" i="1"/>
  <c r="D212" i="1"/>
  <c r="A213" i="1"/>
  <c r="D213" i="1"/>
  <c r="A214" i="1"/>
  <c r="D214" i="1"/>
  <c r="A215" i="1"/>
  <c r="D215" i="1"/>
  <c r="A216" i="1"/>
  <c r="D216" i="1"/>
  <c r="A217" i="1"/>
  <c r="D217" i="1"/>
  <c r="A218" i="1"/>
  <c r="D218" i="1"/>
  <c r="A219" i="1"/>
  <c r="D219" i="1"/>
  <c r="A220" i="1"/>
  <c r="D220" i="1"/>
  <c r="A221" i="1"/>
  <c r="D221" i="1"/>
  <c r="A222" i="1"/>
  <c r="D222" i="1"/>
  <c r="A223" i="1"/>
  <c r="D223" i="1"/>
  <c r="A224" i="1"/>
  <c r="D224" i="1"/>
  <c r="A225" i="1"/>
  <c r="D225" i="1"/>
  <c r="A226" i="1"/>
  <c r="D226" i="1"/>
  <c r="A227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8" i="1"/>
  <c r="A249" i="1"/>
  <c r="A251" i="1"/>
  <c r="D251" i="1"/>
  <c r="A252" i="1"/>
  <c r="A253" i="1"/>
  <c r="A254" i="1"/>
  <c r="A255" i="1"/>
  <c r="D255" i="1"/>
  <c r="A256" i="1"/>
  <c r="D256" i="1"/>
  <c r="A257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2" i="1"/>
  <c r="D282" i="1"/>
  <c r="A283" i="1"/>
  <c r="D283" i="1"/>
  <c r="A284" i="1"/>
  <c r="D284" i="1"/>
  <c r="A285" i="1"/>
  <c r="A286" i="1"/>
  <c r="D286" i="1"/>
  <c r="A287" i="1"/>
  <c r="D287" i="1"/>
  <c r="A288" i="1"/>
  <c r="A289" i="1"/>
  <c r="D289" i="1"/>
  <c r="A290" i="1"/>
  <c r="A293" i="1"/>
  <c r="A294" i="1"/>
  <c r="A295" i="1"/>
  <c r="A296" i="1"/>
  <c r="A297" i="1"/>
  <c r="A298" i="1"/>
  <c r="A299" i="1"/>
  <c r="A300" i="1"/>
  <c r="A301" i="1"/>
  <c r="A303" i="1"/>
  <c r="D303" i="1"/>
  <c r="A304" i="1"/>
  <c r="A305" i="1"/>
  <c r="D305" i="1"/>
  <c r="A306" i="1"/>
  <c r="D306" i="1"/>
  <c r="A307" i="1"/>
  <c r="A308" i="1"/>
  <c r="A309" i="1"/>
  <c r="D309" i="1"/>
  <c r="A310" i="1"/>
  <c r="D310" i="1"/>
  <c r="A311" i="1"/>
  <c r="D311" i="1"/>
  <c r="A312" i="1"/>
  <c r="A313" i="1"/>
  <c r="A315" i="1"/>
  <c r="D315" i="1"/>
  <c r="A316" i="1"/>
  <c r="A317" i="1"/>
  <c r="D317" i="1"/>
  <c r="A318" i="1"/>
  <c r="D318" i="1"/>
  <c r="A319" i="1"/>
  <c r="D319" i="1"/>
  <c r="A320" i="1"/>
  <c r="D320" i="1"/>
  <c r="A321" i="1"/>
  <c r="A322" i="1"/>
  <c r="D322" i="1"/>
  <c r="A323" i="1"/>
  <c r="D323" i="1"/>
  <c r="A324" i="1"/>
  <c r="D324" i="1"/>
  <c r="A325" i="1"/>
  <c r="A326" i="1"/>
  <c r="A327" i="1"/>
  <c r="D327" i="1"/>
  <c r="A328" i="1"/>
  <c r="A329" i="1"/>
  <c r="D329" i="1"/>
  <c r="A330" i="1"/>
  <c r="D330" i="1"/>
  <c r="A331" i="1"/>
  <c r="A332" i="1"/>
  <c r="D332" i="1"/>
  <c r="A333" i="1"/>
  <c r="D333" i="1"/>
  <c r="A334" i="1"/>
  <c r="D334" i="1"/>
  <c r="A335" i="1"/>
  <c r="D335" i="1"/>
  <c r="A336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3" i="1"/>
  <c r="A364" i="1"/>
  <c r="D364" i="1"/>
  <c r="A365" i="1"/>
  <c r="A366" i="1"/>
  <c r="D366" i="1"/>
  <c r="A367" i="1"/>
  <c r="D367" i="1"/>
  <c r="A368" i="1"/>
  <c r="A369" i="1"/>
  <c r="D369" i="1"/>
  <c r="A370" i="1"/>
  <c r="A372" i="1"/>
  <c r="D372" i="1"/>
  <c r="A373" i="1"/>
  <c r="A374" i="1"/>
  <c r="D374" i="1"/>
  <c r="A375" i="1"/>
  <c r="D375" i="1"/>
  <c r="A376" i="1"/>
  <c r="D376" i="1"/>
  <c r="A377" i="1"/>
  <c r="D377" i="1"/>
  <c r="A378" i="1"/>
  <c r="D378" i="1"/>
  <c r="A379" i="1"/>
  <c r="D379" i="1"/>
  <c r="A380" i="1"/>
  <c r="D380" i="1"/>
  <c r="A381" i="1"/>
  <c r="D381" i="1"/>
  <c r="A382" i="1"/>
  <c r="D382" i="1"/>
  <c r="A383" i="1"/>
  <c r="D383" i="1"/>
  <c r="A384" i="1"/>
  <c r="A385" i="1"/>
  <c r="A386" i="1"/>
  <c r="D386" i="1"/>
  <c r="A387" i="1"/>
  <c r="A388" i="1"/>
  <c r="D388" i="1"/>
  <c r="A389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6" i="1"/>
  <c r="A427" i="1"/>
  <c r="D427" i="1"/>
  <c r="A428" i="1"/>
  <c r="D428" i="1"/>
  <c r="A429" i="1"/>
  <c r="A430" i="1"/>
  <c r="D430" i="1"/>
  <c r="A431" i="1"/>
  <c r="A432" i="1"/>
  <c r="D432" i="1"/>
  <c r="A433" i="1"/>
  <c r="A434" i="1"/>
  <c r="D434" i="1"/>
  <c r="A435" i="1"/>
  <c r="D435" i="1"/>
  <c r="A436" i="1"/>
  <c r="D436" i="1"/>
  <c r="A437" i="1"/>
  <c r="A439" i="1"/>
  <c r="D439" i="1"/>
  <c r="A440" i="1"/>
  <c r="D440" i="1"/>
  <c r="A441" i="1"/>
  <c r="D441" i="1"/>
  <c r="A442" i="1"/>
  <c r="A443" i="1"/>
  <c r="D443" i="1"/>
  <c r="A444" i="1"/>
  <c r="A445" i="1"/>
  <c r="D445" i="1"/>
  <c r="A446" i="1"/>
  <c r="D446" i="1"/>
  <c r="A447" i="1"/>
  <c r="A448" i="1"/>
  <c r="D448" i="1"/>
  <c r="A449" i="1"/>
  <c r="A450" i="1"/>
  <c r="D450" i="1"/>
  <c r="A451" i="1"/>
  <c r="D451" i="1"/>
  <c r="A452" i="1"/>
  <c r="A453" i="1"/>
  <c r="D453" i="1"/>
  <c r="A454" i="1"/>
  <c r="D454" i="1"/>
  <c r="A455" i="1"/>
  <c r="A456" i="1"/>
  <c r="A457" i="1"/>
  <c r="D457" i="1"/>
  <c r="A458" i="1"/>
  <c r="D458" i="1"/>
  <c r="A459" i="1"/>
  <c r="D459" i="1"/>
  <c r="A460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5" i="1"/>
  <c r="D485" i="1"/>
  <c r="A486" i="1"/>
  <c r="A487" i="1"/>
  <c r="A488" i="1"/>
  <c r="A489" i="1"/>
  <c r="A490" i="1"/>
  <c r="D490" i="1"/>
  <c r="A491" i="1"/>
  <c r="A492" i="1"/>
  <c r="A493" i="1"/>
  <c r="A494" i="1"/>
  <c r="D494" i="1"/>
  <c r="A495" i="1"/>
  <c r="A496" i="1"/>
  <c r="D496" i="1"/>
  <c r="A497" i="1"/>
  <c r="D497" i="1"/>
  <c r="A498" i="1"/>
  <c r="A499" i="1"/>
  <c r="A501" i="1"/>
  <c r="D501" i="1"/>
  <c r="A502" i="1"/>
  <c r="D502" i="1"/>
  <c r="A503" i="1"/>
  <c r="A504" i="1"/>
  <c r="D504" i="1"/>
  <c r="A505" i="1"/>
  <c r="D505" i="1"/>
  <c r="A506" i="1"/>
  <c r="D506" i="1"/>
  <c r="A507" i="1"/>
  <c r="A508" i="1"/>
  <c r="D508" i="1"/>
  <c r="A509" i="1"/>
  <c r="D509" i="1"/>
  <c r="A510" i="1"/>
  <c r="D510" i="1"/>
  <c r="A511" i="1"/>
  <c r="D511" i="1"/>
  <c r="A512" i="1"/>
  <c r="D512" i="1"/>
  <c r="A513" i="1"/>
  <c r="D513" i="1"/>
  <c r="A514" i="1"/>
  <c r="A515" i="1"/>
  <c r="D515" i="1"/>
  <c r="A516" i="1"/>
  <c r="A519" i="1"/>
  <c r="A520" i="1"/>
  <c r="A521" i="1"/>
  <c r="A522" i="1"/>
  <c r="A523" i="1"/>
  <c r="A524" i="1"/>
  <c r="A525" i="1"/>
  <c r="A526" i="1"/>
  <c r="A527" i="1"/>
  <c r="A528" i="1"/>
  <c r="A529" i="1"/>
  <c r="A531" i="1"/>
  <c r="A532" i="1"/>
  <c r="D532" i="1"/>
  <c r="A533" i="1"/>
  <c r="A534" i="1"/>
  <c r="A535" i="1"/>
  <c r="D535" i="1"/>
  <c r="A536" i="1"/>
  <c r="A537" i="1"/>
  <c r="D537" i="1"/>
  <c r="A538" i="1"/>
  <c r="D538" i="1"/>
  <c r="A539" i="1"/>
  <c r="D539" i="1"/>
  <c r="A540" i="1"/>
  <c r="A541" i="1"/>
  <c r="A542" i="1"/>
  <c r="A543" i="1"/>
  <c r="A544" i="1"/>
  <c r="A545" i="1"/>
  <c r="D545" i="1"/>
  <c r="A546" i="1"/>
  <c r="A548" i="1"/>
  <c r="D548" i="1"/>
  <c r="A549" i="1"/>
  <c r="D549" i="1"/>
  <c r="A550" i="1"/>
  <c r="D550" i="1"/>
  <c r="A551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D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D581" i="1"/>
  <c r="A582" i="1"/>
  <c r="A583" i="1"/>
  <c r="A584" i="1"/>
  <c r="A585" i="1"/>
  <c r="A586" i="1"/>
  <c r="A587" i="1"/>
  <c r="A588" i="1"/>
  <c r="A590" i="1"/>
  <c r="D590" i="1"/>
  <c r="A591" i="1"/>
  <c r="D591" i="1"/>
  <c r="A592" i="1"/>
  <c r="D592" i="1"/>
  <c r="A593" i="1"/>
  <c r="A594" i="1"/>
  <c r="D594" i="1"/>
  <c r="A595" i="1"/>
  <c r="D595" i="1"/>
  <c r="A596" i="1"/>
  <c r="A597" i="1"/>
  <c r="A598" i="1"/>
  <c r="D598" i="1"/>
  <c r="A599" i="1"/>
  <c r="D599" i="1"/>
  <c r="A600" i="1"/>
  <c r="A601" i="1"/>
  <c r="D601" i="1"/>
  <c r="A602" i="1"/>
  <c r="A603" i="1"/>
  <c r="D603" i="1"/>
  <c r="A604" i="1"/>
  <c r="D604" i="1"/>
  <c r="A605" i="1"/>
  <c r="D605" i="1"/>
  <c r="A606" i="1"/>
  <c r="D606" i="1"/>
  <c r="A607" i="1"/>
  <c r="D607" i="1"/>
  <c r="A608" i="1"/>
  <c r="D608" i="1"/>
  <c r="A609" i="1"/>
  <c r="A610" i="1"/>
  <c r="D610" i="1"/>
  <c r="A611" i="1"/>
  <c r="A612" i="1"/>
  <c r="D612" i="1"/>
  <c r="A613" i="1"/>
  <c r="A614" i="1"/>
  <c r="D614" i="1"/>
  <c r="A615" i="1"/>
  <c r="D615" i="1"/>
  <c r="A616" i="1"/>
  <c r="D616" i="1"/>
  <c r="A617" i="1"/>
  <c r="A618" i="1"/>
  <c r="D618" i="1"/>
  <c r="A619" i="1"/>
  <c r="D619" i="1"/>
  <c r="A620" i="1"/>
  <c r="D620" i="1"/>
  <c r="A621" i="1"/>
  <c r="D621" i="1"/>
  <c r="A622" i="1"/>
  <c r="D622" i="1"/>
  <c r="A623" i="1"/>
  <c r="D623" i="1"/>
  <c r="A624" i="1"/>
  <c r="D624" i="1"/>
  <c r="A625" i="1"/>
  <c r="D625" i="1"/>
  <c r="A626" i="1"/>
  <c r="A627" i="1"/>
  <c r="D627" i="1"/>
  <c r="A628" i="1"/>
  <c r="A629" i="1"/>
  <c r="D629" i="1"/>
  <c r="A630" i="1"/>
  <c r="A631" i="1"/>
  <c r="D631" i="1"/>
  <c r="A632" i="1"/>
  <c r="D632" i="1"/>
  <c r="A633" i="1"/>
  <c r="A634" i="1"/>
  <c r="D634" i="1"/>
  <c r="A635" i="1"/>
  <c r="D635" i="1"/>
  <c r="A636" i="1"/>
  <c r="D636" i="1"/>
  <c r="A637" i="1"/>
  <c r="A638" i="1"/>
  <c r="D638" i="1"/>
  <c r="A639" i="1"/>
  <c r="D639" i="1"/>
  <c r="A640" i="1"/>
  <c r="D640" i="1"/>
  <c r="A641" i="1"/>
  <c r="A642" i="1"/>
  <c r="D642" i="1"/>
  <c r="A643" i="1"/>
  <c r="D643" i="1"/>
  <c r="A644" i="1"/>
  <c r="D644" i="1"/>
  <c r="A645" i="1"/>
  <c r="A646" i="1"/>
  <c r="A647" i="1"/>
  <c r="D647" i="1"/>
  <c r="A648" i="1"/>
  <c r="D648" i="1"/>
  <c r="A649" i="1"/>
  <c r="D649" i="1"/>
  <c r="A650" i="1"/>
  <c r="A651" i="1"/>
  <c r="D651" i="1"/>
  <c r="A652" i="1"/>
  <c r="D652" i="1"/>
  <c r="A653" i="1"/>
  <c r="D653" i="1"/>
  <c r="A654" i="1"/>
  <c r="D654" i="1"/>
  <c r="A655" i="1"/>
  <c r="D655" i="1"/>
  <c r="A656" i="1"/>
  <c r="D656" i="1"/>
  <c r="A657" i="1"/>
  <c r="D657" i="1"/>
  <c r="A658" i="1"/>
  <c r="D658" i="1"/>
  <c r="A659" i="1"/>
  <c r="A660" i="1"/>
  <c r="D660" i="1"/>
  <c r="A661" i="1"/>
  <c r="A663" i="1"/>
  <c r="D663" i="1"/>
  <c r="A664" i="1"/>
  <c r="A665" i="1"/>
  <c r="D665" i="1"/>
  <c r="A666" i="1"/>
  <c r="D666" i="1"/>
  <c r="A667" i="1"/>
  <c r="D667" i="1"/>
  <c r="A668" i="1"/>
  <c r="D668" i="1"/>
  <c r="A669" i="1"/>
  <c r="D669" i="1"/>
  <c r="A670" i="1"/>
  <c r="D670" i="1"/>
  <c r="A671" i="1"/>
  <c r="D671" i="1"/>
  <c r="A672" i="1"/>
  <c r="A673" i="1"/>
  <c r="D673" i="1"/>
  <c r="A674" i="1"/>
  <c r="D674" i="1"/>
  <c r="A675" i="1"/>
  <c r="D675" i="1"/>
  <c r="A676" i="1"/>
  <c r="D676" i="1"/>
  <c r="A677" i="1"/>
  <c r="D677" i="1"/>
  <c r="A678" i="1"/>
  <c r="D678" i="1"/>
  <c r="A679" i="1"/>
  <c r="D679" i="1"/>
  <c r="A680" i="1"/>
  <c r="D680" i="1"/>
  <c r="A681" i="1"/>
  <c r="D681" i="1"/>
  <c r="A682" i="1"/>
  <c r="D682" i="1"/>
  <c r="A683" i="1"/>
  <c r="D683" i="1"/>
  <c r="A684" i="1"/>
  <c r="D684" i="1"/>
  <c r="A685" i="1"/>
  <c r="D685" i="1"/>
  <c r="A686" i="1"/>
  <c r="A687" i="1"/>
  <c r="D687" i="1"/>
  <c r="A688" i="1"/>
  <c r="D688" i="1"/>
  <c r="A689" i="1"/>
  <c r="A690" i="1"/>
  <c r="D690" i="1"/>
  <c r="A691" i="1"/>
  <c r="D691" i="1"/>
  <c r="A692" i="1"/>
  <c r="D692" i="1"/>
  <c r="A693" i="1"/>
  <c r="D693" i="1"/>
  <c r="A694" i="1"/>
  <c r="D694" i="1"/>
  <c r="A695" i="1"/>
  <c r="D695" i="1"/>
  <c r="A696" i="1"/>
  <c r="A697" i="1"/>
  <c r="D697" i="1"/>
  <c r="A698" i="1"/>
  <c r="D698" i="1"/>
  <c r="A699" i="1"/>
  <c r="D699" i="1"/>
  <c r="A700" i="1"/>
  <c r="D700" i="1"/>
  <c r="A701" i="1"/>
  <c r="D701" i="1"/>
  <c r="A702" i="1"/>
  <c r="D702" i="1"/>
  <c r="A703" i="1"/>
  <c r="A704" i="1"/>
  <c r="D704" i="1"/>
  <c r="A705" i="1"/>
  <c r="D705" i="1"/>
  <c r="A706" i="1"/>
  <c r="D706" i="1"/>
  <c r="A707" i="1"/>
  <c r="D707" i="1"/>
  <c r="A708" i="1"/>
  <c r="D708" i="1"/>
  <c r="A709" i="1"/>
  <c r="D709" i="1"/>
  <c r="A710" i="1"/>
  <c r="A711" i="1"/>
  <c r="D711" i="1"/>
  <c r="A712" i="1"/>
  <c r="D712" i="1"/>
  <c r="A713" i="1"/>
  <c r="D713" i="1"/>
  <c r="A714" i="1"/>
  <c r="D714" i="1"/>
  <c r="A715" i="1"/>
  <c r="A718" i="1"/>
  <c r="A719" i="1"/>
  <c r="A720" i="1"/>
  <c r="A721" i="1"/>
  <c r="A722" i="1"/>
  <c r="A723" i="1"/>
  <c r="A724" i="1"/>
  <c r="D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3" i="1"/>
  <c r="A744" i="1"/>
  <c r="A745" i="1"/>
  <c r="D745" i="1"/>
  <c r="A746" i="1"/>
  <c r="A747" i="1"/>
  <c r="A748" i="1"/>
  <c r="A749" i="1"/>
  <c r="D749" i="1"/>
  <c r="A750" i="1"/>
  <c r="D750" i="1"/>
  <c r="A751" i="1"/>
  <c r="A752" i="1"/>
  <c r="A753" i="1"/>
  <c r="A754" i="1"/>
  <c r="D754" i="1"/>
  <c r="A755" i="1"/>
  <c r="D755" i="1"/>
  <c r="A756" i="1"/>
  <c r="A757" i="1"/>
  <c r="D757" i="1"/>
  <c r="A758" i="1"/>
  <c r="D758" i="1"/>
  <c r="A759" i="1"/>
  <c r="A760" i="1"/>
  <c r="A762" i="1"/>
  <c r="D762" i="1"/>
  <c r="A763" i="1"/>
  <c r="D763" i="1"/>
  <c r="A764" i="1"/>
  <c r="D764" i="1"/>
  <c r="A765" i="1"/>
  <c r="D765" i="1"/>
  <c r="A766" i="1"/>
  <c r="A767" i="1"/>
  <c r="A768" i="1"/>
  <c r="D768" i="1"/>
  <c r="A769" i="1"/>
  <c r="D769" i="1"/>
  <c r="A770" i="1"/>
  <c r="A771" i="1"/>
  <c r="D771" i="1"/>
  <c r="A772" i="1"/>
  <c r="D772" i="1"/>
  <c r="A773" i="1"/>
  <c r="A774" i="1"/>
  <c r="D774" i="1"/>
  <c r="A775" i="1"/>
  <c r="D775" i="1"/>
  <c r="A776" i="1"/>
  <c r="D776" i="1"/>
  <c r="A777" i="1"/>
  <c r="A778" i="1"/>
  <c r="D778" i="1"/>
  <c r="A779" i="1"/>
  <c r="A780" i="1"/>
  <c r="D780" i="1"/>
  <c r="A781" i="1"/>
  <c r="D781" i="1"/>
  <c r="A782" i="1"/>
  <c r="A783" i="1"/>
  <c r="A784" i="1"/>
  <c r="D784" i="1"/>
  <c r="A785" i="1"/>
  <c r="D785" i="1"/>
  <c r="A786" i="1"/>
  <c r="D786" i="1"/>
  <c r="A787" i="1"/>
  <c r="D787" i="1"/>
  <c r="A788" i="1"/>
  <c r="D788" i="1"/>
  <c r="A789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7" i="1"/>
  <c r="A808" i="1"/>
  <c r="A809" i="1"/>
  <c r="A810" i="1"/>
  <c r="D810" i="1"/>
  <c r="A811" i="1"/>
  <c r="D811" i="1"/>
  <c r="A812" i="1"/>
  <c r="A814" i="1"/>
  <c r="D814" i="1"/>
  <c r="A815" i="1"/>
  <c r="D815" i="1"/>
  <c r="A816" i="1"/>
  <c r="D816" i="1"/>
  <c r="A817" i="1"/>
  <c r="D817" i="1"/>
  <c r="A818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8" i="1"/>
  <c r="A839" i="1"/>
  <c r="A840" i="1"/>
  <c r="A841" i="1"/>
  <c r="D841" i="1"/>
  <c r="A842" i="1"/>
  <c r="D842" i="1"/>
  <c r="A843" i="1"/>
  <c r="A844" i="1"/>
  <c r="A846" i="1"/>
  <c r="D846" i="1"/>
  <c r="A847" i="1"/>
  <c r="D847" i="1"/>
  <c r="A848" i="1"/>
  <c r="D848" i="1"/>
  <c r="A849" i="1"/>
  <c r="D849" i="1"/>
  <c r="A850" i="1"/>
  <c r="D850" i="1"/>
  <c r="A851" i="1"/>
  <c r="D851" i="1"/>
  <c r="A852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8" i="1"/>
  <c r="D878" i="1"/>
  <c r="A879" i="1"/>
  <c r="D879" i="1"/>
  <c r="A880" i="1"/>
  <c r="A881" i="1"/>
  <c r="D881" i="1"/>
  <c r="A882" i="1"/>
  <c r="D882" i="1"/>
  <c r="A883" i="1"/>
  <c r="A884" i="1"/>
  <c r="A885" i="1"/>
  <c r="D885" i="1"/>
  <c r="A886" i="1"/>
  <c r="A887" i="1"/>
  <c r="D887" i="1"/>
  <c r="A888" i="1"/>
  <c r="D888" i="1"/>
  <c r="A889" i="1"/>
  <c r="A890" i="1"/>
  <c r="D890" i="1"/>
  <c r="A891" i="1"/>
  <c r="A892" i="1"/>
  <c r="A894" i="1"/>
  <c r="D894" i="1"/>
  <c r="A895" i="1"/>
  <c r="D895" i="1"/>
  <c r="A896" i="1"/>
  <c r="D896" i="1"/>
  <c r="A897" i="1"/>
  <c r="D897" i="1"/>
  <c r="A898" i="1"/>
  <c r="D898" i="1"/>
  <c r="A899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6" i="1"/>
  <c r="A917" i="1"/>
  <c r="D917" i="1"/>
  <c r="A918" i="1"/>
  <c r="D918" i="1"/>
  <c r="A919" i="1"/>
  <c r="A921" i="1"/>
  <c r="D921" i="1"/>
  <c r="A922" i="1"/>
  <c r="D922" i="1"/>
  <c r="A923" i="1"/>
  <c r="D923" i="1"/>
  <c r="A924" i="1"/>
  <c r="A925" i="1"/>
  <c r="D925" i="1"/>
  <c r="A926" i="1"/>
  <c r="A927" i="1"/>
  <c r="D927" i="1"/>
  <c r="A928" i="1"/>
  <c r="D928" i="1"/>
  <c r="A929" i="1"/>
  <c r="D929" i="1"/>
  <c r="A930" i="1"/>
  <c r="D930" i="1"/>
  <c r="A931" i="1"/>
  <c r="D931" i="1"/>
  <c r="A932" i="1"/>
  <c r="D932" i="1"/>
  <c r="A933" i="1"/>
  <c r="A936" i="1"/>
  <c r="A937" i="1"/>
  <c r="A938" i="1"/>
  <c r="A939" i="1"/>
  <c r="A940" i="1"/>
  <c r="D940" i="1"/>
  <c r="A941" i="1"/>
  <c r="A942" i="1"/>
  <c r="A943" i="1"/>
  <c r="A944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9" i="1"/>
  <c r="A970" i="1"/>
  <c r="D970" i="1"/>
  <c r="A971" i="1"/>
  <c r="A972" i="1"/>
  <c r="A973" i="1"/>
  <c r="D973" i="1"/>
  <c r="A974" i="1"/>
  <c r="A975" i="1"/>
  <c r="A976" i="1"/>
  <c r="A977" i="1"/>
  <c r="D977" i="1"/>
  <c r="A978" i="1"/>
  <c r="D978" i="1"/>
  <c r="A979" i="1"/>
  <c r="A980" i="1"/>
  <c r="D980" i="1"/>
  <c r="A981" i="1"/>
  <c r="D981" i="1"/>
  <c r="A982" i="1"/>
  <c r="A983" i="1"/>
  <c r="D983" i="1"/>
  <c r="A984" i="1"/>
  <c r="A985" i="1"/>
  <c r="A987" i="1"/>
  <c r="D987" i="1"/>
  <c r="A988" i="1"/>
  <c r="D988" i="1"/>
  <c r="A989" i="1"/>
  <c r="D989" i="1"/>
  <c r="A990" i="1"/>
  <c r="D990" i="1"/>
  <c r="A991" i="1"/>
  <c r="D991" i="1"/>
  <c r="A992" i="1"/>
  <c r="D992" i="1"/>
  <c r="A993" i="1"/>
  <c r="D993" i="1"/>
  <c r="A994" i="1"/>
  <c r="D994" i="1"/>
  <c r="A995" i="1"/>
  <c r="D995" i="1"/>
  <c r="A996" i="1"/>
  <c r="D996" i="1"/>
  <c r="A997" i="1"/>
  <c r="D997" i="1"/>
  <c r="A998" i="1"/>
  <c r="D998" i="1"/>
  <c r="A999" i="1"/>
  <c r="D999" i="1"/>
  <c r="A1000" i="1"/>
  <c r="D1000" i="1"/>
  <c r="A1001" i="1"/>
  <c r="A1002" i="1"/>
  <c r="D1002" i="1"/>
  <c r="A1003" i="1"/>
  <c r="D1003" i="1"/>
  <c r="A1004" i="1"/>
  <c r="D1004" i="1"/>
  <c r="A1005" i="1"/>
  <c r="D1005" i="1"/>
  <c r="A1006" i="1"/>
  <c r="D1006" i="1"/>
  <c r="A1007" i="1"/>
  <c r="D1007" i="1"/>
  <c r="A1008" i="1"/>
  <c r="D1008" i="1"/>
  <c r="A1009" i="1"/>
  <c r="D1009" i="1"/>
  <c r="A1010" i="1"/>
  <c r="D1010" i="1"/>
  <c r="A1011" i="1"/>
  <c r="D1011" i="1"/>
  <c r="A1012" i="1"/>
  <c r="A1013" i="1"/>
  <c r="D1013" i="1"/>
  <c r="A1014" i="1"/>
  <c r="D1014" i="1"/>
  <c r="A1015" i="1"/>
  <c r="D1015" i="1"/>
  <c r="A1016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4" i="1"/>
  <c r="D1034" i="1"/>
  <c r="A1035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2" i="1"/>
  <c r="A1073" i="1"/>
  <c r="A1074" i="1"/>
  <c r="A1075" i="1"/>
  <c r="A1076" i="1"/>
  <c r="D1076" i="1"/>
  <c r="A1077" i="1"/>
  <c r="A1078" i="1"/>
  <c r="D1078" i="1"/>
  <c r="A1079" i="1"/>
  <c r="A1080" i="1"/>
  <c r="D1080" i="1"/>
  <c r="A1081" i="1"/>
  <c r="A1082" i="1"/>
  <c r="D1082" i="1"/>
  <c r="A1083" i="1"/>
  <c r="A1084" i="1"/>
  <c r="A1085" i="1"/>
  <c r="D1085" i="1"/>
  <c r="A1086" i="1"/>
  <c r="D1086" i="1"/>
  <c r="A1087" i="1"/>
  <c r="A1088" i="1"/>
  <c r="A1089" i="1"/>
  <c r="A1090" i="1"/>
  <c r="A1091" i="1"/>
  <c r="A1093" i="1"/>
  <c r="D1093" i="1"/>
  <c r="A1094" i="1"/>
  <c r="A1095" i="1"/>
  <c r="D1095" i="1"/>
  <c r="A1096" i="1"/>
  <c r="D1096" i="1"/>
  <c r="A1097" i="1"/>
  <c r="A1098" i="1"/>
  <c r="D1098" i="1"/>
  <c r="A1099" i="1"/>
  <c r="D1099" i="1"/>
  <c r="A1100" i="1"/>
  <c r="D1100" i="1"/>
  <c r="A1101" i="1"/>
  <c r="A1102" i="1"/>
  <c r="D1102" i="1"/>
  <c r="A1103" i="1"/>
  <c r="D1103" i="1"/>
  <c r="A1104" i="1"/>
  <c r="D1104" i="1"/>
  <c r="A1105" i="1"/>
  <c r="A1106" i="1"/>
  <c r="D1106" i="1"/>
  <c r="A1107" i="1"/>
  <c r="D1107" i="1"/>
  <c r="A1108" i="1"/>
  <c r="D1108" i="1"/>
  <c r="A1109" i="1"/>
  <c r="D1109" i="1"/>
  <c r="A1110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30" i="1"/>
  <c r="A1131" i="1"/>
  <c r="D1131" i="1"/>
  <c r="A1132" i="1"/>
  <c r="A1133" i="1"/>
  <c r="D1133" i="1"/>
  <c r="A1134" i="1"/>
  <c r="A1135" i="1"/>
  <c r="A1136" i="1"/>
  <c r="A1137" i="1"/>
  <c r="D1137" i="1"/>
  <c r="A1138" i="1"/>
  <c r="D1138" i="1"/>
  <c r="A1139" i="1"/>
  <c r="A1141" i="1"/>
  <c r="D1141" i="1"/>
  <c r="A1142" i="1"/>
  <c r="D1142" i="1"/>
  <c r="A1143" i="1"/>
  <c r="D1143" i="1"/>
  <c r="A1144" i="1"/>
  <c r="D1144" i="1"/>
  <c r="A1145" i="1"/>
  <c r="A1146" i="1"/>
  <c r="D1146" i="1"/>
  <c r="A1147" i="1"/>
  <c r="D1147" i="1"/>
  <c r="A1148" i="1"/>
  <c r="D1148" i="1"/>
  <c r="A1149" i="1"/>
  <c r="D1149" i="1"/>
  <c r="A1150" i="1"/>
  <c r="D1150" i="1"/>
  <c r="A1151" i="1"/>
  <c r="D1151" i="1"/>
  <c r="A1152" i="1"/>
  <c r="A1155" i="1"/>
  <c r="A1156" i="1"/>
  <c r="A1157" i="1"/>
  <c r="A1158" i="1"/>
  <c r="A1159" i="1"/>
  <c r="A1160" i="1"/>
  <c r="A1161" i="1"/>
  <c r="A1162" i="1"/>
  <c r="A1163" i="1"/>
  <c r="A1164" i="1"/>
  <c r="A1166" i="1"/>
  <c r="A1167" i="1"/>
  <c r="A1169" i="1"/>
  <c r="D1169" i="1"/>
  <c r="A1170" i="1"/>
  <c r="D1170" i="1"/>
  <c r="A1171" i="1"/>
  <c r="D1171" i="1"/>
  <c r="A1172" i="1"/>
  <c r="D1172" i="1"/>
  <c r="A1173" i="1"/>
  <c r="D1173" i="1"/>
  <c r="A1174" i="1"/>
  <c r="A1175" i="1"/>
  <c r="D1175" i="1"/>
  <c r="A1176" i="1"/>
  <c r="D1176" i="1"/>
  <c r="A1177" i="1"/>
  <c r="A1178" i="1"/>
  <c r="D1178" i="1"/>
  <c r="A1179" i="1"/>
  <c r="A1180" i="1"/>
  <c r="D1180" i="1"/>
  <c r="A1181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9" i="1"/>
  <c r="D1199" i="1"/>
  <c r="A1200" i="1"/>
  <c r="A1201" i="1"/>
  <c r="D1201" i="1"/>
  <c r="A1202" i="1"/>
  <c r="A1203" i="1"/>
  <c r="D1203" i="1"/>
  <c r="A1204" i="1"/>
  <c r="D1204" i="1"/>
  <c r="A1205" i="1"/>
  <c r="A1206" i="1"/>
  <c r="A1207" i="1"/>
  <c r="A1208" i="1"/>
  <c r="D1208" i="1"/>
  <c r="A1209" i="1"/>
  <c r="A1210" i="1"/>
  <c r="A1211" i="1"/>
  <c r="A1212" i="1"/>
  <c r="D1212" i="1"/>
  <c r="A1213" i="1"/>
  <c r="A1214" i="1"/>
  <c r="A1215" i="1"/>
  <c r="D1215" i="1"/>
  <c r="A1216" i="1"/>
  <c r="A1217" i="1"/>
  <c r="A1218" i="1"/>
  <c r="D1218" i="1"/>
  <c r="A1219" i="1"/>
  <c r="A1221" i="1"/>
  <c r="D1221" i="1"/>
  <c r="A1222" i="1"/>
  <c r="A1223" i="1"/>
  <c r="A1226" i="1"/>
  <c r="A1227" i="1"/>
  <c r="A1228" i="1"/>
  <c r="A1229" i="1"/>
  <c r="A1230" i="1"/>
  <c r="A1231" i="1"/>
  <c r="A1232" i="1"/>
  <c r="A1233" i="1"/>
  <c r="A1234" i="1"/>
  <c r="A1235" i="1"/>
  <c r="A1237" i="1"/>
  <c r="D1237" i="1"/>
  <c r="A1238" i="1"/>
  <c r="A1239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4" i="1"/>
  <c r="A1265" i="1"/>
  <c r="D1265" i="1"/>
  <c r="A1266" i="1"/>
  <c r="A1267" i="1"/>
  <c r="A1268" i="1"/>
  <c r="D1268" i="1"/>
  <c r="A1269" i="1"/>
  <c r="A1270" i="1"/>
  <c r="D1270" i="1"/>
  <c r="A1271" i="1"/>
  <c r="D1271" i="1"/>
  <c r="A1272" i="1"/>
  <c r="A1274" i="1"/>
  <c r="D1274" i="1"/>
  <c r="A1275" i="1"/>
  <c r="D1275" i="1"/>
  <c r="A1276" i="1"/>
  <c r="D1276" i="1"/>
  <c r="A1277" i="1"/>
  <c r="D1277" i="1"/>
  <c r="A1278" i="1"/>
  <c r="D1278" i="1"/>
  <c r="A1279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9" i="1"/>
  <c r="A1300" i="1"/>
  <c r="D1300" i="1"/>
  <c r="A1301" i="1"/>
  <c r="D1301" i="1"/>
  <c r="A1302" i="1"/>
  <c r="A1303" i="1"/>
  <c r="A1304" i="1"/>
  <c r="D1304" i="1"/>
  <c r="A1305" i="1"/>
  <c r="A1306" i="1"/>
  <c r="A1308" i="1"/>
  <c r="D1308" i="1"/>
  <c r="A1309" i="1"/>
  <c r="D1309" i="1"/>
  <c r="A1310" i="1"/>
  <c r="D1310" i="1"/>
  <c r="A1311" i="1"/>
  <c r="A1312" i="1"/>
  <c r="D1312" i="1"/>
  <c r="A1313" i="1"/>
  <c r="D1313" i="1"/>
  <c r="A1314" i="1"/>
  <c r="D1314" i="1"/>
  <c r="A1315" i="1"/>
  <c r="D1315" i="1"/>
  <c r="A1316" i="1"/>
  <c r="D1316" i="1"/>
  <c r="A1317" i="1"/>
  <c r="A1318" i="1"/>
  <c r="D1318" i="1"/>
  <c r="A1319" i="1"/>
  <c r="D1319" i="1"/>
  <c r="A1320" i="1"/>
  <c r="D1320" i="1"/>
  <c r="A1321" i="1"/>
  <c r="D1321" i="1"/>
  <c r="A1322" i="1"/>
  <c r="D1322" i="1"/>
  <c r="A1323" i="1"/>
  <c r="A1324" i="1"/>
  <c r="D1324" i="1"/>
  <c r="A1325" i="1"/>
  <c r="D1325" i="1"/>
  <c r="A1326" i="1"/>
  <c r="D1326" i="1"/>
  <c r="A1327" i="1"/>
  <c r="A1328" i="1"/>
  <c r="D1328" i="1"/>
  <c r="A1329" i="1"/>
  <c r="D1329" i="1"/>
  <c r="A1330" i="1"/>
  <c r="D1330" i="1"/>
  <c r="A1331" i="1"/>
  <c r="D1331" i="1"/>
  <c r="A1332" i="1"/>
  <c r="A1333" i="1"/>
  <c r="D1333" i="1"/>
  <c r="A1334" i="1"/>
  <c r="D1334" i="1"/>
  <c r="A1335" i="1"/>
  <c r="D1335" i="1"/>
  <c r="A1336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9" i="1"/>
  <c r="D1359" i="1"/>
  <c r="A1360" i="1"/>
  <c r="A1361" i="1"/>
  <c r="A1362" i="1"/>
  <c r="A1363" i="1"/>
  <c r="D1363" i="1"/>
  <c r="A1364" i="1"/>
  <c r="D1364" i="1"/>
  <c r="A1365" i="1"/>
  <c r="A1366" i="1"/>
  <c r="A1367" i="1"/>
  <c r="A1369" i="1"/>
  <c r="D1369" i="1"/>
  <c r="A1370" i="1"/>
  <c r="D1370" i="1"/>
  <c r="A1371" i="1"/>
  <c r="D1371" i="1"/>
  <c r="A1372" i="1"/>
  <c r="D1372" i="1"/>
  <c r="A1373" i="1"/>
  <c r="D1373" i="1"/>
  <c r="A1374" i="1"/>
  <c r="A1375" i="1"/>
  <c r="D1375" i="1"/>
  <c r="A1376" i="1"/>
  <c r="D1376" i="1"/>
  <c r="A1377" i="1"/>
  <c r="A1378" i="1"/>
  <c r="D1378" i="1"/>
  <c r="A1379" i="1"/>
  <c r="D1379" i="1"/>
  <c r="A1380" i="1"/>
  <c r="D1380" i="1"/>
  <c r="A1381" i="1"/>
  <c r="D1381" i="1"/>
  <c r="A1382" i="1"/>
  <c r="D1382" i="1"/>
  <c r="A1383" i="1"/>
  <c r="A1384" i="1"/>
  <c r="D1384" i="1"/>
  <c r="A1385" i="1"/>
  <c r="A1388" i="1"/>
  <c r="A1389" i="1"/>
  <c r="A1390" i="1"/>
  <c r="A1391" i="1"/>
  <c r="A1392" i="1"/>
  <c r="A1394" i="1"/>
  <c r="A1395" i="1"/>
  <c r="A1396" i="1"/>
  <c r="D1396" i="1"/>
  <c r="A1397" i="1"/>
  <c r="D1397" i="1"/>
  <c r="A1398" i="1"/>
  <c r="A1399" i="1"/>
  <c r="D1399" i="1"/>
  <c r="A1400" i="1"/>
  <c r="D1400" i="1"/>
  <c r="A1401" i="1"/>
  <c r="D1401" i="1"/>
  <c r="A1402" i="1"/>
  <c r="D1402" i="1"/>
  <c r="A1403" i="1"/>
  <c r="D1403" i="1"/>
  <c r="A1404" i="1"/>
  <c r="A1405" i="1"/>
  <c r="D1405" i="1"/>
  <c r="A1406" i="1"/>
  <c r="A1407" i="1"/>
  <c r="D1407" i="1"/>
  <c r="A1408" i="1"/>
  <c r="D1408" i="1"/>
  <c r="A1409" i="1"/>
  <c r="D1409" i="1"/>
  <c r="A1410" i="1"/>
  <c r="D1410" i="1"/>
  <c r="A1411" i="1"/>
  <c r="D1411" i="1"/>
  <c r="A1412" i="1"/>
  <c r="D1412" i="1"/>
  <c r="A1413" i="1"/>
  <c r="D1413" i="1"/>
  <c r="A1414" i="1"/>
  <c r="D1414" i="1"/>
  <c r="A1415" i="1"/>
  <c r="D1415" i="1"/>
  <c r="A1416" i="1"/>
  <c r="D1416" i="1"/>
  <c r="A1417" i="1"/>
  <c r="D1417" i="1"/>
  <c r="A1418" i="1"/>
  <c r="A1419" i="1"/>
  <c r="D1419" i="1"/>
  <c r="A1420" i="1"/>
  <c r="A1422" i="1"/>
  <c r="D1422" i="1"/>
  <c r="A1423" i="1"/>
  <c r="D1423" i="1"/>
  <c r="A1424" i="1"/>
  <c r="D1424" i="1"/>
  <c r="A1425" i="1"/>
  <c r="D1425" i="1"/>
  <c r="A1426" i="1"/>
  <c r="D1426" i="1"/>
  <c r="A1427" i="1"/>
  <c r="D1427" i="1"/>
  <c r="A1428" i="1"/>
  <c r="D1428" i="1"/>
  <c r="A1429" i="1"/>
  <c r="D1429" i="1"/>
  <c r="A1430" i="1"/>
  <c r="D1430" i="1"/>
  <c r="A1431" i="1"/>
  <c r="D1431" i="1"/>
  <c r="A1432" i="1"/>
  <c r="D1432" i="1"/>
  <c r="A1433" i="1"/>
  <c r="D1433" i="1"/>
  <c r="A1434" i="1"/>
  <c r="D1434" i="1"/>
  <c r="A1435" i="1"/>
  <c r="D1435" i="1"/>
  <c r="A1436" i="1"/>
  <c r="D1436" i="1"/>
  <c r="A1437" i="1"/>
  <c r="D1437" i="1"/>
  <c r="A1438" i="1"/>
  <c r="D1438" i="1"/>
  <c r="A1439" i="1"/>
  <c r="D1439" i="1"/>
  <c r="A1440" i="1"/>
  <c r="D1440" i="1"/>
  <c r="A1441" i="1"/>
  <c r="D1441" i="1"/>
  <c r="A1442" i="1"/>
  <c r="D1442" i="1"/>
  <c r="A1443" i="1"/>
  <c r="D1443" i="1"/>
  <c r="A1444" i="1"/>
  <c r="A1447" i="1"/>
  <c r="A1448" i="1"/>
  <c r="A1449" i="1"/>
  <c r="A1450" i="1"/>
  <c r="A1451" i="1"/>
  <c r="A1452" i="1"/>
  <c r="A1453" i="1"/>
  <c r="A1454" i="1"/>
  <c r="A1455" i="1"/>
  <c r="A1456" i="1"/>
  <c r="A1458" i="1"/>
  <c r="A1459" i="1"/>
  <c r="D1459" i="1"/>
  <c r="A1460" i="1"/>
  <c r="A1462" i="1"/>
  <c r="D1462" i="1"/>
  <c r="A1463" i="1"/>
  <c r="D1463" i="1"/>
  <c r="A1464" i="1"/>
  <c r="A1465" i="1"/>
  <c r="D1465" i="1"/>
  <c r="A1466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2" i="1"/>
  <c r="D1482" i="1"/>
  <c r="A1483" i="1"/>
  <c r="D1483" i="1"/>
  <c r="A1484" i="1"/>
  <c r="A1485" i="1"/>
  <c r="D1485" i="1"/>
  <c r="A1486" i="1"/>
  <c r="D1486" i="1"/>
  <c r="A1487" i="1"/>
  <c r="A1488" i="1"/>
  <c r="D1488" i="1"/>
  <c r="A1489" i="1"/>
  <c r="A1490" i="1"/>
  <c r="D1490" i="1"/>
  <c r="A1491" i="1"/>
  <c r="A1493" i="1"/>
  <c r="D1493" i="1"/>
  <c r="A1494" i="1"/>
  <c r="D1494" i="1"/>
  <c r="A1495" i="1"/>
  <c r="D1495" i="1"/>
  <c r="A1496" i="1"/>
  <c r="D1496" i="1"/>
  <c r="A1497" i="1"/>
  <c r="D1497" i="1"/>
  <c r="A1498" i="1"/>
  <c r="D1498" i="1"/>
  <c r="A1499" i="1"/>
  <c r="D1499" i="1"/>
  <c r="A1500" i="1"/>
  <c r="D1500" i="1"/>
  <c r="A1501" i="1"/>
  <c r="D1501" i="1"/>
  <c r="A1502" i="1"/>
  <c r="D1502" i="1"/>
  <c r="A1503" i="1"/>
  <c r="A1504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6" i="1"/>
  <c r="D1526" i="1"/>
  <c r="A1527" i="1"/>
  <c r="A1528" i="1"/>
  <c r="D1528" i="1"/>
  <c r="A1529" i="1"/>
  <c r="A1530" i="1"/>
  <c r="A1531" i="1"/>
  <c r="A1532" i="1"/>
  <c r="D1532" i="1"/>
  <c r="A1533" i="1"/>
  <c r="A1534" i="1"/>
  <c r="A1535" i="1"/>
  <c r="A1537" i="1"/>
  <c r="D1537" i="1"/>
  <c r="A1538" i="1"/>
  <c r="A1539" i="1"/>
  <c r="D1539" i="1"/>
  <c r="A1540" i="1"/>
  <c r="D1540" i="1"/>
  <c r="A1541" i="1"/>
  <c r="D1541" i="1"/>
  <c r="A1542" i="1"/>
  <c r="A1543" i="1"/>
  <c r="D1543" i="1"/>
  <c r="A1544" i="1"/>
  <c r="D1544" i="1"/>
  <c r="A1545" i="1"/>
  <c r="D1545" i="1"/>
  <c r="A1546" i="1"/>
  <c r="D1546" i="1"/>
  <c r="A1547" i="1"/>
  <c r="D1547" i="1"/>
  <c r="A1548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9" i="1"/>
  <c r="A1571" i="1"/>
  <c r="D1571" i="1"/>
  <c r="A1572" i="1"/>
  <c r="D1572" i="1"/>
  <c r="A1573" i="1"/>
  <c r="D1573" i="1"/>
  <c r="A1574" i="1"/>
  <c r="D1574" i="1"/>
  <c r="A1575" i="1"/>
  <c r="D1575" i="1"/>
  <c r="A1576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6" i="1"/>
  <c r="D1596" i="1"/>
  <c r="A1597" i="1"/>
  <c r="D1597" i="1"/>
  <c r="A1598" i="1"/>
  <c r="D1598" i="1"/>
  <c r="A1599" i="1"/>
  <c r="D1599" i="1"/>
  <c r="A1600" i="1"/>
  <c r="D1600" i="1"/>
  <c r="A1601" i="1"/>
  <c r="D1601" i="1"/>
  <c r="A1602" i="1"/>
  <c r="D1602" i="1"/>
  <c r="A1603" i="1"/>
  <c r="D1603" i="1"/>
  <c r="A1604" i="1"/>
  <c r="D1604" i="1"/>
  <c r="A1605" i="1"/>
  <c r="D1605" i="1"/>
  <c r="A1606" i="1"/>
  <c r="A1607" i="1"/>
  <c r="D1607" i="1"/>
  <c r="A1608" i="1"/>
  <c r="D1608" i="1"/>
  <c r="A1609" i="1"/>
  <c r="D1609" i="1"/>
  <c r="A1610" i="1"/>
  <c r="D1610" i="1"/>
  <c r="A1611" i="1"/>
  <c r="D1611" i="1"/>
  <c r="A1612" i="1"/>
  <c r="D1612" i="1"/>
  <c r="A1613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5" i="1"/>
  <c r="A1636" i="1"/>
  <c r="D1636" i="1"/>
  <c r="A1637" i="1"/>
  <c r="A1638" i="1"/>
  <c r="D1638" i="1"/>
  <c r="A1639" i="1"/>
  <c r="A1640" i="1"/>
  <c r="D1640" i="1"/>
  <c r="A1641" i="1"/>
  <c r="A1642" i="1"/>
  <c r="A1643" i="1"/>
  <c r="A1644" i="1"/>
  <c r="A1645" i="1"/>
  <c r="D1645" i="1"/>
  <c r="A1646" i="1"/>
  <c r="A1647" i="1"/>
  <c r="D1647" i="1"/>
  <c r="A1648" i="1"/>
  <c r="A1650" i="1"/>
  <c r="D1650" i="1"/>
  <c r="A1651" i="1"/>
  <c r="D1651" i="1"/>
  <c r="A1652" i="1"/>
  <c r="A1653" i="1"/>
  <c r="D1653" i="1"/>
  <c r="A1654" i="1"/>
  <c r="D1654" i="1"/>
  <c r="A1655" i="1"/>
  <c r="D1655" i="1"/>
  <c r="A1656" i="1"/>
  <c r="D1656" i="1"/>
  <c r="A1657" i="1"/>
  <c r="D1657" i="1"/>
  <c r="A1658" i="1"/>
  <c r="D1658" i="1"/>
  <c r="A1659" i="1"/>
  <c r="D1659" i="1"/>
  <c r="A1660" i="1"/>
  <c r="D1660" i="1"/>
  <c r="A1661" i="1"/>
  <c r="D1661" i="1"/>
  <c r="A1662" i="1"/>
  <c r="A1663" i="1"/>
  <c r="D1663" i="1"/>
  <c r="A1664" i="1"/>
  <c r="D1664" i="1"/>
  <c r="A1665" i="1"/>
  <c r="D1665" i="1"/>
  <c r="A1666" i="1"/>
  <c r="D1666" i="1"/>
  <c r="A1667" i="1"/>
  <c r="D1667" i="1"/>
  <c r="A1668" i="1"/>
  <c r="D1668" i="1"/>
  <c r="A1669" i="1"/>
  <c r="D1669" i="1"/>
  <c r="A1670" i="1"/>
  <c r="D1670" i="1"/>
  <c r="A1671" i="1"/>
  <c r="D1671" i="1"/>
  <c r="A1672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6" i="1"/>
  <c r="D1716" i="1"/>
  <c r="A1717" i="1"/>
  <c r="D1717" i="1"/>
  <c r="A1718" i="1"/>
  <c r="A1719" i="1"/>
  <c r="A1720" i="1"/>
  <c r="A1721" i="1"/>
  <c r="D1721" i="1"/>
  <c r="A1722" i="1"/>
  <c r="D1722" i="1"/>
  <c r="A1723" i="1"/>
  <c r="D1723" i="1"/>
  <c r="A1724" i="1"/>
  <c r="A1725" i="1"/>
  <c r="A1726" i="1"/>
  <c r="A1727" i="1"/>
  <c r="D1727" i="1"/>
  <c r="A1728" i="1"/>
  <c r="A1729" i="1"/>
  <c r="D1729" i="1"/>
  <c r="A1730" i="1"/>
  <c r="D1730" i="1"/>
  <c r="A1731" i="1"/>
  <c r="D1731" i="1"/>
  <c r="A1732" i="1"/>
  <c r="D1732" i="1"/>
  <c r="A1733" i="1"/>
  <c r="A1734" i="1"/>
  <c r="D1734" i="1"/>
  <c r="A1735" i="1"/>
  <c r="A1736" i="1"/>
  <c r="D1736" i="1"/>
  <c r="A1737" i="1"/>
  <c r="D1737" i="1"/>
  <c r="A1738" i="1"/>
  <c r="A1739" i="1"/>
  <c r="D1739" i="1"/>
  <c r="A1740" i="1"/>
  <c r="A1741" i="1"/>
  <c r="D1741" i="1"/>
  <c r="A1742" i="1"/>
  <c r="D1742" i="1"/>
  <c r="A1743" i="1"/>
  <c r="D1743" i="1"/>
  <c r="A1744" i="1"/>
  <c r="A1745" i="1"/>
  <c r="D1745" i="1"/>
  <c r="A1746" i="1"/>
  <c r="D1746" i="1"/>
  <c r="A1747" i="1"/>
  <c r="A1748" i="1"/>
  <c r="D1748" i="1"/>
  <c r="A1749" i="1"/>
  <c r="A1750" i="1"/>
  <c r="D1750" i="1"/>
  <c r="A1751" i="1"/>
  <c r="D1751" i="1"/>
  <c r="A1752" i="1"/>
  <c r="A1754" i="1"/>
  <c r="D1754" i="1"/>
  <c r="A1755" i="1"/>
  <c r="D1755" i="1"/>
  <c r="A1756" i="1"/>
  <c r="A1757" i="1"/>
  <c r="D1757" i="1"/>
  <c r="A1758" i="1"/>
  <c r="A1759" i="1"/>
  <c r="A1760" i="1"/>
  <c r="D1760" i="1"/>
  <c r="A1761" i="1"/>
  <c r="D1761" i="1"/>
  <c r="A1762" i="1"/>
  <c r="A1763" i="1"/>
  <c r="D1763" i="1"/>
  <c r="A1764" i="1"/>
  <c r="D1764" i="1"/>
  <c r="A1765" i="1"/>
  <c r="D1765" i="1"/>
  <c r="A1766" i="1"/>
  <c r="A1767" i="1"/>
  <c r="D1767" i="1"/>
  <c r="A1768" i="1"/>
  <c r="D1768" i="1"/>
  <c r="A1769" i="1"/>
  <c r="D1769" i="1"/>
  <c r="A1770" i="1"/>
  <c r="D1770" i="1"/>
  <c r="A1771" i="1"/>
  <c r="D1771" i="1"/>
  <c r="A1772" i="1"/>
  <c r="D1772" i="1"/>
  <c r="A1773" i="1"/>
  <c r="D1773" i="1"/>
  <c r="A1774" i="1"/>
  <c r="D1774" i="1"/>
  <c r="A1775" i="1"/>
  <c r="D1775" i="1"/>
  <c r="A1776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8" i="1"/>
  <c r="D1798" i="1"/>
  <c r="A1799" i="1"/>
  <c r="D1799" i="1"/>
  <c r="A1800" i="1"/>
  <c r="D1800" i="1"/>
  <c r="A1801" i="1"/>
  <c r="A1802" i="1"/>
  <c r="D1802" i="1"/>
  <c r="A1803" i="1"/>
  <c r="A1804" i="1"/>
  <c r="D1804" i="1"/>
  <c r="A1805" i="1"/>
  <c r="A1806" i="1"/>
  <c r="A1808" i="1"/>
  <c r="D1808" i="1"/>
  <c r="A1809" i="1"/>
  <c r="D1809" i="1"/>
  <c r="A1810" i="1"/>
  <c r="D1810" i="1"/>
  <c r="A1811" i="1"/>
  <c r="D1811" i="1"/>
  <c r="A1812" i="1"/>
  <c r="D1812" i="1"/>
  <c r="A1813" i="1"/>
  <c r="D1813" i="1"/>
  <c r="A1814" i="1"/>
  <c r="D1814" i="1"/>
  <c r="A1815" i="1"/>
  <c r="D1815" i="1"/>
  <c r="A1816" i="1"/>
  <c r="A1817" i="1"/>
  <c r="D1817" i="1"/>
  <c r="A1818" i="1"/>
  <c r="D1818" i="1"/>
  <c r="A1819" i="1"/>
  <c r="A1820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8" i="1"/>
  <c r="D1838" i="1"/>
  <c r="A1839" i="1"/>
  <c r="A1840" i="1"/>
  <c r="A1841" i="1"/>
  <c r="A1842" i="1"/>
  <c r="D1842" i="1"/>
  <c r="A1843" i="1"/>
  <c r="A1845" i="1"/>
  <c r="A1848" i="1"/>
  <c r="A1849" i="1"/>
  <c r="D1849" i="1"/>
  <c r="A1850" i="1"/>
  <c r="D1850" i="1"/>
  <c r="A1851" i="1"/>
  <c r="D1851" i="1"/>
  <c r="A1852" i="1"/>
  <c r="A1853" i="1"/>
  <c r="A1854" i="1"/>
  <c r="D1854" i="1"/>
  <c r="A1855" i="1"/>
  <c r="D1855" i="1"/>
  <c r="A1856" i="1"/>
  <c r="D1856" i="1"/>
  <c r="A1857" i="1"/>
  <c r="D1857" i="1"/>
  <c r="A1858" i="1"/>
  <c r="D1858" i="1"/>
  <c r="A1859" i="1"/>
  <c r="A1860" i="1"/>
  <c r="D1860" i="1"/>
  <c r="A1861" i="1"/>
  <c r="D1861" i="1"/>
  <c r="A1862" i="1"/>
  <c r="A1863" i="1"/>
  <c r="A1864" i="1"/>
  <c r="D1864" i="1"/>
  <c r="A1865" i="1"/>
  <c r="D1865" i="1"/>
  <c r="A1866" i="1"/>
  <c r="D1866" i="1"/>
  <c r="A1867" i="1"/>
  <c r="D1867" i="1"/>
  <c r="A1868" i="1"/>
  <c r="A1869" i="1"/>
  <c r="D1869" i="1"/>
  <c r="A1870" i="1"/>
  <c r="D1870" i="1"/>
  <c r="A1871" i="1"/>
  <c r="D1871" i="1"/>
  <c r="A1872" i="1"/>
  <c r="A1873" i="1"/>
  <c r="D1873" i="1"/>
  <c r="A1874" i="1"/>
  <c r="D1874" i="1"/>
  <c r="A1875" i="1"/>
  <c r="A1877" i="1"/>
  <c r="D1877" i="1"/>
  <c r="A1878" i="1"/>
  <c r="D1878" i="1"/>
  <c r="A1879" i="1"/>
  <c r="D1879" i="1"/>
  <c r="A1880" i="1"/>
  <c r="A1881" i="1"/>
  <c r="D1881" i="1"/>
  <c r="A1882" i="1"/>
  <c r="D1882" i="1"/>
  <c r="A1883" i="1"/>
  <c r="D1883" i="1"/>
  <c r="A1884" i="1"/>
  <c r="A1885" i="1"/>
  <c r="D1885" i="1"/>
  <c r="A1886" i="1"/>
  <c r="D1886" i="1"/>
  <c r="A1887" i="1"/>
  <c r="A1888" i="1"/>
  <c r="D1888" i="1"/>
  <c r="A1889" i="1"/>
  <c r="D1889" i="1"/>
  <c r="A1890" i="1"/>
  <c r="D1890" i="1"/>
  <c r="A1891" i="1"/>
  <c r="D1891" i="1"/>
  <c r="A1892" i="1"/>
  <c r="D1892" i="1"/>
  <c r="A1893" i="1"/>
  <c r="A1894" i="1"/>
  <c r="D1894" i="1"/>
  <c r="A1895" i="1"/>
  <c r="D1895" i="1"/>
  <c r="A1896" i="1"/>
  <c r="D1896" i="1"/>
  <c r="A1897" i="1"/>
  <c r="D1897" i="1"/>
  <c r="A1898" i="1"/>
  <c r="D1898" i="1"/>
  <c r="A1899" i="1"/>
  <c r="D1899" i="1"/>
  <c r="A1900" i="1"/>
  <c r="D1900" i="1"/>
  <c r="A1901" i="1"/>
  <c r="D1901" i="1"/>
  <c r="A1902" i="1"/>
  <c r="D1902" i="1"/>
  <c r="A1903" i="1"/>
  <c r="D1903" i="1"/>
  <c r="A1904" i="1"/>
  <c r="D1904" i="1"/>
  <c r="A1905" i="1"/>
  <c r="D1905" i="1"/>
  <c r="A1906" i="1"/>
  <c r="D1906" i="1"/>
  <c r="A1907" i="1"/>
  <c r="D1907" i="1"/>
  <c r="A1908" i="1"/>
  <c r="D1908" i="1"/>
  <c r="A1909" i="1"/>
  <c r="D1909" i="1"/>
  <c r="A1910" i="1"/>
  <c r="D1910" i="1"/>
  <c r="A1911" i="1"/>
  <c r="D1911" i="1"/>
  <c r="A1912" i="1"/>
  <c r="D1912" i="1"/>
  <c r="A1913" i="1"/>
  <c r="D1913" i="1"/>
  <c r="A1914" i="1"/>
  <c r="D1914" i="1"/>
  <c r="A1915" i="1"/>
  <c r="D1915" i="1"/>
  <c r="A1916" i="1"/>
  <c r="D1916" i="1"/>
  <c r="A1917" i="1"/>
  <c r="D1917" i="1"/>
  <c r="A1918" i="1"/>
  <c r="D1918" i="1"/>
  <c r="A1919" i="1"/>
  <c r="D1919" i="1"/>
  <c r="A1920" i="1"/>
  <c r="D1920" i="1"/>
  <c r="A1921" i="1"/>
  <c r="D1921" i="1"/>
  <c r="A1922" i="1"/>
  <c r="D1922" i="1"/>
  <c r="A1923" i="1"/>
  <c r="D1923" i="1"/>
  <c r="A1924" i="1"/>
  <c r="D1924" i="1"/>
  <c r="A1925" i="1"/>
  <c r="D1925" i="1"/>
  <c r="A1926" i="1"/>
  <c r="D1926" i="1"/>
  <c r="A1927" i="1"/>
  <c r="D1927" i="1"/>
  <c r="A1928" i="1"/>
  <c r="D1928" i="1"/>
  <c r="A1929" i="1"/>
  <c r="D1929" i="1"/>
  <c r="A1930" i="1"/>
  <c r="D1930" i="1"/>
  <c r="A1931" i="1"/>
  <c r="D1931" i="1"/>
  <c r="A1932" i="1"/>
  <c r="D1932" i="1"/>
  <c r="A1933" i="1"/>
  <c r="D1933" i="1"/>
  <c r="A1934" i="1"/>
  <c r="D1934" i="1"/>
  <c r="A1935" i="1"/>
  <c r="D1935" i="1"/>
  <c r="A1936" i="1"/>
  <c r="D1936" i="1"/>
  <c r="A1937" i="1"/>
  <c r="D1937" i="1"/>
  <c r="A1938" i="1"/>
  <c r="D1938" i="1"/>
  <c r="A1939" i="1"/>
  <c r="D1939" i="1"/>
  <c r="A1940" i="1"/>
  <c r="D1940" i="1"/>
  <c r="A1941" i="1"/>
  <c r="D1941" i="1"/>
  <c r="A1942" i="1"/>
  <c r="A1943" i="1"/>
  <c r="D1943" i="1"/>
  <c r="A1944" i="1"/>
  <c r="D1944" i="1"/>
  <c r="A1945" i="1"/>
  <c r="D1945" i="1"/>
  <c r="A1946" i="1"/>
  <c r="D1946" i="1"/>
  <c r="A1947" i="1"/>
  <c r="D1947" i="1"/>
  <c r="A1948" i="1"/>
  <c r="D1948" i="1"/>
  <c r="A1949" i="1"/>
  <c r="D1949" i="1"/>
  <c r="A1950" i="1"/>
  <c r="D1950" i="1"/>
  <c r="A1951" i="1"/>
  <c r="D1951" i="1"/>
  <c r="A1952" i="1"/>
  <c r="D1952" i="1"/>
  <c r="A1953" i="1"/>
  <c r="A1954" i="1"/>
  <c r="D1954" i="1"/>
  <c r="A1955" i="1"/>
  <c r="D1955" i="1"/>
  <c r="A1956" i="1"/>
  <c r="D1956" i="1"/>
  <c r="A1957" i="1"/>
  <c r="A1958" i="1"/>
  <c r="D1958" i="1"/>
  <c r="A1959" i="1"/>
  <c r="D1959" i="1"/>
  <c r="A1960" i="1"/>
  <c r="D1960" i="1"/>
  <c r="A1961" i="1"/>
  <c r="D1961" i="1"/>
  <c r="A1962" i="1"/>
  <c r="D1962" i="1"/>
  <c r="A1963" i="1"/>
  <c r="A1964" i="1"/>
  <c r="D1964" i="1"/>
  <c r="A1965" i="1"/>
  <c r="D1965" i="1"/>
  <c r="A1966" i="1"/>
  <c r="D1966" i="1"/>
  <c r="A1967" i="1"/>
  <c r="D1967" i="1"/>
  <c r="A1968" i="1"/>
  <c r="D1968" i="1"/>
  <c r="A1969" i="1"/>
  <c r="D1969" i="1"/>
  <c r="A1970" i="1"/>
  <c r="D1970" i="1"/>
  <c r="A1971" i="1"/>
  <c r="A1972" i="1"/>
  <c r="D1972" i="1"/>
  <c r="A1973" i="1"/>
  <c r="D1973" i="1"/>
  <c r="A1974" i="1"/>
  <c r="D1974" i="1"/>
  <c r="A1975" i="1"/>
  <c r="D1975" i="1"/>
  <c r="A1976" i="1"/>
  <c r="D1976" i="1"/>
  <c r="A1977" i="1"/>
  <c r="D1977" i="1"/>
  <c r="A1978" i="1"/>
  <c r="D1978" i="1"/>
  <c r="A1979" i="1"/>
  <c r="D1979" i="1"/>
  <c r="A1980" i="1"/>
  <c r="D1980" i="1"/>
  <c r="A1981" i="1"/>
  <c r="D1981" i="1"/>
  <c r="A1982" i="1"/>
  <c r="D1982" i="1"/>
  <c r="A1983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1" i="1"/>
  <c r="D2011" i="1"/>
  <c r="A2012" i="1"/>
  <c r="D2012" i="1"/>
  <c r="A2013" i="1"/>
  <c r="D2013" i="1"/>
  <c r="A2014" i="1"/>
  <c r="A2015" i="1"/>
  <c r="A2016" i="1"/>
  <c r="A2017" i="1"/>
  <c r="A2018" i="1"/>
  <c r="A2019" i="1"/>
  <c r="A2020" i="1"/>
  <c r="D2020" i="1"/>
  <c r="A2021" i="1"/>
  <c r="A2022" i="1"/>
  <c r="D2022" i="1"/>
  <c r="A2023" i="1"/>
  <c r="A2024" i="1"/>
  <c r="D2024" i="1"/>
  <c r="A2025" i="1"/>
  <c r="A2026" i="1"/>
  <c r="A2028" i="1"/>
  <c r="D2028" i="1"/>
  <c r="A2029" i="1"/>
  <c r="D2029" i="1"/>
  <c r="A2030" i="1"/>
  <c r="D2030" i="1"/>
  <c r="A2031" i="1"/>
  <c r="D2031" i="1"/>
  <c r="A2032" i="1"/>
  <c r="D2032" i="1"/>
  <c r="A2033" i="1"/>
  <c r="A2034" i="1"/>
  <c r="D2034" i="1"/>
  <c r="A2035" i="1"/>
  <c r="D2035" i="1"/>
  <c r="A2036" i="1"/>
  <c r="D2036" i="1"/>
  <c r="A2037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4" i="1"/>
  <c r="A2065" i="1"/>
  <c r="A2066" i="1"/>
  <c r="D2066" i="1"/>
  <c r="A2067" i="1"/>
  <c r="A2069" i="1"/>
  <c r="D2069" i="1"/>
  <c r="A2070" i="1"/>
  <c r="D2070" i="1"/>
  <c r="A2071" i="1"/>
  <c r="A2072" i="1"/>
  <c r="D2072" i="1"/>
  <c r="A2073" i="1"/>
  <c r="D2073" i="1"/>
  <c r="A2074" i="1"/>
  <c r="A2075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9" i="1"/>
  <c r="D2099" i="1"/>
  <c r="A2100" i="1"/>
  <c r="D2100" i="1"/>
  <c r="A2101" i="1"/>
  <c r="D2101" i="1"/>
  <c r="A2102" i="1"/>
  <c r="D2102" i="1"/>
  <c r="A2103" i="1"/>
  <c r="D2103" i="1"/>
  <c r="A2104" i="1"/>
  <c r="D2104" i="1"/>
  <c r="A2105" i="1"/>
  <c r="A2108" i="1"/>
  <c r="A2109" i="1"/>
  <c r="A2110" i="1"/>
  <c r="A2111" i="1"/>
  <c r="A2112" i="1"/>
  <c r="A2113" i="1"/>
  <c r="A2114" i="1"/>
  <c r="A2115" i="1"/>
  <c r="A2116" i="1"/>
  <c r="D2116" i="1"/>
  <c r="A2117" i="1"/>
  <c r="D2117" i="1"/>
  <c r="A2118" i="1"/>
  <c r="A2119" i="1"/>
  <c r="D2119" i="1"/>
  <c r="A2120" i="1"/>
  <c r="D2120" i="1"/>
  <c r="A2121" i="1"/>
  <c r="D2121" i="1"/>
  <c r="A2122" i="1"/>
  <c r="D2122" i="1"/>
  <c r="A2123" i="1"/>
  <c r="A2124" i="1"/>
  <c r="D2124" i="1"/>
  <c r="A2125" i="1"/>
  <c r="A2126" i="1"/>
  <c r="A2127" i="1"/>
  <c r="A2128" i="1"/>
  <c r="A2129" i="1"/>
  <c r="A2130" i="1"/>
  <c r="A2131" i="1"/>
  <c r="A2132" i="1"/>
  <c r="A2133" i="1"/>
  <c r="A2134" i="1"/>
  <c r="A2136" i="1"/>
  <c r="A2137" i="1"/>
  <c r="D2137" i="1"/>
  <c r="A2138" i="1"/>
  <c r="A2139" i="1"/>
  <c r="D2139" i="1"/>
  <c r="A2140" i="1"/>
  <c r="A2141" i="1"/>
  <c r="A2142" i="1"/>
  <c r="D2142" i="1"/>
  <c r="A2143" i="1"/>
  <c r="D2143" i="1"/>
  <c r="A2144" i="1"/>
  <c r="D2144" i="1"/>
  <c r="A2145" i="1"/>
  <c r="A2146" i="1"/>
  <c r="A2147" i="1"/>
  <c r="D2147" i="1"/>
  <c r="A2148" i="1"/>
  <c r="D2148" i="1"/>
  <c r="A2149" i="1"/>
  <c r="D2149" i="1"/>
  <c r="A2150" i="1"/>
  <c r="A2151" i="1"/>
  <c r="D2151" i="1"/>
  <c r="A2152" i="1"/>
  <c r="D2152" i="1"/>
  <c r="A2153" i="1"/>
  <c r="D2153" i="1"/>
  <c r="A2154" i="1"/>
  <c r="D2154" i="1"/>
  <c r="A2155" i="1"/>
  <c r="D2155" i="1"/>
  <c r="A2156" i="1"/>
  <c r="A2157" i="1"/>
  <c r="A2158" i="1"/>
  <c r="A2159" i="1"/>
  <c r="D2159" i="1"/>
  <c r="A2160" i="1"/>
  <c r="D2160" i="1"/>
  <c r="A2161" i="1"/>
  <c r="A2163" i="1"/>
  <c r="D2163" i="1"/>
  <c r="A2164" i="1"/>
  <c r="D2164" i="1"/>
  <c r="A2165" i="1"/>
  <c r="D2165" i="1"/>
  <c r="A2166" i="1"/>
  <c r="D2166" i="1"/>
  <c r="A2167" i="1"/>
  <c r="D2167" i="1"/>
  <c r="A2168" i="1"/>
  <c r="D2168" i="1"/>
  <c r="A2169" i="1"/>
  <c r="A2170" i="1"/>
  <c r="D2170" i="1"/>
  <c r="A2171" i="1"/>
  <c r="D2171" i="1"/>
  <c r="A2172" i="1"/>
  <c r="D2172" i="1"/>
  <c r="A2173" i="1"/>
  <c r="D2173" i="1"/>
  <c r="A2174" i="1"/>
  <c r="D2174" i="1"/>
  <c r="A2175" i="1"/>
  <c r="D2175" i="1"/>
  <c r="A2176" i="1"/>
  <c r="A2177" i="1"/>
  <c r="D2177" i="1"/>
  <c r="A2178" i="1"/>
  <c r="A2179" i="1"/>
  <c r="D2179" i="1"/>
  <c r="A2180" i="1"/>
  <c r="D2180" i="1"/>
  <c r="A2181" i="1"/>
  <c r="A2184" i="1"/>
  <c r="A2185" i="1"/>
  <c r="A2186" i="1"/>
  <c r="A2187" i="1"/>
  <c r="A2188" i="1"/>
  <c r="A2189" i="1"/>
  <c r="A2191" i="1"/>
  <c r="A2192" i="1"/>
  <c r="D2192" i="1"/>
  <c r="A2193" i="1"/>
  <c r="A2194" i="1"/>
  <c r="A2195" i="1"/>
  <c r="D2195" i="1"/>
  <c r="A2196" i="1"/>
  <c r="D2196" i="1"/>
  <c r="A2197" i="1"/>
  <c r="D2197" i="1"/>
  <c r="A2198" i="1"/>
  <c r="D2198" i="1"/>
  <c r="A2199" i="1"/>
  <c r="A2200" i="1"/>
  <c r="A2201" i="1"/>
  <c r="D2201" i="1"/>
  <c r="A2202" i="1"/>
  <c r="D2202" i="1"/>
  <c r="A2203" i="1"/>
  <c r="A2204" i="1"/>
  <c r="A2206" i="1"/>
  <c r="D2206" i="1"/>
  <c r="A2207" i="1"/>
  <c r="D2207" i="1"/>
  <c r="A2208" i="1"/>
  <c r="D2208" i="1"/>
  <c r="A2209" i="1"/>
  <c r="A2210" i="1"/>
  <c r="D2210" i="1"/>
  <c r="A2211" i="1"/>
  <c r="D2211" i="1"/>
  <c r="A2212" i="1"/>
  <c r="D2212" i="1"/>
  <c r="A2213" i="1"/>
  <c r="D2213" i="1"/>
  <c r="A2214" i="1"/>
  <c r="A2215" i="1"/>
  <c r="D2215" i="1"/>
  <c r="A2216" i="1"/>
  <c r="D2216" i="1"/>
  <c r="A2217" i="1"/>
  <c r="A2220" i="1"/>
  <c r="A2221" i="1"/>
  <c r="A2222" i="1"/>
  <c r="A2223" i="1"/>
  <c r="A2224" i="1"/>
  <c r="A2225" i="1"/>
  <c r="A2226" i="1"/>
  <c r="A2227" i="1"/>
  <c r="A2229" i="1"/>
  <c r="D2229" i="1"/>
  <c r="A2230" i="1"/>
  <c r="A2231" i="1"/>
  <c r="A2233" i="1"/>
  <c r="D2233" i="1"/>
  <c r="A2234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5" i="1"/>
  <c r="A2256" i="1"/>
  <c r="D2256" i="1"/>
  <c r="A2257" i="1"/>
  <c r="D2257" i="1"/>
  <c r="A2258" i="1"/>
  <c r="D2258" i="1"/>
  <c r="A2259" i="1"/>
  <c r="D2259" i="1"/>
  <c r="A2260" i="1"/>
  <c r="D2260" i="1"/>
  <c r="A2261" i="1"/>
  <c r="D2261" i="1"/>
  <c r="A2262" i="1"/>
  <c r="A2263" i="1"/>
  <c r="D2263" i="1"/>
  <c r="A2264" i="1"/>
  <c r="D2264" i="1"/>
  <c r="A2265" i="1"/>
  <c r="D2265" i="1"/>
  <c r="A2266" i="1"/>
  <c r="A2267" i="1"/>
  <c r="A2268" i="1"/>
  <c r="A2269" i="1"/>
  <c r="D2269" i="1"/>
  <c r="A2270" i="1"/>
  <c r="D2270" i="1"/>
  <c r="A2271" i="1"/>
  <c r="A2273" i="1"/>
  <c r="D2273" i="1"/>
  <c r="A2274" i="1"/>
  <c r="D2274" i="1"/>
  <c r="A2275" i="1"/>
  <c r="D2275" i="1"/>
  <c r="A2276" i="1"/>
  <c r="A2277" i="1"/>
  <c r="D2277" i="1"/>
  <c r="A2278" i="1"/>
  <c r="D2278" i="1"/>
  <c r="A2279" i="1"/>
  <c r="D2279" i="1"/>
  <c r="A2280" i="1"/>
  <c r="D2280" i="1"/>
  <c r="A2281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9" i="1"/>
  <c r="D2309" i="1"/>
  <c r="A2310" i="1"/>
  <c r="D2310" i="1"/>
  <c r="A2311" i="1"/>
  <c r="D2311" i="1"/>
  <c r="A2312" i="1"/>
  <c r="D2312" i="1"/>
  <c r="A2313" i="1"/>
  <c r="A2314" i="1"/>
  <c r="D2314" i="1"/>
  <c r="A2315" i="1"/>
  <c r="A2316" i="1"/>
  <c r="D2316" i="1"/>
  <c r="A2317" i="1"/>
  <c r="A2318" i="1"/>
  <c r="D2318" i="1"/>
  <c r="A2319" i="1"/>
  <c r="D2319" i="1"/>
  <c r="A2320" i="1"/>
  <c r="A2321" i="1"/>
  <c r="A2322" i="1"/>
  <c r="D2322" i="1"/>
  <c r="A2323" i="1"/>
  <c r="A2324" i="1"/>
  <c r="D2324" i="1"/>
  <c r="A2325" i="1"/>
  <c r="D2325" i="1"/>
  <c r="A2326" i="1"/>
  <c r="D2326" i="1"/>
  <c r="A2327" i="1"/>
  <c r="A2328" i="1"/>
  <c r="D2328" i="1"/>
  <c r="A2329" i="1"/>
  <c r="D2329" i="1"/>
  <c r="A2330" i="1"/>
  <c r="D2330" i="1"/>
  <c r="A2331" i="1"/>
  <c r="A2332" i="1"/>
  <c r="D2332" i="1"/>
  <c r="A2333" i="1"/>
  <c r="D2333" i="1"/>
  <c r="A2334" i="1"/>
  <c r="A2335" i="1"/>
  <c r="D2335" i="1"/>
  <c r="A2336" i="1"/>
  <c r="A2338" i="1"/>
  <c r="D2338" i="1"/>
  <c r="A2339" i="1"/>
  <c r="D2339" i="1"/>
  <c r="A2340" i="1"/>
  <c r="D2340" i="1"/>
  <c r="A2341" i="1"/>
  <c r="A2342" i="1"/>
  <c r="D2342" i="1"/>
  <c r="A2343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4" i="1"/>
  <c r="A2365" i="1"/>
  <c r="D2365" i="1"/>
  <c r="A2366" i="1"/>
  <c r="A2367" i="1"/>
  <c r="A2368" i="1"/>
  <c r="D2368" i="1"/>
  <c r="A2369" i="1"/>
  <c r="A2370" i="1"/>
  <c r="A2371" i="1"/>
  <c r="A2372" i="1"/>
  <c r="A2373" i="1"/>
  <c r="D2373" i="1"/>
  <c r="A2374" i="1"/>
  <c r="D2374" i="1"/>
  <c r="A2375" i="1"/>
  <c r="D2375" i="1"/>
  <c r="A2376" i="1"/>
  <c r="D2376" i="1"/>
  <c r="A2377" i="1"/>
  <c r="D2377" i="1"/>
  <c r="A2378" i="1"/>
  <c r="A2379" i="1"/>
  <c r="A2380" i="1"/>
  <c r="D2380" i="1"/>
  <c r="A2381" i="1"/>
  <c r="A2383" i="1"/>
  <c r="D2383" i="1"/>
  <c r="A2384" i="1"/>
  <c r="D2384" i="1"/>
  <c r="A2385" i="1"/>
  <c r="D2385" i="1"/>
  <c r="A2386" i="1"/>
  <c r="D2386" i="1"/>
  <c r="A2387" i="1"/>
  <c r="D2387" i="1"/>
  <c r="A2388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9" i="1"/>
  <c r="A2410" i="1"/>
  <c r="A2411" i="1"/>
  <c r="D2411" i="1"/>
  <c r="A2412" i="1"/>
  <c r="A2414" i="1"/>
  <c r="D2414" i="1"/>
  <c r="A2415" i="1"/>
  <c r="A2416" i="1"/>
  <c r="D2416" i="1"/>
  <c r="A2417" i="1"/>
  <c r="D2417" i="1"/>
  <c r="A2418" i="1"/>
  <c r="D2418" i="1"/>
  <c r="A2419" i="1"/>
  <c r="A2422" i="1"/>
  <c r="A2423" i="1"/>
  <c r="A2424" i="1"/>
  <c r="A2425" i="1"/>
  <c r="A2426" i="1"/>
  <c r="A2428" i="1"/>
  <c r="D2428" i="1"/>
  <c r="A2429" i="1"/>
  <c r="D2429" i="1"/>
  <c r="A2430" i="1"/>
  <c r="D2430" i="1"/>
  <c r="A2431" i="1"/>
  <c r="A2432" i="1"/>
  <c r="A2433" i="1"/>
  <c r="D2433" i="1"/>
  <c r="A2434" i="1"/>
  <c r="D2434" i="1"/>
  <c r="A2435" i="1"/>
  <c r="D2435" i="1"/>
  <c r="A2436" i="1"/>
  <c r="D2436" i="1"/>
  <c r="A2437" i="1"/>
  <c r="D2437" i="1"/>
  <c r="A2438" i="1"/>
  <c r="A2439" i="1"/>
  <c r="A2440" i="1"/>
  <c r="A2441" i="1"/>
  <c r="D2441" i="1"/>
  <c r="A2442" i="1"/>
  <c r="A2443" i="1"/>
  <c r="D2443" i="1"/>
  <c r="A2444" i="1"/>
  <c r="D2444" i="1"/>
  <c r="A2445" i="1"/>
  <c r="D2445" i="1"/>
  <c r="A2446" i="1"/>
  <c r="A2447" i="1"/>
  <c r="D2447" i="1"/>
  <c r="A2448" i="1"/>
  <c r="A2449" i="1"/>
  <c r="A2450" i="1"/>
  <c r="A2452" i="1"/>
  <c r="A2453" i="1"/>
  <c r="D2453" i="1"/>
  <c r="A2454" i="1"/>
  <c r="D2454" i="1"/>
  <c r="A2455" i="1"/>
  <c r="D2455" i="1"/>
  <c r="A2456" i="1"/>
  <c r="D2456" i="1"/>
  <c r="A2457" i="1"/>
  <c r="D2457" i="1"/>
  <c r="A2458" i="1"/>
  <c r="D2458" i="1"/>
  <c r="A2459" i="1"/>
  <c r="D2459" i="1"/>
  <c r="A2460" i="1"/>
  <c r="D2460" i="1"/>
  <c r="A2461" i="1"/>
  <c r="D2461" i="1"/>
  <c r="A2462" i="1"/>
  <c r="D2462" i="1"/>
  <c r="A2463" i="1"/>
  <c r="D2463" i="1"/>
  <c r="A2464" i="1"/>
  <c r="D2464" i="1"/>
  <c r="A2465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5" i="1"/>
  <c r="A2486" i="1"/>
  <c r="A2487" i="1"/>
  <c r="A2488" i="1"/>
  <c r="D2488" i="1"/>
  <c r="A2489" i="1"/>
  <c r="A2490" i="1"/>
  <c r="A2492" i="1"/>
  <c r="D2492" i="1"/>
  <c r="A2493" i="1"/>
  <c r="D2493" i="1"/>
  <c r="A2494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8" i="1"/>
  <c r="D2518" i="1"/>
  <c r="A2519" i="1"/>
  <c r="A2520" i="1"/>
  <c r="D2520" i="1"/>
  <c r="A2521" i="1"/>
  <c r="A2522" i="1"/>
  <c r="D2522" i="1"/>
  <c r="A2523" i="1"/>
  <c r="A2525" i="1"/>
  <c r="D2525" i="1"/>
  <c r="A2526" i="1"/>
  <c r="D2526" i="1"/>
  <c r="A2527" i="1"/>
  <c r="D2527" i="1"/>
  <c r="A2528" i="1"/>
  <c r="D2528" i="1"/>
  <c r="A2529" i="1"/>
  <c r="D2529" i="1"/>
  <c r="A2530" i="1"/>
  <c r="D2530" i="1"/>
  <c r="A2531" i="1"/>
  <c r="D2531" i="1"/>
  <c r="A2532" i="1"/>
  <c r="A2533" i="1"/>
  <c r="D2533" i="1"/>
  <c r="A2534" i="1"/>
  <c r="A2535" i="1"/>
  <c r="D2535" i="1"/>
  <c r="A2536" i="1"/>
  <c r="D2536" i="1"/>
  <c r="A2537" i="1"/>
  <c r="D2537" i="1"/>
  <c r="A2538" i="1"/>
  <c r="A2539" i="1"/>
  <c r="D2539" i="1"/>
  <c r="A2540" i="1"/>
  <c r="D2540" i="1"/>
  <c r="A2541" i="1"/>
  <c r="D2541" i="1"/>
  <c r="A2542" i="1"/>
  <c r="D2542" i="1"/>
  <c r="A2543" i="1"/>
  <c r="D2543" i="1"/>
  <c r="A2544" i="1"/>
  <c r="A2545" i="1"/>
  <c r="D2545" i="1"/>
  <c r="A2546" i="1"/>
  <c r="D2546" i="1"/>
  <c r="A2547" i="1"/>
  <c r="D2547" i="1"/>
  <c r="A2548" i="1"/>
  <c r="D2548" i="1"/>
  <c r="A2549" i="1"/>
  <c r="D2549" i="1"/>
  <c r="A2550" i="1"/>
  <c r="D2550" i="1"/>
  <c r="A2551" i="1"/>
  <c r="D2551" i="1"/>
  <c r="A2552" i="1"/>
  <c r="D2552" i="1"/>
  <c r="A2553" i="1"/>
  <c r="D2553" i="1"/>
  <c r="A2554" i="1"/>
  <c r="D2554" i="1"/>
  <c r="A2555" i="1"/>
  <c r="D2555" i="1"/>
  <c r="A2556" i="1"/>
  <c r="D2556" i="1"/>
  <c r="A2557" i="1"/>
  <c r="D2557" i="1"/>
  <c r="A2558" i="1"/>
  <c r="D2558" i="1"/>
  <c r="A2559" i="1"/>
  <c r="A2560" i="1"/>
  <c r="D2560" i="1"/>
  <c r="A2561" i="1"/>
  <c r="D2561" i="1"/>
  <c r="A2562" i="1"/>
  <c r="D2562" i="1"/>
  <c r="A2563" i="1"/>
  <c r="D2563" i="1"/>
  <c r="A2564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2" i="1"/>
  <c r="D2592" i="1"/>
  <c r="A2593" i="1"/>
  <c r="D2593" i="1"/>
  <c r="A2594" i="1"/>
  <c r="A2595" i="1"/>
  <c r="A2596" i="1"/>
  <c r="A2597" i="1"/>
  <c r="D2597" i="1"/>
  <c r="A2598" i="1"/>
  <c r="D2598" i="1"/>
  <c r="A2599" i="1"/>
  <c r="A2600" i="1"/>
  <c r="A2601" i="1"/>
  <c r="A2602" i="1"/>
  <c r="A2603" i="1"/>
  <c r="D2603" i="1"/>
  <c r="A2604" i="1"/>
  <c r="A2606" i="1"/>
  <c r="D2606" i="1"/>
  <c r="A2607" i="1"/>
  <c r="D2607" i="1"/>
  <c r="A2608" i="1"/>
  <c r="D2608" i="1"/>
  <c r="A2609" i="1"/>
  <c r="D2609" i="1"/>
  <c r="A2610" i="1"/>
  <c r="D2610" i="1"/>
  <c r="A2611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6" i="1"/>
  <c r="D2636" i="1"/>
  <c r="A2637" i="1"/>
  <c r="D2637" i="1"/>
  <c r="A2638" i="1"/>
  <c r="D2638" i="1"/>
  <c r="A2639" i="1"/>
  <c r="A2640" i="1"/>
  <c r="A2641" i="1"/>
  <c r="D2641" i="1"/>
  <c r="A2642" i="1"/>
  <c r="D2642" i="1"/>
  <c r="A2643" i="1"/>
  <c r="D2643" i="1"/>
  <c r="A2644" i="1"/>
  <c r="A2645" i="1"/>
  <c r="A2646" i="1"/>
  <c r="D2646" i="1"/>
  <c r="A2647" i="1"/>
  <c r="A2648" i="1"/>
  <c r="D2648" i="1"/>
  <c r="A2649" i="1"/>
  <c r="D2649" i="1"/>
  <c r="A2650" i="1"/>
  <c r="D2650" i="1"/>
  <c r="A2651" i="1"/>
  <c r="A2652" i="1"/>
  <c r="A2653" i="1"/>
  <c r="A2654" i="1"/>
  <c r="A2655" i="1"/>
  <c r="D2655" i="1"/>
  <c r="A2656" i="1"/>
  <c r="D2656" i="1"/>
  <c r="A2657" i="1"/>
  <c r="A2659" i="1"/>
  <c r="A2660" i="1"/>
  <c r="D2660" i="1"/>
  <c r="A2661" i="1"/>
  <c r="D2661" i="1"/>
  <c r="A2662" i="1"/>
  <c r="A2663" i="1"/>
  <c r="D2663" i="1"/>
  <c r="A2664" i="1"/>
  <c r="D2664" i="1"/>
  <c r="A2665" i="1"/>
  <c r="D2665" i="1"/>
  <c r="A2666" i="1"/>
  <c r="D2666" i="1"/>
  <c r="A2667" i="1"/>
  <c r="D2667" i="1"/>
  <c r="A2668" i="1"/>
  <c r="D2668" i="1"/>
  <c r="A2669" i="1"/>
  <c r="A2670" i="1"/>
  <c r="D2670" i="1"/>
  <c r="A2671" i="1"/>
  <c r="D2671" i="1"/>
  <c r="A2672" i="1"/>
  <c r="D2672" i="1"/>
  <c r="A2673" i="1"/>
  <c r="D2673" i="1"/>
  <c r="A2674" i="1"/>
  <c r="D2674" i="1"/>
  <c r="A2675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1" i="1"/>
  <c r="A2702" i="1"/>
  <c r="A2703" i="1"/>
  <c r="D2703" i="1"/>
  <c r="A2704" i="1"/>
  <c r="D2704" i="1"/>
  <c r="A2705" i="1"/>
  <c r="D2705" i="1"/>
  <c r="A2706" i="1"/>
  <c r="A2707" i="1"/>
  <c r="A2708" i="1"/>
  <c r="A2709" i="1"/>
  <c r="D2709" i="1"/>
  <c r="A2710" i="1"/>
  <c r="A2711" i="1"/>
  <c r="A2712" i="1"/>
  <c r="D2712" i="1"/>
  <c r="A2713" i="1"/>
  <c r="A2714" i="1"/>
  <c r="D2714" i="1"/>
  <c r="A2715" i="1"/>
  <c r="A2716" i="1"/>
  <c r="D2716" i="1"/>
  <c r="A2717" i="1"/>
  <c r="D2717" i="1"/>
  <c r="A2718" i="1"/>
  <c r="D2718" i="1"/>
  <c r="A2719" i="1"/>
  <c r="A2720" i="1"/>
  <c r="A2721" i="1"/>
  <c r="D2721" i="1"/>
  <c r="A2722" i="1"/>
  <c r="D2722" i="1"/>
  <c r="A2723" i="1"/>
  <c r="D2723" i="1"/>
  <c r="A2724" i="1"/>
  <c r="D2724" i="1"/>
  <c r="A2725" i="1"/>
  <c r="A2726" i="1"/>
  <c r="D2726" i="1"/>
  <c r="A2727" i="1"/>
  <c r="A2728" i="1"/>
  <c r="D2728" i="1"/>
  <c r="A2729" i="1"/>
  <c r="D2729" i="1"/>
  <c r="A2730" i="1"/>
  <c r="A2732" i="1"/>
  <c r="D2732" i="1"/>
  <c r="A2733" i="1"/>
  <c r="D2733" i="1"/>
  <c r="A2734" i="1"/>
  <c r="D2734" i="1"/>
  <c r="A2735" i="1"/>
  <c r="D2735" i="1"/>
  <c r="A2736" i="1"/>
  <c r="A2737" i="1"/>
  <c r="D2737" i="1"/>
  <c r="A2738" i="1"/>
  <c r="D2738" i="1"/>
  <c r="A2739" i="1"/>
  <c r="D2739" i="1"/>
  <c r="A2740" i="1"/>
  <c r="D2740" i="1"/>
  <c r="A2741" i="1"/>
  <c r="D2741" i="1"/>
  <c r="A2742" i="1"/>
  <c r="D2742" i="1"/>
  <c r="A2743" i="1"/>
  <c r="D2743" i="1"/>
  <c r="A2744" i="1"/>
  <c r="A2745" i="1"/>
  <c r="D2745" i="1"/>
  <c r="A2746" i="1"/>
  <c r="D2746" i="1"/>
  <c r="A2747" i="1"/>
  <c r="D2747" i="1"/>
  <c r="A2748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8" i="1"/>
  <c r="A2769" i="1"/>
  <c r="A2770" i="1"/>
  <c r="A2771" i="1"/>
  <c r="A2773" i="1"/>
  <c r="D2773" i="1"/>
  <c r="A2774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3" i="1"/>
  <c r="A2804" i="1"/>
  <c r="D2804" i="1"/>
  <c r="A2805" i="1"/>
  <c r="A2806" i="1"/>
  <c r="D2806" i="1"/>
  <c r="A2807" i="1"/>
  <c r="A2808" i="1"/>
  <c r="D2808" i="1"/>
  <c r="A2809" i="1"/>
  <c r="A2810" i="1"/>
  <c r="A2811" i="1"/>
  <c r="A2812" i="1"/>
  <c r="D2812" i="1"/>
  <c r="A2813" i="1"/>
  <c r="D2813" i="1"/>
  <c r="A2814" i="1"/>
  <c r="A2815" i="1"/>
  <c r="A2816" i="1"/>
  <c r="A2817" i="1"/>
  <c r="D2817" i="1"/>
  <c r="A2818" i="1"/>
  <c r="D2818" i="1"/>
  <c r="A2819" i="1"/>
  <c r="A2820" i="1"/>
  <c r="D2820" i="1"/>
  <c r="A2821" i="1"/>
  <c r="D2821" i="1"/>
  <c r="A2822" i="1"/>
  <c r="D2822" i="1"/>
  <c r="A2823" i="1"/>
  <c r="A2825" i="1"/>
  <c r="D2825" i="1"/>
  <c r="A2826" i="1"/>
  <c r="A2827" i="1"/>
  <c r="D2827" i="1"/>
  <c r="A2828" i="1"/>
  <c r="D2828" i="1"/>
  <c r="A2829" i="1"/>
  <c r="D2829" i="1"/>
  <c r="A2830" i="1"/>
  <c r="D2830" i="1"/>
  <c r="A2831" i="1"/>
  <c r="D2831" i="1"/>
  <c r="A2832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1" i="1"/>
  <c r="A2852" i="1"/>
  <c r="D2852" i="1"/>
  <c r="A2853" i="1"/>
  <c r="A2854" i="1"/>
  <c r="D2854" i="1"/>
  <c r="A2855" i="1"/>
  <c r="D2855" i="1"/>
  <c r="A2856" i="1"/>
  <c r="A2857" i="1"/>
  <c r="D2857" i="1"/>
  <c r="A2858" i="1"/>
  <c r="D2858" i="1"/>
  <c r="A2859" i="1"/>
  <c r="D2859" i="1"/>
  <c r="A2860" i="1"/>
  <c r="A2861" i="1"/>
  <c r="D2861" i="1"/>
  <c r="A2862" i="1"/>
  <c r="A2863" i="1"/>
  <c r="D2863" i="1"/>
  <c r="A2864" i="1"/>
  <c r="D2864" i="1"/>
  <c r="A2865" i="1"/>
  <c r="A2866" i="1"/>
  <c r="A2867" i="1"/>
  <c r="D2867" i="1"/>
  <c r="A2868" i="1"/>
  <c r="D2868" i="1"/>
  <c r="A2869" i="1"/>
  <c r="D2869" i="1"/>
  <c r="A2870" i="1"/>
  <c r="A2871" i="1"/>
  <c r="D2871" i="1"/>
  <c r="A2872" i="1"/>
  <c r="A2873" i="1"/>
  <c r="A2875" i="1"/>
  <c r="D2875" i="1"/>
  <c r="A2876" i="1"/>
  <c r="D2876" i="1"/>
  <c r="A2877" i="1"/>
  <c r="D2877" i="1"/>
  <c r="A2878" i="1"/>
  <c r="A2879" i="1"/>
  <c r="D2879" i="1"/>
  <c r="A2880" i="1"/>
  <c r="D2880" i="1"/>
  <c r="A2881" i="1"/>
  <c r="D2881" i="1"/>
  <c r="A2882" i="1"/>
  <c r="D2882" i="1"/>
  <c r="A2883" i="1"/>
  <c r="D2883" i="1"/>
  <c r="A2884" i="1"/>
  <c r="D2884" i="1"/>
  <c r="A2885" i="1"/>
  <c r="D2885" i="1"/>
  <c r="A2886" i="1"/>
  <c r="D2886" i="1"/>
  <c r="A2887" i="1"/>
  <c r="D2887" i="1"/>
  <c r="A2888" i="1"/>
  <c r="D2888" i="1"/>
  <c r="A2889" i="1"/>
  <c r="D2889" i="1"/>
  <c r="A2890" i="1"/>
  <c r="D2890" i="1"/>
  <c r="A2891" i="1"/>
  <c r="A2892" i="1"/>
  <c r="D2892" i="1"/>
  <c r="A2893" i="1"/>
  <c r="D2893" i="1"/>
  <c r="A2894" i="1"/>
  <c r="D2894" i="1"/>
  <c r="A2895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1" i="1"/>
  <c r="A2922" i="1"/>
  <c r="A2923" i="1"/>
  <c r="D2923" i="1"/>
  <c r="A2924" i="1"/>
  <c r="A2925" i="1"/>
  <c r="D2925" i="1"/>
  <c r="A2926" i="1"/>
  <c r="A2928" i="1"/>
  <c r="D2928" i="1"/>
  <c r="A2929" i="1"/>
  <c r="D2929" i="1"/>
  <c r="A2930" i="1"/>
  <c r="D2930" i="1"/>
  <c r="A2931" i="1"/>
  <c r="D2931" i="1"/>
  <c r="A2932" i="1"/>
  <c r="D2932" i="1"/>
  <c r="A2933" i="1"/>
  <c r="D2933" i="1"/>
  <c r="A2934" i="1"/>
  <c r="D2934" i="1"/>
  <c r="A2935" i="1"/>
  <c r="D2935" i="1"/>
  <c r="A2936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5" i="1"/>
  <c r="A2956" i="1"/>
  <c r="A2957" i="1"/>
  <c r="A2958" i="1"/>
  <c r="D2958" i="1"/>
  <c r="A2959" i="1"/>
  <c r="A2960" i="1"/>
  <c r="D2960" i="1"/>
  <c r="A2961" i="1"/>
  <c r="A2963" i="1"/>
  <c r="D2963" i="1"/>
  <c r="A2964" i="1"/>
  <c r="D2964" i="1"/>
  <c r="A2965" i="1"/>
  <c r="A2966" i="1"/>
  <c r="D2966" i="1"/>
  <c r="A2967" i="1"/>
  <c r="D2967" i="1"/>
  <c r="A2968" i="1"/>
  <c r="D2968" i="1"/>
  <c r="A2969" i="1"/>
  <c r="D2969" i="1"/>
  <c r="A2970" i="1"/>
  <c r="A2971" i="1"/>
  <c r="D2971" i="1"/>
  <c r="A2972" i="1"/>
  <c r="A2973" i="1"/>
  <c r="D2973" i="1"/>
  <c r="A2974" i="1"/>
  <c r="A2975" i="1"/>
  <c r="D2975" i="1"/>
  <c r="A2976" i="1"/>
  <c r="D2976" i="1"/>
  <c r="A2977" i="1"/>
  <c r="A2978" i="1"/>
  <c r="D2978" i="1"/>
  <c r="A2979" i="1"/>
  <c r="D2979" i="1"/>
  <c r="A2980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5" i="1"/>
  <c r="A3006" i="1"/>
  <c r="A3007" i="1"/>
  <c r="D3007" i="1"/>
  <c r="A3008" i="1"/>
  <c r="A3009" i="1"/>
  <c r="A3010" i="1"/>
  <c r="D3010" i="1"/>
  <c r="A3011" i="1"/>
  <c r="A3012" i="1"/>
  <c r="D3012" i="1"/>
  <c r="A3013" i="1"/>
  <c r="A3014" i="1"/>
  <c r="A3015" i="1"/>
  <c r="A3016" i="1"/>
  <c r="D3016" i="1"/>
  <c r="A3017" i="1"/>
  <c r="A3019" i="1"/>
  <c r="D3019" i="1"/>
  <c r="A3020" i="1"/>
  <c r="D3020" i="1"/>
  <c r="A3021" i="1"/>
  <c r="A3022" i="1"/>
  <c r="D3022" i="1"/>
  <c r="A3023" i="1"/>
  <c r="D3023" i="1"/>
  <c r="A3024" i="1"/>
  <c r="D3024" i="1"/>
  <c r="A3025" i="1"/>
  <c r="D3025" i="1"/>
  <c r="A3026" i="1"/>
  <c r="D3026" i="1"/>
  <c r="A3027" i="1"/>
  <c r="A3028" i="1"/>
  <c r="D3028" i="1"/>
  <c r="A3029" i="1"/>
  <c r="D3029" i="1"/>
  <c r="A3030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8" i="1"/>
  <c r="D3048" i="1"/>
  <c r="A3049" i="1"/>
  <c r="D3049" i="1"/>
  <c r="A3050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70" i="1"/>
  <c r="A3071" i="1"/>
  <c r="D3071" i="1"/>
  <c r="A3072" i="1"/>
  <c r="A3073" i="1"/>
  <c r="D3073" i="1"/>
  <c r="A3074" i="1"/>
  <c r="D3074" i="1"/>
  <c r="A3075" i="1"/>
  <c r="A3076" i="1"/>
  <c r="D3076" i="1"/>
  <c r="A3077" i="1"/>
  <c r="A3078" i="1"/>
  <c r="A3079" i="1"/>
  <c r="D3079" i="1"/>
  <c r="A3080" i="1"/>
  <c r="A3081" i="1"/>
  <c r="D3081" i="1"/>
  <c r="A3082" i="1"/>
  <c r="A3083" i="1"/>
  <c r="D3083" i="1"/>
  <c r="A3084" i="1"/>
  <c r="A3085" i="1"/>
  <c r="A3087" i="1"/>
  <c r="D3087" i="1"/>
  <c r="A3088" i="1"/>
  <c r="A3089" i="1"/>
  <c r="D3089" i="1"/>
  <c r="A3090" i="1"/>
  <c r="D3090" i="1"/>
  <c r="A3091" i="1"/>
  <c r="A3092" i="1"/>
  <c r="D3092" i="1"/>
  <c r="A3093" i="1"/>
  <c r="A3094" i="1"/>
  <c r="A3095" i="1"/>
  <c r="D3095" i="1"/>
  <c r="A3096" i="1"/>
  <c r="D3096" i="1"/>
  <c r="A3097" i="1"/>
  <c r="D3097" i="1"/>
  <c r="A3098" i="1"/>
  <c r="D3098" i="1"/>
  <c r="A3099" i="1"/>
  <c r="D3099" i="1"/>
  <c r="A3100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5" i="1"/>
  <c r="D3125" i="1"/>
  <c r="A3126" i="1"/>
  <c r="D3126" i="1"/>
  <c r="A3127" i="1"/>
  <c r="A3128" i="1"/>
  <c r="D3128" i="1"/>
  <c r="A3129" i="1"/>
  <c r="D3129" i="1"/>
  <c r="A3130" i="1"/>
  <c r="D3130" i="1"/>
  <c r="A3131" i="1"/>
  <c r="A3133" i="1"/>
  <c r="D3133" i="1"/>
  <c r="A3134" i="1"/>
  <c r="D3134" i="1"/>
  <c r="A3135" i="1"/>
  <c r="A3136" i="1"/>
  <c r="D3136" i="1"/>
  <c r="A3137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3" i="1"/>
  <c r="D3153" i="1"/>
  <c r="A3154" i="1"/>
  <c r="D3154" i="1"/>
  <c r="A3155" i="1"/>
  <c r="D3155" i="1"/>
  <c r="A3156" i="1"/>
  <c r="A3157" i="1"/>
  <c r="D3157" i="1"/>
  <c r="A3158" i="1"/>
  <c r="D3158" i="1"/>
  <c r="A3159" i="1"/>
  <c r="D3159" i="1"/>
  <c r="A3160" i="1"/>
  <c r="A3161" i="1"/>
  <c r="D3161" i="1"/>
  <c r="A3162" i="1"/>
  <c r="A3163" i="1"/>
  <c r="A3164" i="1"/>
  <c r="A3165" i="1"/>
  <c r="D3165" i="1"/>
  <c r="A3166" i="1"/>
  <c r="D3166" i="1"/>
  <c r="A3167" i="1"/>
  <c r="A3169" i="1"/>
  <c r="D3169" i="1"/>
  <c r="A3170" i="1"/>
  <c r="D3170" i="1"/>
  <c r="A3171" i="1"/>
  <c r="D3171" i="1"/>
  <c r="A3172" i="1"/>
  <c r="D3172" i="1"/>
  <c r="A3173" i="1"/>
  <c r="D3173" i="1"/>
  <c r="A3174" i="1"/>
  <c r="A3175" i="1"/>
  <c r="A3176" i="1"/>
  <c r="D3176" i="1"/>
  <c r="A3177" i="1"/>
  <c r="D3177" i="1"/>
  <c r="A3178" i="1"/>
  <c r="D3178" i="1"/>
  <c r="A3179" i="1"/>
  <c r="D3179" i="1"/>
  <c r="A3180" i="1"/>
  <c r="D3180" i="1"/>
  <c r="A3181" i="1"/>
  <c r="D3181" i="1"/>
  <c r="A3182" i="1"/>
  <c r="D3182" i="1"/>
  <c r="A3183" i="1"/>
  <c r="D3183" i="1"/>
  <c r="A3184" i="1"/>
  <c r="D3184" i="1"/>
  <c r="A3185" i="1"/>
  <c r="D3185" i="1"/>
  <c r="A3186" i="1"/>
  <c r="D3186" i="1"/>
  <c r="A3187" i="1"/>
  <c r="A3190" i="1"/>
  <c r="D3190" i="1"/>
  <c r="A3191" i="1"/>
  <c r="A3192" i="1"/>
  <c r="A3193" i="1"/>
  <c r="A3194" i="1"/>
  <c r="A3195" i="1"/>
  <c r="A3196" i="1"/>
  <c r="A3197" i="1"/>
  <c r="A3198" i="1"/>
  <c r="A3199" i="1"/>
  <c r="A3200" i="1"/>
  <c r="A3201" i="1"/>
  <c r="A3203" i="1"/>
  <c r="D3203" i="1"/>
  <c r="A3204" i="1"/>
  <c r="A3205" i="1"/>
  <c r="A3206" i="1"/>
  <c r="A3207" i="1"/>
  <c r="A3208" i="1"/>
  <c r="A3209" i="1"/>
  <c r="D3209" i="1"/>
  <c r="A3210" i="1"/>
  <c r="A3211" i="1"/>
  <c r="D3211" i="1"/>
  <c r="A3212" i="1"/>
  <c r="D3212" i="1"/>
  <c r="A3213" i="1"/>
  <c r="D3213" i="1"/>
  <c r="A3214" i="1"/>
  <c r="A3215" i="1"/>
  <c r="A3216" i="1"/>
  <c r="D3216" i="1"/>
  <c r="A3217" i="1"/>
  <c r="D3217" i="1"/>
  <c r="A3218" i="1"/>
  <c r="A3219" i="1"/>
  <c r="D3219" i="1"/>
  <c r="A3220" i="1"/>
  <c r="D3220" i="1"/>
  <c r="A3221" i="1"/>
  <c r="D3221" i="1"/>
  <c r="A3222" i="1"/>
  <c r="D3222" i="1"/>
  <c r="A3223" i="1"/>
  <c r="D3223" i="1"/>
  <c r="A3224" i="1"/>
  <c r="D3224" i="1"/>
  <c r="A3225" i="1"/>
  <c r="D3225" i="1"/>
  <c r="A3226" i="1"/>
  <c r="A3227" i="1"/>
  <c r="A3228" i="1"/>
  <c r="D3228" i="1"/>
  <c r="A3229" i="1"/>
  <c r="D3229" i="1"/>
  <c r="A3230" i="1"/>
  <c r="A3231" i="1"/>
  <c r="A3232" i="1"/>
  <c r="A3233" i="1"/>
  <c r="A3234" i="1"/>
  <c r="D3234" i="1"/>
  <c r="A3235" i="1"/>
  <c r="A3236" i="1"/>
  <c r="A3237" i="1"/>
  <c r="D3237" i="1"/>
  <c r="A3238" i="1"/>
  <c r="D3238" i="1"/>
  <c r="A3239" i="1"/>
  <c r="A3240" i="1"/>
  <c r="D3240" i="1"/>
  <c r="A3241" i="1"/>
  <c r="A3243" i="1"/>
  <c r="D3243" i="1"/>
  <c r="A3244" i="1"/>
  <c r="D3244" i="1"/>
  <c r="A3245" i="1"/>
  <c r="D3245" i="1"/>
  <c r="A3246" i="1"/>
  <c r="D3246" i="1"/>
  <c r="A3247" i="1"/>
  <c r="D3247" i="1"/>
  <c r="A3248" i="1"/>
  <c r="A3249" i="1"/>
  <c r="D3249" i="1"/>
  <c r="A3250" i="1"/>
  <c r="A3251" i="1"/>
  <c r="A3252" i="1"/>
  <c r="D3252" i="1"/>
  <c r="A3253" i="1"/>
  <c r="D3253" i="1"/>
  <c r="A3254" i="1"/>
  <c r="D3254" i="1"/>
  <c r="A3255" i="1"/>
  <c r="D3255" i="1"/>
  <c r="A3256" i="1"/>
  <c r="A3257" i="1"/>
  <c r="D3257" i="1"/>
  <c r="A3258" i="1"/>
  <c r="A3259" i="1"/>
  <c r="D3259" i="1"/>
  <c r="A3260" i="1"/>
  <c r="D3260" i="1"/>
  <c r="A3261" i="1"/>
  <c r="D3261" i="1"/>
  <c r="A3262" i="1"/>
  <c r="A3263" i="1"/>
  <c r="A3264" i="1"/>
  <c r="D3264" i="1"/>
  <c r="A3265" i="1"/>
  <c r="D3265" i="1"/>
  <c r="A3266" i="1"/>
  <c r="D3266" i="1"/>
  <c r="A3267" i="1"/>
  <c r="D3267" i="1"/>
  <c r="A3268" i="1"/>
  <c r="D3268" i="1"/>
  <c r="A3269" i="1"/>
  <c r="D3269" i="1"/>
  <c r="A3270" i="1"/>
  <c r="D3270" i="1"/>
  <c r="A3271" i="1"/>
  <c r="D3271" i="1"/>
  <c r="A3272" i="1"/>
  <c r="D3272" i="1"/>
  <c r="A3273" i="1"/>
  <c r="D3273" i="1"/>
  <c r="A3274" i="1"/>
  <c r="D3274" i="1"/>
  <c r="A3275" i="1"/>
  <c r="D3275" i="1"/>
  <c r="A3276" i="1"/>
  <c r="D3276" i="1"/>
  <c r="A3277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D3293" i="1"/>
  <c r="A3294" i="1"/>
  <c r="A3295" i="1"/>
  <c r="A3296" i="1"/>
  <c r="A3297" i="1"/>
  <c r="A3298" i="1"/>
  <c r="A3299" i="1"/>
  <c r="A3300" i="1"/>
  <c r="A3301" i="1"/>
  <c r="D3301" i="1"/>
  <c r="A3302" i="1"/>
  <c r="A3303" i="1"/>
  <c r="A3305" i="1"/>
  <c r="A3306" i="1"/>
  <c r="A3307" i="1"/>
  <c r="A3308" i="1"/>
  <c r="A3309" i="1"/>
  <c r="A3310" i="1"/>
  <c r="A3312" i="1"/>
  <c r="D3312" i="1"/>
  <c r="A3313" i="1"/>
  <c r="D3313" i="1"/>
  <c r="A3314" i="1"/>
  <c r="A3315" i="1"/>
  <c r="D3315" i="1"/>
  <c r="A3316" i="1"/>
  <c r="D3316" i="1"/>
  <c r="A3317" i="1"/>
  <c r="A3318" i="1"/>
  <c r="D3318" i="1"/>
  <c r="A3319" i="1"/>
  <c r="A3320" i="1"/>
  <c r="A3321" i="1"/>
  <c r="D3321" i="1"/>
  <c r="A3322" i="1"/>
  <c r="D3322" i="1"/>
  <c r="A3323" i="1"/>
  <c r="D3323" i="1"/>
  <c r="A3324" i="1"/>
  <c r="D3324" i="1"/>
  <c r="A3325" i="1"/>
  <c r="D3325" i="1"/>
  <c r="A3326" i="1"/>
  <c r="D3326" i="1"/>
  <c r="A3327" i="1"/>
  <c r="A3328" i="1"/>
  <c r="D3328" i="1"/>
  <c r="A3329" i="1"/>
  <c r="D3329" i="1"/>
  <c r="A3330" i="1"/>
  <c r="D3330" i="1"/>
  <c r="A3331" i="1"/>
  <c r="D3331" i="1"/>
  <c r="A3332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4" i="1"/>
  <c r="D3354" i="1"/>
  <c r="A3355" i="1"/>
  <c r="A3356" i="1"/>
  <c r="D3356" i="1"/>
  <c r="A3357" i="1"/>
  <c r="A3358" i="1"/>
  <c r="A3359" i="1"/>
  <c r="D3359" i="1"/>
  <c r="A3360" i="1"/>
  <c r="A3361" i="1"/>
  <c r="D3361" i="1"/>
  <c r="A3362" i="1"/>
  <c r="D3362" i="1"/>
  <c r="A3363" i="1"/>
  <c r="A3364" i="1"/>
  <c r="D3364" i="1"/>
  <c r="A3365" i="1"/>
  <c r="D3365" i="1"/>
  <c r="A3366" i="1"/>
  <c r="A3368" i="1"/>
  <c r="D3368" i="1"/>
  <c r="A3369" i="1"/>
  <c r="A3370" i="1"/>
  <c r="D3370" i="1"/>
  <c r="A3371" i="1"/>
  <c r="D3371" i="1"/>
  <c r="A3372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1" i="1"/>
  <c r="D3391" i="1"/>
  <c r="A3392" i="1"/>
  <c r="D3392" i="1"/>
  <c r="A3393" i="1"/>
  <c r="D3393" i="1"/>
  <c r="A3394" i="1"/>
  <c r="D3394" i="1"/>
  <c r="A3395" i="1"/>
  <c r="A3396" i="1"/>
  <c r="D3396" i="1"/>
  <c r="A3397" i="1"/>
  <c r="D3397" i="1"/>
  <c r="A3398" i="1"/>
  <c r="D3398" i="1"/>
  <c r="A3399" i="1"/>
  <c r="D3399" i="1"/>
  <c r="A3400" i="1"/>
  <c r="D3400" i="1"/>
  <c r="A3401" i="1"/>
  <c r="A3403" i="1"/>
  <c r="D3403" i="1"/>
  <c r="A3404" i="1"/>
  <c r="A3405" i="1"/>
  <c r="D3405" i="1"/>
  <c r="A3406" i="1"/>
  <c r="D3406" i="1"/>
  <c r="A3407" i="1"/>
  <c r="D3407" i="1"/>
  <c r="A3408" i="1"/>
  <c r="D3408" i="1"/>
  <c r="A3409" i="1"/>
  <c r="D3409" i="1"/>
  <c r="A3410" i="1"/>
  <c r="D3410" i="1"/>
  <c r="A3411" i="1"/>
  <c r="D3411" i="1"/>
  <c r="A3412" i="1"/>
  <c r="A3413" i="1"/>
  <c r="D3413" i="1"/>
  <c r="A3414" i="1"/>
  <c r="D3414" i="1"/>
  <c r="A3415" i="1"/>
  <c r="D3415" i="1"/>
  <c r="A3416" i="1"/>
  <c r="D3416" i="1"/>
  <c r="A3417" i="1"/>
  <c r="D3417" i="1"/>
  <c r="A3418" i="1"/>
  <c r="D3418" i="1"/>
  <c r="A3419" i="1"/>
  <c r="D3419" i="1"/>
  <c r="A3420" i="1"/>
  <c r="A3421" i="1"/>
  <c r="D3421" i="1"/>
  <c r="A3422" i="1"/>
  <c r="A3423" i="1"/>
  <c r="D3423" i="1"/>
  <c r="A3424" i="1"/>
  <c r="D3424" i="1"/>
  <c r="A3425" i="1"/>
  <c r="D3425" i="1"/>
  <c r="A3426" i="1"/>
  <c r="D3426" i="1"/>
  <c r="A3427" i="1"/>
  <c r="D3427" i="1"/>
  <c r="A3428" i="1"/>
  <c r="D3428" i="1"/>
  <c r="A3429" i="1"/>
  <c r="D3429" i="1"/>
  <c r="A3430" i="1"/>
  <c r="D3430" i="1"/>
  <c r="A3431" i="1"/>
  <c r="D3431" i="1"/>
  <c r="A3432" i="1"/>
  <c r="D3432" i="1"/>
  <c r="A3433" i="1"/>
  <c r="D3433" i="1"/>
  <c r="A3434" i="1"/>
  <c r="D3434" i="1"/>
  <c r="A3435" i="1"/>
  <c r="D3435" i="1"/>
  <c r="A3436" i="1"/>
  <c r="D3436" i="1"/>
  <c r="A3437" i="1"/>
  <c r="D3437" i="1"/>
  <c r="A3438" i="1"/>
  <c r="D3438" i="1"/>
  <c r="A3439" i="1"/>
  <c r="D3439" i="1"/>
  <c r="A3440" i="1"/>
  <c r="D3440" i="1"/>
  <c r="A3441" i="1"/>
  <c r="D3441" i="1"/>
  <c r="A3442" i="1"/>
  <c r="D3442" i="1"/>
  <c r="A3443" i="1"/>
  <c r="D3443" i="1"/>
  <c r="A3444" i="1"/>
  <c r="D3444" i="1"/>
  <c r="A3445" i="1"/>
  <c r="D3445" i="1"/>
  <c r="A3446" i="1"/>
  <c r="D3446" i="1"/>
  <c r="A3447" i="1"/>
  <c r="D3447" i="1"/>
  <c r="A3448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4" i="1"/>
  <c r="A3475" i="1"/>
  <c r="D3475" i="1"/>
  <c r="A3476" i="1"/>
  <c r="D3476" i="1"/>
  <c r="A3477" i="1"/>
  <c r="A3478" i="1"/>
  <c r="D3478" i="1"/>
  <c r="A3479" i="1"/>
  <c r="D3479" i="1"/>
  <c r="A3480" i="1"/>
  <c r="D3480" i="1"/>
  <c r="A3481" i="1"/>
  <c r="A3482" i="1"/>
  <c r="A3483" i="1"/>
  <c r="A3484" i="1"/>
  <c r="D3484" i="1"/>
  <c r="A3485" i="1"/>
  <c r="A3486" i="1"/>
  <c r="A3487" i="1"/>
  <c r="D3487" i="1"/>
  <c r="A3488" i="1"/>
  <c r="A3490" i="1"/>
  <c r="D3490" i="1"/>
  <c r="A3491" i="1"/>
  <c r="D3491" i="1"/>
  <c r="A3492" i="1"/>
  <c r="D3492" i="1"/>
  <c r="A3493" i="1"/>
  <c r="D3493" i="1"/>
  <c r="A3494" i="1"/>
  <c r="D3494" i="1"/>
  <c r="A3495" i="1"/>
  <c r="D3495" i="1"/>
  <c r="A3496" i="1"/>
  <c r="D3496" i="1"/>
  <c r="A3497" i="1"/>
  <c r="A3498" i="1"/>
  <c r="D3498" i="1"/>
  <c r="A3499" i="1"/>
  <c r="D3499" i="1"/>
  <c r="A3500" i="1"/>
  <c r="D3500" i="1"/>
  <c r="A3501" i="1"/>
  <c r="D3501" i="1"/>
  <c r="A3502" i="1"/>
  <c r="A3503" i="1"/>
  <c r="D3503" i="1"/>
  <c r="A3504" i="1"/>
  <c r="A3505" i="1"/>
  <c r="D3505" i="1"/>
  <c r="A3506" i="1"/>
  <c r="D3506" i="1"/>
  <c r="A3507" i="1"/>
  <c r="A3510" i="1"/>
</calcChain>
</file>

<file path=xl/sharedStrings.xml><?xml version="1.0" encoding="utf-8"?>
<sst xmlns="http://schemas.openxmlformats.org/spreadsheetml/2006/main" count="18300" uniqueCount="1366">
  <si>
    <t>Wisconsin Department of Revenue</t>
  </si>
  <si>
    <t>2019 Report Used for Apportionment of County Levy</t>
  </si>
  <si>
    <t>COMUNI #</t>
  </si>
  <si>
    <t xml:space="preserve"> MUNI TYPE</t>
  </si>
  <si>
    <t xml:space="preserve"> MUNI NAME</t>
  </si>
  <si>
    <t xml:space="preserve"> TID #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</si>
  <si>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</si>
  <si>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</si>
  <si>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</si>
  <si>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</si>
  <si>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EQ VAL LESS INCREMENT</t>
  </si>
  <si>
    <t xml:space="preserve">TOWN OF        </t>
  </si>
  <si>
    <t xml:space="preserve">ADAMS                         </t>
  </si>
  <si>
    <t xml:space="preserve">       </t>
  </si>
  <si>
    <t xml:space="preserve">    </t>
  </si>
  <si>
    <t xml:space="preserve">          </t>
  </si>
  <si>
    <t xml:space="preserve">BIG FLATS                     </t>
  </si>
  <si>
    <t xml:space="preserve">COLBURN                       </t>
  </si>
  <si>
    <t xml:space="preserve">DELL PRAIRIE                  </t>
  </si>
  <si>
    <t xml:space="preserve">EASTON                        </t>
  </si>
  <si>
    <t xml:space="preserve">JACKSON                       </t>
  </si>
  <si>
    <t xml:space="preserve">LEOLA                         </t>
  </si>
  <si>
    <t xml:space="preserve">LINCOLN                       </t>
  </si>
  <si>
    <t xml:space="preserve">MONROE                        </t>
  </si>
  <si>
    <t xml:space="preserve">NEW CHESTER                   </t>
  </si>
  <si>
    <t xml:space="preserve">NEW HAVEN                     </t>
  </si>
  <si>
    <t xml:space="preserve">PRESTON                       </t>
  </si>
  <si>
    <t xml:space="preserve">QUINCY                        </t>
  </si>
  <si>
    <t xml:space="preserve">RICHFIELD                     </t>
  </si>
  <si>
    <t xml:space="preserve">ROME                          </t>
  </si>
  <si>
    <t xml:space="preserve">SPRINGVILLE                   </t>
  </si>
  <si>
    <t xml:space="preserve">STRONGS PRAIRIE               </t>
  </si>
  <si>
    <t xml:space="preserve">        </t>
  </si>
  <si>
    <t xml:space="preserve">TOWN TOTAL     </t>
  </si>
  <si>
    <t xml:space="preserve">                              </t>
  </si>
  <si>
    <t xml:space="preserve">VILLAGE OF     </t>
  </si>
  <si>
    <t xml:space="preserve">FRIENDSHIP                    </t>
  </si>
  <si>
    <t xml:space="preserve">VILLAGE TOTAL  </t>
  </si>
  <si>
    <t xml:space="preserve">CITY OF        </t>
  </si>
  <si>
    <t xml:space="preserve">WISCONSIN DELLS               </t>
  </si>
  <si>
    <t xml:space="preserve">CITY TOTAL     </t>
  </si>
  <si>
    <t xml:space="preserve">COUNTY TOTAL   </t>
  </si>
  <si>
    <t xml:space="preserve">AGENDA                        </t>
  </si>
  <si>
    <t xml:space="preserve">ASHLAND                       </t>
  </si>
  <si>
    <t xml:space="preserve">CHIPPEWA                      </t>
  </si>
  <si>
    <t xml:space="preserve">GINGLES                       </t>
  </si>
  <si>
    <t xml:space="preserve">GORDON                        </t>
  </si>
  <si>
    <t xml:space="preserve">JACOBS                        </t>
  </si>
  <si>
    <t xml:space="preserve">LA POINTE                     </t>
  </si>
  <si>
    <t xml:space="preserve">MARENGO                       </t>
  </si>
  <si>
    <t xml:space="preserve">MORSE                         </t>
  </si>
  <si>
    <t xml:space="preserve">PEEKSVILLE                    </t>
  </si>
  <si>
    <t xml:space="preserve">SANBORN                       </t>
  </si>
  <si>
    <t xml:space="preserve">SHANAGOLDEN                   </t>
  </si>
  <si>
    <t xml:space="preserve">WHITE RIVER                   </t>
  </si>
  <si>
    <t xml:space="preserve">BUTTERNUT                     </t>
  </si>
  <si>
    <t xml:space="preserve">MELLEN                        </t>
  </si>
  <si>
    <t xml:space="preserve">ALMENA                        </t>
  </si>
  <si>
    <t xml:space="preserve">ARLAND                        </t>
  </si>
  <si>
    <t xml:space="preserve">BARRON                        </t>
  </si>
  <si>
    <t xml:space="preserve">BEAR LAKE                     </t>
  </si>
  <si>
    <t xml:space="preserve">CEDAR LAKE                    </t>
  </si>
  <si>
    <t xml:space="preserve">CHETEK                        </t>
  </si>
  <si>
    <t xml:space="preserve">CLINTON                       </t>
  </si>
  <si>
    <t xml:space="preserve">CRYSTAL LAKE                  </t>
  </si>
  <si>
    <t xml:space="preserve">CUMBERLAND                    </t>
  </si>
  <si>
    <t xml:space="preserve">DALLAS                        </t>
  </si>
  <si>
    <t xml:space="preserve">DOVRE                         </t>
  </si>
  <si>
    <t xml:space="preserve">DOYLE                         </t>
  </si>
  <si>
    <t xml:space="preserve">LAKELAND                      </t>
  </si>
  <si>
    <t xml:space="preserve">MAPLE GROVE                   </t>
  </si>
  <si>
    <t xml:space="preserve">MAPLE PLAIN                   </t>
  </si>
  <si>
    <t xml:space="preserve">OAK GROVE                     </t>
  </si>
  <si>
    <t xml:space="preserve">PRAIRIE FARM                  </t>
  </si>
  <si>
    <t xml:space="preserve">PRAIRIE LAKE                  </t>
  </si>
  <si>
    <t xml:space="preserve">RICE LAKE                     </t>
  </si>
  <si>
    <t xml:space="preserve">SIOUX CREEK                   </t>
  </si>
  <si>
    <t xml:space="preserve">STANFOLD                      </t>
  </si>
  <si>
    <t xml:space="preserve">STANLEY                       </t>
  </si>
  <si>
    <t xml:space="preserve">SUMNER                        </t>
  </si>
  <si>
    <t xml:space="preserve">TURTLE LAKE                   </t>
  </si>
  <si>
    <t xml:space="preserve">VANCE CREEK                   </t>
  </si>
  <si>
    <t xml:space="preserve">CAMERON                       </t>
  </si>
  <si>
    <t xml:space="preserve">HAUGEN                        </t>
  </si>
  <si>
    <t xml:space="preserve">NEW AUBURN                    </t>
  </si>
  <si>
    <t xml:space="preserve">BARKSDALE                     </t>
  </si>
  <si>
    <t xml:space="preserve">BARNES                        </t>
  </si>
  <si>
    <t xml:space="preserve">BAYFIELD                      </t>
  </si>
  <si>
    <t xml:space="preserve">BAYVIEW                       </t>
  </si>
  <si>
    <t xml:space="preserve">BELL                          </t>
  </si>
  <si>
    <t xml:space="preserve">CABLE                         </t>
  </si>
  <si>
    <t xml:space="preserve">CLOVER                        </t>
  </si>
  <si>
    <t xml:space="preserve">DELTA                         </t>
  </si>
  <si>
    <t xml:space="preserve">DRUMMOND                      </t>
  </si>
  <si>
    <t xml:space="preserve">EILEEN                        </t>
  </si>
  <si>
    <t xml:space="preserve">GRAND VIEW                    </t>
  </si>
  <si>
    <t xml:space="preserve">HUGHES                        </t>
  </si>
  <si>
    <t xml:space="preserve">IRON RIVER                    </t>
  </si>
  <si>
    <t xml:space="preserve">KELLY                         </t>
  </si>
  <si>
    <t xml:space="preserve">KEYSTONE                      </t>
  </si>
  <si>
    <t xml:space="preserve">MASON                         </t>
  </si>
  <si>
    <t xml:space="preserve">NAMAKAGON                     </t>
  </si>
  <si>
    <t xml:space="preserve">ORIENTA                       </t>
  </si>
  <si>
    <t xml:space="preserve">OULU                          </t>
  </si>
  <si>
    <t xml:space="preserve">PILSEN                        </t>
  </si>
  <si>
    <t xml:space="preserve">PORT WING                     </t>
  </si>
  <si>
    <t xml:space="preserve">RUSSELL                       </t>
  </si>
  <si>
    <t xml:space="preserve">TRIPP                         </t>
  </si>
  <si>
    <t xml:space="preserve">WASHBURN                      </t>
  </si>
  <si>
    <t xml:space="preserve">EATON                         </t>
  </si>
  <si>
    <t xml:space="preserve">GLENMORE                      </t>
  </si>
  <si>
    <t xml:space="preserve">GREEN BAY                     </t>
  </si>
  <si>
    <t xml:space="preserve">HOLLAND                       </t>
  </si>
  <si>
    <t xml:space="preserve">HUMBOLDT                      </t>
  </si>
  <si>
    <t xml:space="preserve">LAWRENCE                      </t>
  </si>
  <si>
    <t xml:space="preserve">LEDGEVIEW                     </t>
  </si>
  <si>
    <t xml:space="preserve">MORRISON                      </t>
  </si>
  <si>
    <t xml:space="preserve">NEW DENMARK                   </t>
  </si>
  <si>
    <t xml:space="preserve">PITTSFIELD                    </t>
  </si>
  <si>
    <t xml:space="preserve">ROCKLAND                      </t>
  </si>
  <si>
    <t xml:space="preserve">SCOTT                         </t>
  </si>
  <si>
    <t xml:space="preserve">WRIGHTSTOWN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</si>
  <si>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</si>
  <si>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</si>
  <si>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</si>
  <si>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DENMARK 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</si>
  <si>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</si>
  <si>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</si>
  <si>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</si>
  <si>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</si>
  <si>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DE PERE                       </t>
  </si>
  <si>
    <t xml:space="preserve">BROWN                         </t>
  </si>
  <si>
    <t xml:space="preserve">ALMA                          </t>
  </si>
  <si>
    <t xml:space="preserve">BELVIDERE                     </t>
  </si>
  <si>
    <t xml:space="preserve">BUFFALO                       </t>
  </si>
  <si>
    <t xml:space="preserve">CANTON                        </t>
  </si>
  <si>
    <t xml:space="preserve">CROSS                         </t>
  </si>
  <si>
    <t xml:space="preserve">DOVER                         </t>
  </si>
  <si>
    <t xml:space="preserve">GILMANTON                     </t>
  </si>
  <si>
    <t xml:space="preserve">GLENCOE                       </t>
  </si>
  <si>
    <t xml:space="preserve">MAXVILLE                      </t>
  </si>
  <si>
    <t xml:space="preserve">MILTON                        </t>
  </si>
  <si>
    <t xml:space="preserve">MODENA                        </t>
  </si>
  <si>
    <t xml:space="preserve">MONDOVI                       </t>
  </si>
  <si>
    <t xml:space="preserve">MONTANA                       </t>
  </si>
  <si>
    <t xml:space="preserve">NAPLES                        </t>
  </si>
  <si>
    <t xml:space="preserve">NELSON                        </t>
  </si>
  <si>
    <t xml:space="preserve">WAUMANDEE                     </t>
  </si>
  <si>
    <t xml:space="preserve">COCHRANE                      </t>
  </si>
  <si>
    <t xml:space="preserve">BUFFALO CITY                  </t>
  </si>
  <si>
    <t xml:space="preserve">FOUNTAIN CITY                 </t>
  </si>
  <si>
    <t xml:space="preserve">ANDERSON                      </t>
  </si>
  <si>
    <t xml:space="preserve">BLAINE                        </t>
  </si>
  <si>
    <t xml:space="preserve">DANIELS                       </t>
  </si>
  <si>
    <t xml:space="preserve">DEWEY                         </t>
  </si>
  <si>
    <t xml:space="preserve">GRANTSBURG                    </t>
  </si>
  <si>
    <t xml:space="preserve">LA FOLLETTE                   </t>
  </si>
  <si>
    <t xml:space="preserve">MEENON                        </t>
  </si>
  <si>
    <t xml:space="preserve">OAKLAND                       </t>
  </si>
  <si>
    <t xml:space="preserve">ROOSEVELT                     </t>
  </si>
  <si>
    <t xml:space="preserve">RUSK                          </t>
  </si>
  <si>
    <t xml:space="preserve">SAND LAKE                     </t>
  </si>
  <si>
    <t xml:space="preserve">SIREN                         </t>
  </si>
  <si>
    <t xml:space="preserve">SWISS                         </t>
  </si>
  <si>
    <t xml:space="preserve">TRADE LAKE                    </t>
  </si>
  <si>
    <t xml:space="preserve">UNION                         </t>
  </si>
  <si>
    <t xml:space="preserve">WEBB LAKE                     </t>
  </si>
  <si>
    <t xml:space="preserve">WEST MARSHLAND                </t>
  </si>
  <si>
    <t xml:space="preserve">WOOD RIVER                    </t>
  </si>
  <si>
    <t xml:space="preserve">WEBSTER                       </t>
  </si>
  <si>
    <t xml:space="preserve">BURNETT                       </t>
  </si>
  <si>
    <t xml:space="preserve">BRILLION                      </t>
  </si>
  <si>
    <t xml:space="preserve">BROTHERTOWN                   </t>
  </si>
  <si>
    <t xml:space="preserve">CHARLESTOWN                   </t>
  </si>
  <si>
    <t xml:space="preserve">CHILTON                       </t>
  </si>
  <si>
    <t xml:space="preserve">HARRISON                      </t>
  </si>
  <si>
    <t xml:space="preserve">NEW HOLSTEIN                  </t>
  </si>
  <si>
    <t xml:space="preserve">RANTOUL                       </t>
  </si>
  <si>
    <t xml:space="preserve">STOCKBRIDGE                   </t>
  </si>
  <si>
    <t xml:space="preserve">WOODVILLE                     </t>
  </si>
  <si>
    <t xml:space="preserve">HILBERT                       </t>
  </si>
  <si>
    <t xml:space="preserve">POTTER                        </t>
  </si>
  <si>
    <t xml:space="preserve">SHERWOOD                      </t>
  </si>
  <si>
    <t xml:space="preserve">APPLETON                      </t>
  </si>
  <si>
    <t xml:space="preserve">KAUKAUNA                      </t>
  </si>
  <si>
    <t xml:space="preserve">KIEL                          </t>
  </si>
  <si>
    <t xml:space="preserve">MENASHA                       </t>
  </si>
  <si>
    <t xml:space="preserve">CALUMET                       </t>
  </si>
  <si>
    <t xml:space="preserve">ANSON                         </t>
  </si>
  <si>
    <t xml:space="preserve">ARTHUR                        </t>
  </si>
  <si>
    <t xml:space="preserve">AUBURN                        </t>
  </si>
  <si>
    <t xml:space="preserve">BIRCH CREEK                   </t>
  </si>
  <si>
    <t xml:space="preserve">BLOOMER                       </t>
  </si>
  <si>
    <t xml:space="preserve">CLEVELAND                     </t>
  </si>
  <si>
    <t xml:space="preserve">COOKS VALLEY                  </t>
  </si>
  <si>
    <t xml:space="preserve">DELMAR                        </t>
  </si>
  <si>
    <t xml:space="preserve">EAGLE POINT                   </t>
  </si>
  <si>
    <t xml:space="preserve">EDSON                         </t>
  </si>
  <si>
    <t xml:space="preserve">ESTELLA                       </t>
  </si>
  <si>
    <t xml:space="preserve">GOETZ                         </t>
  </si>
  <si>
    <t xml:space="preserve">HALLIE                        </t>
  </si>
  <si>
    <t xml:space="preserve">LAFAYETTE                     </t>
  </si>
  <si>
    <t xml:space="preserve">LAKE HOLCOMBE                 </t>
  </si>
  <si>
    <t xml:space="preserve">RUBY                          </t>
  </si>
  <si>
    <t xml:space="preserve">SAMPSON                       </t>
  </si>
  <si>
    <t xml:space="preserve">SIGEL                         </t>
  </si>
  <si>
    <t xml:space="preserve">TILDEN                        </t>
  </si>
  <si>
    <t xml:space="preserve">WHEATON                       </t>
  </si>
  <si>
    <t xml:space="preserve">WOODMOHR                      </t>
  </si>
  <si>
    <t xml:space="preserve">BOYD                          </t>
  </si>
  <si>
    <t xml:space="preserve">CADOTT                        </t>
  </si>
  <si>
    <t xml:space="preserve">LAKE HALLIE                   </t>
  </si>
  <si>
    <t xml:space="preserve">CHIPPEWA FALLS                </t>
  </si>
  <si>
    <t xml:space="preserve">CORNELL                       </t>
  </si>
  <si>
    <t xml:space="preserve">EAU CLAIRE                    </t>
  </si>
  <si>
    <t xml:space="preserve">BEAVER                        </t>
  </si>
  <si>
    <t xml:space="preserve">BUTLER                        </t>
  </si>
  <si>
    <t xml:space="preserve">COLBY                         </t>
  </si>
  <si>
    <t xml:space="preserve">DEWHURST                      </t>
  </si>
  <si>
    <t xml:space="preserve">FOSTER                        </t>
  </si>
  <si>
    <t xml:space="preserve">FREMONT                       </t>
  </si>
  <si>
    <t xml:space="preserve">GRANT                         </t>
  </si>
  <si>
    <t xml:space="preserve">GREEN GROVE                   </t>
  </si>
  <si>
    <t xml:space="preserve">HENDREN                       </t>
  </si>
  <si>
    <t xml:space="preserve">HEWETT                        </t>
  </si>
  <si>
    <t xml:space="preserve">HIXON                         </t>
  </si>
  <si>
    <t xml:space="preserve">HOARD                         </t>
  </si>
  <si>
    <t xml:space="preserve">LEVIS                         </t>
  </si>
  <si>
    <t xml:space="preserve">LONGWOOD                      </t>
  </si>
  <si>
    <t xml:space="preserve">LOYAL                         </t>
  </si>
  <si>
    <t xml:space="preserve">LYNN                          </t>
  </si>
  <si>
    <t xml:space="preserve">MAYVILLE                      </t>
  </si>
  <si>
    <t xml:space="preserve">MEAD                          </t>
  </si>
  <si>
    <t xml:space="preserve">MENTOR                        </t>
  </si>
  <si>
    <t xml:space="preserve">PINE VALLEY                   </t>
  </si>
  <si>
    <t xml:space="preserve">RESEBURG                      </t>
  </si>
  <si>
    <t xml:space="preserve">SEIF                          </t>
  </si>
  <si>
    <t xml:space="preserve">SHERMAN                       </t>
  </si>
  <si>
    <t xml:space="preserve">THORP                         </t>
  </si>
  <si>
    <t xml:space="preserve">UNITY                         </t>
  </si>
  <si>
    <t xml:space="preserve">WARNER                        </t>
  </si>
  <si>
    <t xml:space="preserve">WESTON                        </t>
  </si>
  <si>
    <t xml:space="preserve">WITHEE                        </t>
  </si>
  <si>
    <t xml:space="preserve">WORDEN                        </t>
  </si>
  <si>
    <t xml:space="preserve">YORK                          </t>
  </si>
  <si>
    <t xml:space="preserve">CURTISS                       </t>
  </si>
  <si>
    <t xml:space="preserve">DORCHESTER                    </t>
  </si>
  <si>
    <t xml:space="preserve">GRANTON                       </t>
  </si>
  <si>
    <t xml:space="preserve">ABBOTSFORD                    </t>
  </si>
  <si>
    <t xml:space="preserve">GREENWOOD                     </t>
  </si>
  <si>
    <t xml:space="preserve">NEILLSVILLE                   </t>
  </si>
  <si>
    <t xml:space="preserve">OWEN                          </t>
  </si>
  <si>
    <t xml:space="preserve">CLARK                         </t>
  </si>
  <si>
    <t xml:space="preserve">ARLINGTON                     </t>
  </si>
  <si>
    <t xml:space="preserve">CALEDONIA                     </t>
  </si>
  <si>
    <t xml:space="preserve">COLUMBUS                      </t>
  </si>
  <si>
    <t xml:space="preserve">COURTLAND                     </t>
  </si>
  <si>
    <t xml:space="preserve">DEKORRA                       </t>
  </si>
  <si>
    <t xml:space="preserve">FORT WINNEBAGO                </t>
  </si>
  <si>
    <t xml:space="preserve">FOUNTAIN PRAIRIE              </t>
  </si>
  <si>
    <t xml:space="preserve">HAMPDEN                       </t>
  </si>
  <si>
    <t xml:space="preserve">LEEDS                         </t>
  </si>
  <si>
    <t xml:space="preserve">LEWISTON                      </t>
  </si>
  <si>
    <t xml:space="preserve">LODI                          </t>
  </si>
  <si>
    <t xml:space="preserve">LOWVILLE                      </t>
  </si>
  <si>
    <t xml:space="preserve">MARCELLON                     </t>
  </si>
  <si>
    <t xml:space="preserve">NEWPORT                       </t>
  </si>
  <si>
    <t xml:space="preserve">OTSEGO                        </t>
  </si>
  <si>
    <t xml:space="preserve">PACIFIC                       </t>
  </si>
  <si>
    <t xml:space="preserve">RANDOLPH                      </t>
  </si>
  <si>
    <t xml:space="preserve">SPRINGVALE                    </t>
  </si>
  <si>
    <t xml:space="preserve">WEST POINT                    </t>
  </si>
  <si>
    <t xml:space="preserve">WYOCENA                       </t>
  </si>
  <si>
    <t xml:space="preserve">CAMBRIA                       </t>
  </si>
  <si>
    <t xml:space="preserve">DOYLESTOWN                    </t>
  </si>
  <si>
    <t xml:space="preserve">FALL RIVER                    </t>
  </si>
  <si>
    <t xml:space="preserve">FRIESLAND                     </t>
  </si>
  <si>
    <t xml:space="preserve">PARDEEVILLE                   </t>
  </si>
  <si>
    <t xml:space="preserve">POYNETTE                      </t>
  </si>
  <si>
    <t xml:space="preserve">RIO                           </t>
  </si>
  <si>
    <t xml:space="preserve">PORTAGE                       </t>
  </si>
  <si>
    <t xml:space="preserve">COLUMBIA                      </t>
  </si>
  <si>
    <t xml:space="preserve">BRIDGEPORT                    </t>
  </si>
  <si>
    <t xml:space="preserve">CLAYTON                       </t>
  </si>
  <si>
    <t xml:space="preserve">EASTMAN                       </t>
  </si>
  <si>
    <t xml:space="preserve">FREEMAN                       </t>
  </si>
  <si>
    <t xml:space="preserve">HANEY                         </t>
  </si>
  <si>
    <t xml:space="preserve">MARIETTA                      </t>
  </si>
  <si>
    <t xml:space="preserve">PRAIRIE DU CHIEN              </t>
  </si>
  <si>
    <t xml:space="preserve">SENECA                        </t>
  </si>
  <si>
    <t xml:space="preserve">UTICA                         </t>
  </si>
  <si>
    <t xml:space="preserve">WAUZEKA                       </t>
  </si>
  <si>
    <t xml:space="preserve">BELL CENTER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</si>
  <si>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</si>
  <si>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</si>
  <si>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</si>
  <si>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LYNXVILLE                     </t>
  </si>
  <si>
    <t xml:space="preserve">MOUNT STERLING                </t>
  </si>
  <si>
    <t xml:space="preserve">SOLDIERS GROVE                </t>
  </si>
  <si>
    <t xml:space="preserve">STEUBEN                       </t>
  </si>
  <si>
    <t xml:space="preserve">CRAWFORD                      </t>
  </si>
  <si>
    <t xml:space="preserve">ALBION                        </t>
  </si>
  <si>
    <t xml:space="preserve">BERRY                         </t>
  </si>
  <si>
    <t xml:space="preserve">BLACK EARTH                   </t>
  </si>
  <si>
    <t xml:space="preserve">BLOOMING GROVE                </t>
  </si>
  <si>
    <t xml:space="preserve">BLUE MOUNDS                   </t>
  </si>
  <si>
    <t xml:space="preserve">BRISTOL                       </t>
  </si>
  <si>
    <t xml:space="preserve">BURKE                         </t>
  </si>
  <si>
    <t xml:space="preserve">CHRISTIANA                    </t>
  </si>
  <si>
    <t xml:space="preserve">COTTAGE GROVE                 </t>
  </si>
  <si>
    <t xml:space="preserve">CROSS PLAINS                  </t>
  </si>
  <si>
    <t xml:space="preserve">DANE                          </t>
  </si>
  <si>
    <t xml:space="preserve">DEERFIELD                     </t>
  </si>
  <si>
    <t xml:space="preserve">DUNKIRK                       </t>
  </si>
  <si>
    <t xml:space="preserve">DUNN                          </t>
  </si>
  <si>
    <t xml:space="preserve">MADISON                       </t>
  </si>
  <si>
    <t xml:space="preserve">MAZOMANIE                     </t>
  </si>
  <si>
    <t xml:space="preserve">MEDINA                        </t>
  </si>
  <si>
    <t xml:space="preserve">MIDDLETON                     </t>
  </si>
  <si>
    <t xml:space="preserve">MONTROSE                      </t>
  </si>
  <si>
    <t xml:space="preserve">OREGON                        </t>
  </si>
  <si>
    <t xml:space="preserve">PERRY                         </t>
  </si>
  <si>
    <t xml:space="preserve">PLEASANT SPRINGS              </t>
  </si>
  <si>
    <t xml:space="preserve">PRIMROSE                      </t>
  </si>
  <si>
    <t xml:space="preserve">ROXBURY                       </t>
  </si>
  <si>
    <t xml:space="preserve">RUTLAND                       </t>
  </si>
  <si>
    <t xml:space="preserve">SPRINGDALE                    </t>
  </si>
  <si>
    <t xml:space="preserve">SPRINGFIELD                   </t>
  </si>
  <si>
    <t xml:space="preserve">SUN PRAIRIE                   </t>
  </si>
  <si>
    <t xml:space="preserve">VERMONT                       </t>
  </si>
  <si>
    <t xml:space="preserve">VERONA                        </t>
  </si>
  <si>
    <t xml:space="preserve">VIENNA                        </t>
  </si>
  <si>
    <t xml:space="preserve">WESTPORT                      </t>
  </si>
  <si>
    <t xml:space="preserve">BELLEVILLE                    </t>
  </si>
  <si>
    <t xml:space="preserve">BROOKLYN                      </t>
  </si>
  <si>
    <t xml:space="preserve">CAMBRIDGE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</si>
  <si>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</si>
  <si>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</si>
  <si>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</si>
  <si>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MCFARLAND                     </t>
  </si>
  <si>
    <t xml:space="preserve">MOUNT HOREB                   </t>
  </si>
  <si>
    <t xml:space="preserve">ROCKDALE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</si>
  <si>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</si>
  <si>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</si>
  <si>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</si>
  <si>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EDGERTON                      </t>
  </si>
  <si>
    <t xml:space="preserve">FITCHBURG                     </t>
  </si>
  <si>
    <t xml:space="preserve">MONONA                        </t>
  </si>
  <si>
    <t xml:space="preserve">STOUGHTON                     </t>
  </si>
  <si>
    <t xml:space="preserve">ASHIPPUN                      </t>
  </si>
  <si>
    <t xml:space="preserve">BEAVER DAM                    </t>
  </si>
  <si>
    <t xml:space="preserve">CALAMUS                       </t>
  </si>
  <si>
    <t xml:space="preserve">CHESTER                       </t>
  </si>
  <si>
    <t xml:space="preserve">CLYMAN                        </t>
  </si>
  <si>
    <t xml:space="preserve">ELBA                          </t>
  </si>
  <si>
    <t xml:space="preserve">EMMET                         </t>
  </si>
  <si>
    <t xml:space="preserve">FOX LAKE                      </t>
  </si>
  <si>
    <t xml:space="preserve">HERMAN                        </t>
  </si>
  <si>
    <t xml:space="preserve">HUBBARD                       </t>
  </si>
  <si>
    <t xml:space="preserve">HUSTISFORD                    </t>
  </si>
  <si>
    <t xml:space="preserve">LEBANON                       </t>
  </si>
  <si>
    <t xml:space="preserve">LEROY                         </t>
  </si>
  <si>
    <t xml:space="preserve">LOMIRA                        </t>
  </si>
  <si>
    <t xml:space="preserve">LOWELL                        </t>
  </si>
  <si>
    <t xml:space="preserve">PORTLAND                      </t>
  </si>
  <si>
    <t xml:space="preserve">RUBICON                       </t>
  </si>
  <si>
    <t xml:space="preserve">SHIELDS                       </t>
  </si>
  <si>
    <t xml:space="preserve">THERESA                       </t>
  </si>
  <si>
    <t xml:space="preserve">TRENTON                       </t>
  </si>
  <si>
    <t xml:space="preserve">WESTFORD                      </t>
  </si>
  <si>
    <t xml:space="preserve">BROWNSVILLE                   </t>
  </si>
  <si>
    <t xml:space="preserve">IRON RIDGE                    </t>
  </si>
  <si>
    <t xml:space="preserve">KEKOSKEE                      </t>
  </si>
  <si>
    <t xml:space="preserve">NEOSHO                        </t>
  </si>
  <si>
    <t xml:space="preserve">REESEVILLE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</si>
  <si>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</si>
  <si>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</si>
  <si>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</si>
  <si>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WATERTOWN                     </t>
  </si>
  <si>
    <t xml:space="preserve">WAUPUN                        </t>
  </si>
  <si>
    <t xml:space="preserve">DODGE                         </t>
  </si>
  <si>
    <t xml:space="preserve">BAILEYS HARBOR                </t>
  </si>
  <si>
    <t xml:space="preserve">BRUSSELS                      </t>
  </si>
  <si>
    <t xml:space="preserve">CLAY BANKS                    </t>
  </si>
  <si>
    <t xml:space="preserve">EGG HARBOR                    </t>
  </si>
  <si>
    <t xml:space="preserve">FORESTVILLE                   </t>
  </si>
  <si>
    <t xml:space="preserve">GARDNER                       </t>
  </si>
  <si>
    <t xml:space="preserve">GIBRALTAR                     </t>
  </si>
  <si>
    <t xml:space="preserve">JACKSONPORT                   </t>
  </si>
  <si>
    <t xml:space="preserve">LIBERTY GROVE                 </t>
  </si>
  <si>
    <t xml:space="preserve">NASEWAUPEE                    </t>
  </si>
  <si>
    <t xml:space="preserve">SEVASTOPOL                    </t>
  </si>
  <si>
    <t xml:space="preserve">STURGEON BAY                  </t>
  </si>
  <si>
    <t xml:space="preserve">WASHINGTON                    </t>
  </si>
  <si>
    <t xml:space="preserve">EPHRAIM                       </t>
  </si>
  <si>
    <t xml:space="preserve">SISTER BAY                    </t>
  </si>
  <si>
    <t xml:space="preserve">DOOR                          </t>
  </si>
  <si>
    <t xml:space="preserve">AMNICON                       </t>
  </si>
  <si>
    <t xml:space="preserve">BENNETT                       </t>
  </si>
  <si>
    <t xml:space="preserve">BRULE                         </t>
  </si>
  <si>
    <t xml:space="preserve">CLOVERLAND                    </t>
  </si>
  <si>
    <t xml:space="preserve">DAIRYLAND                     </t>
  </si>
  <si>
    <t xml:space="preserve">HAWTHORNE                     </t>
  </si>
  <si>
    <t xml:space="preserve">HIGHLAND                      </t>
  </si>
  <si>
    <t xml:space="preserve">LAKESIDE                      </t>
  </si>
  <si>
    <t xml:space="preserve">MAPLE                         </t>
  </si>
  <si>
    <t xml:space="preserve">PARKLAND                      </t>
  </si>
  <si>
    <t xml:space="preserve">SOLON SPRINGS                 </t>
  </si>
  <si>
    <t xml:space="preserve">SUMMIT                        </t>
  </si>
  <si>
    <t xml:space="preserve">SUPERIOR                      </t>
  </si>
  <si>
    <t xml:space="preserve">WASCOTT                       </t>
  </si>
  <si>
    <t xml:space="preserve">LAKE NEBAGAMON                </t>
  </si>
  <si>
    <t xml:space="preserve">OLIVER                        </t>
  </si>
  <si>
    <t xml:space="preserve">POPLAR                        </t>
  </si>
  <si>
    <t xml:space="preserve">DOUGLAS                       </t>
  </si>
  <si>
    <t xml:space="preserve">COLFAX                        </t>
  </si>
  <si>
    <t xml:space="preserve">EAU GALLE                     </t>
  </si>
  <si>
    <t xml:space="preserve">ELK MOUND                     </t>
  </si>
  <si>
    <t xml:space="preserve">HAY RIVER                     </t>
  </si>
  <si>
    <t xml:space="preserve">LUCAS                         </t>
  </si>
  <si>
    <t xml:space="preserve">MENOMONIE                     </t>
  </si>
  <si>
    <t xml:space="preserve">OTTER CREEK                   </t>
  </si>
  <si>
    <t xml:space="preserve">PERU                          </t>
  </si>
  <si>
    <t xml:space="preserve">RED CEDAR                     </t>
  </si>
  <si>
    <t xml:space="preserve">ROCK CREEK                    </t>
  </si>
  <si>
    <t xml:space="preserve">SAND CREEK                    </t>
  </si>
  <si>
    <t xml:space="preserve">SHERIDAN                      </t>
  </si>
  <si>
    <t xml:space="preserve">SPRING BROOK                  </t>
  </si>
  <si>
    <t xml:space="preserve">STANTON                       </t>
  </si>
  <si>
    <t xml:space="preserve">TAINTER                       </t>
  </si>
  <si>
    <t xml:space="preserve">TIFFANY                       </t>
  </si>
  <si>
    <t xml:space="preserve">WILSON                        </t>
  </si>
  <si>
    <t xml:space="preserve">BOYCEVILLE                    </t>
  </si>
  <si>
    <t xml:space="preserve">DOWNING                       </t>
  </si>
  <si>
    <t xml:space="preserve">KNAPP                         </t>
  </si>
  <si>
    <t xml:space="preserve">RIDGELAND                     </t>
  </si>
  <si>
    <t xml:space="preserve">WHEELER                       </t>
  </si>
  <si>
    <t xml:space="preserve">BRIDGE CREEK                  </t>
  </si>
  <si>
    <t xml:space="preserve">BRUNSWICK                     </t>
  </si>
  <si>
    <t xml:space="preserve">CLEAR CREEK                   </t>
  </si>
  <si>
    <t xml:space="preserve">DRAMMEN                       </t>
  </si>
  <si>
    <t xml:space="preserve">FAIRCHILD                     </t>
  </si>
  <si>
    <t xml:space="preserve">LUDINGTON                     </t>
  </si>
  <si>
    <t xml:space="preserve">PLEASANT VALLEY               </t>
  </si>
  <si>
    <t xml:space="preserve">SEYMOUR  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</si>
  <si>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</si>
  <si>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</si>
  <si>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</si>
  <si>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AURORA                        </t>
  </si>
  <si>
    <t xml:space="preserve">COMMONWEALTH                  </t>
  </si>
  <si>
    <t xml:space="preserve">FENCE                         </t>
  </si>
  <si>
    <t xml:space="preserve">FERN                          </t>
  </si>
  <si>
    <t xml:space="preserve">FLORENCE                      </t>
  </si>
  <si>
    <t xml:space="preserve">HOMESTEAD                     </t>
  </si>
  <si>
    <t xml:space="preserve">LONG LAKE                     </t>
  </si>
  <si>
    <t xml:space="preserve">TIPLER                        </t>
  </si>
  <si>
    <t xml:space="preserve">ALTO                          </t>
  </si>
  <si>
    <t xml:space="preserve">ASHFORD                       </t>
  </si>
  <si>
    <t xml:space="preserve">BYRON                         </t>
  </si>
  <si>
    <t xml:space="preserve">EDEN                          </t>
  </si>
  <si>
    <t xml:space="preserve">ELDORADO                      </t>
  </si>
  <si>
    <t xml:space="preserve">EMPIRE                        </t>
  </si>
  <si>
    <t xml:space="preserve">FOND DU LAC                   </t>
  </si>
  <si>
    <t xml:space="preserve">FOREST                        </t>
  </si>
  <si>
    <t xml:space="preserve">LAMARTINE                     </t>
  </si>
  <si>
    <t xml:space="preserve">MARSHFIELD                    </t>
  </si>
  <si>
    <t xml:space="preserve">METOMEN                       </t>
  </si>
  <si>
    <t xml:space="preserve">OAKFIELD                      </t>
  </si>
  <si>
    <t xml:space="preserve">OSCEOLA                       </t>
  </si>
  <si>
    <t xml:space="preserve">RIPON                         </t>
  </si>
  <si>
    <t xml:space="preserve">ROSENDALE                     </t>
  </si>
  <si>
    <t xml:space="preserve">TAYCHEEDAH                    </t>
  </si>
  <si>
    <t xml:space="preserve">BRANDON                       </t>
  </si>
  <si>
    <t xml:space="preserve">CAMPBELLSPORT                 </t>
  </si>
  <si>
    <t xml:space="preserve">FAIRWATER                     </t>
  </si>
  <si>
    <t xml:space="preserve">KEWASKUM                      </t>
  </si>
  <si>
    <t xml:space="preserve">MOUNT CALVARY                 </t>
  </si>
  <si>
    <t xml:space="preserve">NORTH FOND DU LAC             </t>
  </si>
  <si>
    <t xml:space="preserve">SAINT CLOUD                   </t>
  </si>
  <si>
    <t xml:space="preserve">ALVIN                         </t>
  </si>
  <si>
    <t xml:space="preserve">ARGONNE                       </t>
  </si>
  <si>
    <t xml:space="preserve">ARMSTRONG CREEK               </t>
  </si>
  <si>
    <t xml:space="preserve">BLACKWELL                     </t>
  </si>
  <si>
    <t xml:space="preserve">CASWELL                       </t>
  </si>
  <si>
    <t xml:space="preserve">CRANDON                       </t>
  </si>
  <si>
    <t xml:space="preserve">FREEDOM                       </t>
  </si>
  <si>
    <t xml:space="preserve">HILES                         </t>
  </si>
  <si>
    <t xml:space="preserve">LAONA                         </t>
  </si>
  <si>
    <t xml:space="preserve">NASHVILLE                     </t>
  </si>
  <si>
    <t xml:space="preserve">POPPLE RIVER                  </t>
  </si>
  <si>
    <t xml:space="preserve">ROSS                          </t>
  </si>
  <si>
    <t xml:space="preserve">WABENO                        </t>
  </si>
  <si>
    <t xml:space="preserve">BEETOWN                       </t>
  </si>
  <si>
    <t xml:space="preserve">BLOOMINGTON                   </t>
  </si>
  <si>
    <t xml:space="preserve">BOSCOBEL                      </t>
  </si>
  <si>
    <t xml:space="preserve">CASSVILLE                     </t>
  </si>
  <si>
    <t xml:space="preserve">CASTLE ROCK                   </t>
  </si>
  <si>
    <t xml:space="preserve">CLIFTON                       </t>
  </si>
  <si>
    <t xml:space="preserve">ELLENBORO                     </t>
  </si>
  <si>
    <t xml:space="preserve">FENNIMORE                     </t>
  </si>
  <si>
    <t xml:space="preserve">GLEN HAVEN                    </t>
  </si>
  <si>
    <t xml:space="preserve">HAZEL GREEN                   </t>
  </si>
  <si>
    <t xml:space="preserve">HICKORY GROVE                 </t>
  </si>
  <si>
    <t xml:space="preserve">JAMESTOWN                     </t>
  </si>
  <si>
    <t xml:space="preserve">LIBERTY                       </t>
  </si>
  <si>
    <t xml:space="preserve">LIMA                          </t>
  </si>
  <si>
    <t xml:space="preserve">LITTLE GRANT                  </t>
  </si>
  <si>
    <t xml:space="preserve">MARION                        </t>
  </si>
  <si>
    <t xml:space="preserve">MILLVILLE                     </t>
  </si>
  <si>
    <t xml:space="preserve">MOUNT HOPE                    </t>
  </si>
  <si>
    <t xml:space="preserve">MOUNT IDA                     </t>
  </si>
  <si>
    <t xml:space="preserve">MUSCODA                       </t>
  </si>
  <si>
    <t xml:space="preserve">NORTH LANCASTER               </t>
  </si>
  <si>
    <t xml:space="preserve">PARIS                         </t>
  </si>
  <si>
    <t xml:space="preserve">PATCH GROVE                   </t>
  </si>
  <si>
    <t xml:space="preserve">PLATTEVILLE                   </t>
  </si>
  <si>
    <t xml:space="preserve">POTOSI                        </t>
  </si>
  <si>
    <t xml:space="preserve">SMELSER                       </t>
  </si>
  <si>
    <t xml:space="preserve">SOUTH LANCASTER               </t>
  </si>
  <si>
    <t xml:space="preserve">WATERLOO                      </t>
  </si>
  <si>
    <t xml:space="preserve">WATTERSTOWN                   </t>
  </si>
  <si>
    <t xml:space="preserve">WINGVILLE                     </t>
  </si>
  <si>
    <t xml:space="preserve">WOODMAN                       </t>
  </si>
  <si>
    <t xml:space="preserve">WYALUSING                     </t>
  </si>
  <si>
    <t xml:space="preserve">BAGLEY                        </t>
  </si>
  <si>
    <t xml:space="preserve">BLUE RIVER                    </t>
  </si>
  <si>
    <t xml:space="preserve">DICKEYVILLE                   </t>
  </si>
  <si>
    <t xml:space="preserve">LIVINGSTON                    </t>
  </si>
  <si>
    <t xml:space="preserve">MONTFORT                      </t>
  </si>
  <si>
    <t xml:space="preserve">TENNYSON                      </t>
  </si>
  <si>
    <t xml:space="preserve">CUBA CITY                     </t>
  </si>
  <si>
    <t xml:space="preserve">LANCASTER                     </t>
  </si>
  <si>
    <t xml:space="preserve">ALBANY                        </t>
  </si>
  <si>
    <t xml:space="preserve">CADIZ                         </t>
  </si>
  <si>
    <t xml:space="preserve">CLARNO                        </t>
  </si>
  <si>
    <t xml:space="preserve">DECATUR                       </t>
  </si>
  <si>
    <t xml:space="preserve">EXETER                        </t>
  </si>
  <si>
    <t xml:space="preserve">JEFFERSON                     </t>
  </si>
  <si>
    <t xml:space="preserve">JORDAN                        </t>
  </si>
  <si>
    <t xml:space="preserve">MOUNT PLEASANT                </t>
  </si>
  <si>
    <t xml:space="preserve">NEW GLARUS                    </t>
  </si>
  <si>
    <t xml:space="preserve">SPRING GROVE                  </t>
  </si>
  <si>
    <t xml:space="preserve">SYLVESTER                     </t>
  </si>
  <si>
    <t xml:space="preserve">BROWNTOWN                     </t>
  </si>
  <si>
    <t xml:space="preserve">MONTICELLO                    </t>
  </si>
  <si>
    <t xml:space="preserve">BRODHEAD                      </t>
  </si>
  <si>
    <t xml:space="preserve">GREEN                         </t>
  </si>
  <si>
    <t xml:space="preserve">BERLIN                        </t>
  </si>
  <si>
    <t xml:space="preserve">GREEN LAKE                    </t>
  </si>
  <si>
    <t xml:space="preserve">KINGSTON                      </t>
  </si>
  <si>
    <t xml:space="preserve">MACKFORD                      </t>
  </si>
  <si>
    <t xml:space="preserve">MANCHESTER                    </t>
  </si>
  <si>
    <t xml:space="preserve">MARQUETTE                     </t>
  </si>
  <si>
    <t xml:space="preserve">PRINCETON                     </t>
  </si>
  <si>
    <t xml:space="preserve">SAINT MARIE                   </t>
  </si>
  <si>
    <t xml:space="preserve">MARKESAN                      </t>
  </si>
  <si>
    <t xml:space="preserve">ARENA                         </t>
  </si>
  <si>
    <t xml:space="preserve">BRIGHAM                       </t>
  </si>
  <si>
    <t xml:space="preserve">CLYDE                         </t>
  </si>
  <si>
    <t xml:space="preserve">DODGEVILLE                    </t>
  </si>
  <si>
    <t xml:space="preserve">LINDEN                        </t>
  </si>
  <si>
    <t xml:space="preserve">MIFFLIN                       </t>
  </si>
  <si>
    <t xml:space="preserve">MINERAL POINT                 </t>
  </si>
  <si>
    <t xml:space="preserve">MOSCOW                        </t>
  </si>
  <si>
    <t xml:space="preserve">RIDGEWAY                      </t>
  </si>
  <si>
    <t xml:space="preserve">WALDWICK                      </t>
  </si>
  <si>
    <t xml:space="preserve">WYOMING                       </t>
  </si>
  <si>
    <t xml:space="preserve">AVOCA                         </t>
  </si>
  <si>
    <t xml:space="preserve">BARNEVELD                     </t>
  </si>
  <si>
    <t xml:space="preserve">BLANCHARDVILLE                </t>
  </si>
  <si>
    <t xml:space="preserve">COBB                          </t>
  </si>
  <si>
    <t xml:space="preserve">HOLLANDALE                    </t>
  </si>
  <si>
    <t xml:space="preserve">REWEY                         </t>
  </si>
  <si>
    <t xml:space="preserve">IOWA                          </t>
  </si>
  <si>
    <t xml:space="preserve">CAREY                         </t>
  </si>
  <si>
    <t xml:space="preserve">GURNEY                        </t>
  </si>
  <si>
    <t xml:space="preserve">KIMBALL                       </t>
  </si>
  <si>
    <t xml:space="preserve">KNIGHT                        </t>
  </si>
  <si>
    <t xml:space="preserve">MERCER                        </t>
  </si>
  <si>
    <t xml:space="preserve">OMA                           </t>
  </si>
  <si>
    <t xml:space="preserve">PENCE                         </t>
  </si>
  <si>
    <t xml:space="preserve">SAXON                         </t>
  </si>
  <si>
    <t xml:space="preserve">HURLEY                        </t>
  </si>
  <si>
    <t xml:space="preserve">MONTREAL                      </t>
  </si>
  <si>
    <t xml:space="preserve">IRON                          </t>
  </si>
  <si>
    <t xml:space="preserve">BEAR BLUFF                    </t>
  </si>
  <si>
    <t xml:space="preserve">BROCKWAY                      </t>
  </si>
  <si>
    <t xml:space="preserve">CITY POINT                    </t>
  </si>
  <si>
    <t xml:space="preserve">CURRAN                        </t>
  </si>
  <si>
    <t xml:space="preserve">FRANKLIN                      </t>
  </si>
  <si>
    <t xml:space="preserve">GARDEN VALLEY                 </t>
  </si>
  <si>
    <t xml:space="preserve">GARFIELD                      </t>
  </si>
  <si>
    <t xml:space="preserve">HIXTON                        </t>
  </si>
  <si>
    <t xml:space="preserve">IRVING                        </t>
  </si>
  <si>
    <t xml:space="preserve">KOMENSKY                      </t>
  </si>
  <si>
    <t xml:space="preserve">MELROSE                       </t>
  </si>
  <si>
    <t xml:space="preserve">MILLSTON                      </t>
  </si>
  <si>
    <t xml:space="preserve">NORTH BEND                    </t>
  </si>
  <si>
    <t xml:space="preserve">NORTHFIELD                    </t>
  </si>
  <si>
    <t xml:space="preserve">ALMA CENTER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</si>
  <si>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</si>
  <si>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</si>
  <si>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</si>
  <si>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AZTALAN                       </t>
  </si>
  <si>
    <t xml:space="preserve">COLD SPRING                   </t>
  </si>
  <si>
    <t xml:space="preserve">CONCORD                       </t>
  </si>
  <si>
    <t xml:space="preserve">FARMINGTON                    </t>
  </si>
  <si>
    <t xml:space="preserve">HEBRON                        </t>
  </si>
  <si>
    <t xml:space="preserve">IXONIA                        </t>
  </si>
  <si>
    <t xml:space="preserve">KOSHKONONG                    </t>
  </si>
  <si>
    <t xml:space="preserve">LAKE MILLS                    </t>
  </si>
  <si>
    <t xml:space="preserve">MILFORD                       </t>
  </si>
  <si>
    <t xml:space="preserve">PALMYRA                       </t>
  </si>
  <si>
    <t xml:space="preserve">SULLIVAN                      </t>
  </si>
  <si>
    <t xml:space="preserve">JOHNSON CREEK                 </t>
  </si>
  <si>
    <t xml:space="preserve">LAC LA BELLE                  </t>
  </si>
  <si>
    <t xml:space="preserve">FORT ATKINSON                 </t>
  </si>
  <si>
    <t xml:space="preserve">WHITEWATER                    </t>
  </si>
  <si>
    <t xml:space="preserve">ARMENIA                       </t>
  </si>
  <si>
    <t xml:space="preserve">CLEARFIELD                    </t>
  </si>
  <si>
    <t xml:space="preserve">CUTLER                        </t>
  </si>
  <si>
    <t xml:space="preserve">FINLEY                        </t>
  </si>
  <si>
    <t xml:space="preserve">FOUNTAIN                      </t>
  </si>
  <si>
    <t xml:space="preserve">GERMANTOWN                    </t>
  </si>
  <si>
    <t xml:space="preserve">KILDARE                       </t>
  </si>
  <si>
    <t xml:space="preserve">LEMONWEIR                     </t>
  </si>
  <si>
    <t xml:space="preserve">LINDINA                       </t>
  </si>
  <si>
    <t xml:space="preserve">LISBON                        </t>
  </si>
  <si>
    <t xml:space="preserve">LYNDON                        </t>
  </si>
  <si>
    <t xml:space="preserve">NECEDAH                       </t>
  </si>
  <si>
    <t xml:space="preserve">ORANGE                        </t>
  </si>
  <si>
    <t xml:space="preserve">PLYMOUTH                      </t>
  </si>
  <si>
    <t xml:space="preserve">SEVEN MILE CREEK              </t>
  </si>
  <si>
    <t xml:space="preserve">WONEWOC                       </t>
  </si>
  <si>
    <t xml:space="preserve">CAMP DOUGLAS                  </t>
  </si>
  <si>
    <t xml:space="preserve">HUSTLER                       </t>
  </si>
  <si>
    <t xml:space="preserve">LYNDON STATION                </t>
  </si>
  <si>
    <t xml:space="preserve">UNION CENTER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</si>
  <si>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</si>
  <si>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</si>
  <si>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</si>
  <si>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BRIGHTON                      </t>
  </si>
  <si>
    <t xml:space="preserve">RANDALL                       </t>
  </si>
  <si>
    <t xml:space="preserve">SOMERS                        </t>
  </si>
  <si>
    <t xml:space="preserve">WHEATLAND                     </t>
  </si>
  <si>
    <t xml:space="preserve">GENOA CITY                    </t>
  </si>
  <si>
    <t xml:space="preserve">PADDOCK LAKE                  </t>
  </si>
  <si>
    <t xml:space="preserve">PLEASANT PRAIRIE              </t>
  </si>
  <si>
    <t xml:space="preserve">SALEM LAKES                   </t>
  </si>
  <si>
    <t xml:space="preserve">TWIN LAKES                    </t>
  </si>
  <si>
    <t xml:space="preserve">KENOSHA                       </t>
  </si>
  <si>
    <t xml:space="preserve">AHNAPEE                       </t>
  </si>
  <si>
    <t xml:space="preserve">CARLTON                       </t>
  </si>
  <si>
    <t xml:space="preserve">CASCO                         </t>
  </si>
  <si>
    <t xml:space="preserve">LUXEMBURG                     </t>
  </si>
  <si>
    <t xml:space="preserve">MONTPELIER                    </t>
  </si>
  <si>
    <t xml:space="preserve">PIERCE                        </t>
  </si>
  <si>
    <t xml:space="preserve">RED RIVER                     </t>
  </si>
  <si>
    <t xml:space="preserve">WEST KEWAUNEE                 </t>
  </si>
  <si>
    <t xml:space="preserve">ALGOMA                        </t>
  </si>
  <si>
    <t xml:space="preserve">KEWAUNEE                      </t>
  </si>
  <si>
    <t xml:space="preserve">BANGOR                        </t>
  </si>
  <si>
    <t xml:space="preserve">BARRE                         </t>
  </si>
  <si>
    <t xml:space="preserve">BURNS                         </t>
  </si>
  <si>
    <t xml:space="preserve">CAMPBELL                      </t>
  </si>
  <si>
    <t xml:space="preserve">GREENFIELD                    </t>
  </si>
  <si>
    <t xml:space="preserve">HAMILTON                      </t>
  </si>
  <si>
    <t xml:space="preserve">MEDARY                        </t>
  </si>
  <si>
    <t xml:space="preserve">ONALASKA                      </t>
  </si>
  <si>
    <t xml:space="preserve">SHELBY                        </t>
  </si>
  <si>
    <t xml:space="preserve">HOLMEN                        </t>
  </si>
  <si>
    <t xml:space="preserve">WEST SALEM                    </t>
  </si>
  <si>
    <t xml:space="preserve">LA CROSSE                     </t>
  </si>
  <si>
    <t xml:space="preserve">ARGYLE                        </t>
  </si>
  <si>
    <t xml:space="preserve">BELMONT                       </t>
  </si>
  <si>
    <t xml:space="preserve">BENTON                        </t>
  </si>
  <si>
    <t xml:space="preserve">BLANCHARD                     </t>
  </si>
  <si>
    <t xml:space="preserve">DARLINGTON                    </t>
  </si>
  <si>
    <t xml:space="preserve">ELK GROVE                     </t>
  </si>
  <si>
    <t xml:space="preserve">FAYETTE                       </t>
  </si>
  <si>
    <t xml:space="preserve">GRATIOT                       </t>
  </si>
  <si>
    <t xml:space="preserve">KENDALL                       </t>
  </si>
  <si>
    <t xml:space="preserve">LAMONT                        </t>
  </si>
  <si>
    <t xml:space="preserve">NEW DIGGINGS                  </t>
  </si>
  <si>
    <t xml:space="preserve">SHULLSBURG                    </t>
  </si>
  <si>
    <t xml:space="preserve">WAYNE                         </t>
  </si>
  <si>
    <t xml:space="preserve">WHITE OAK SPRINGS             </t>
  </si>
  <si>
    <t xml:space="preserve">WILLOW SPRINGS                </t>
  </si>
  <si>
    <t xml:space="preserve">WIOTA                         </t>
  </si>
  <si>
    <t xml:space="preserve">SOUTH WAYNE                   </t>
  </si>
  <si>
    <t xml:space="preserve">ACKLEY                        </t>
  </si>
  <si>
    <t xml:space="preserve">AINSWORTH                     </t>
  </si>
  <si>
    <t xml:space="preserve">ANTIGO                        </t>
  </si>
  <si>
    <t xml:space="preserve">ELCHO                         </t>
  </si>
  <si>
    <t xml:space="preserve">EVERGREEN                     </t>
  </si>
  <si>
    <t xml:space="preserve">LANGLADE                      </t>
  </si>
  <si>
    <t xml:space="preserve">NEVA                          </t>
  </si>
  <si>
    <t xml:space="preserve">NORWOOD                       </t>
  </si>
  <si>
    <t xml:space="preserve">PARRISH                       </t>
  </si>
  <si>
    <t xml:space="preserve">PECK                          </t>
  </si>
  <si>
    <t xml:space="preserve">POLAR                         </t>
  </si>
  <si>
    <t xml:space="preserve">PRICE                         </t>
  </si>
  <si>
    <t xml:space="preserve">ROLLING                       </t>
  </si>
  <si>
    <t xml:space="preserve">UPHAM                         </t>
  </si>
  <si>
    <t xml:space="preserve">VILAS                         </t>
  </si>
  <si>
    <t xml:space="preserve">WOLF RIVER                    </t>
  </si>
  <si>
    <t xml:space="preserve">WHITE LAKE                    </t>
  </si>
  <si>
    <t xml:space="preserve">BIRCH                         </t>
  </si>
  <si>
    <t xml:space="preserve">BRADLEY                       </t>
  </si>
  <si>
    <t xml:space="preserve">CORNING                       </t>
  </si>
  <si>
    <t xml:space="preserve">HARDING                       </t>
  </si>
  <si>
    <t xml:space="preserve">KING                          </t>
  </si>
  <si>
    <t xml:space="preserve">MERRILL                       </t>
  </si>
  <si>
    <t xml:space="preserve">PINE RIVER                    </t>
  </si>
  <si>
    <t xml:space="preserve">ROCK FALLS                    </t>
  </si>
  <si>
    <t xml:space="preserve">SCHLEY                        </t>
  </si>
  <si>
    <t xml:space="preserve">SKANAWAN                      </t>
  </si>
  <si>
    <t xml:space="preserve">SOMO                          </t>
  </si>
  <si>
    <t xml:space="preserve">TOMAHAWK                      </t>
  </si>
  <si>
    <t xml:space="preserve">CATO                          </t>
  </si>
  <si>
    <t xml:space="preserve">CENTERVILLE                   </t>
  </si>
  <si>
    <t xml:space="preserve">COOPERSTOWN                   </t>
  </si>
  <si>
    <t xml:space="preserve">GIBSON                        </t>
  </si>
  <si>
    <t xml:space="preserve">KOSSUTH                       </t>
  </si>
  <si>
    <t xml:space="preserve">MANITOWOC                     </t>
  </si>
  <si>
    <t xml:space="preserve">MANITOWOC RAPIDS              </t>
  </si>
  <si>
    <t xml:space="preserve">MEEME                         </t>
  </si>
  <si>
    <t xml:space="preserve">MISHICOT                      </t>
  </si>
  <si>
    <t xml:space="preserve">NEWTON                        </t>
  </si>
  <si>
    <t xml:space="preserve">SCHLESWIG                     </t>
  </si>
  <si>
    <t xml:space="preserve">TWO CREEKS                    </t>
  </si>
  <si>
    <t xml:space="preserve">TWO RIVERS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</si>
  <si>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</si>
  <si>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</si>
  <si>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</si>
  <si>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REEDSVILLE                    </t>
  </si>
  <si>
    <t xml:space="preserve">SAINT NAZIANZ                 </t>
  </si>
  <si>
    <t xml:space="preserve">VALDERS                       </t>
  </si>
  <si>
    <t xml:space="preserve">WHITELAW                      </t>
  </si>
  <si>
    <t xml:space="preserve">BERGEN                        </t>
  </si>
  <si>
    <t xml:space="preserve">BERN                          </t>
  </si>
  <si>
    <t xml:space="preserve">BEVENT                        </t>
  </si>
  <si>
    <t xml:space="preserve">CASSEL                        </t>
  </si>
  <si>
    <t xml:space="preserve">DAY                           </t>
  </si>
  <si>
    <t xml:space="preserve">EAU PLEINE                    </t>
  </si>
  <si>
    <t xml:space="preserve">ELDERON                       </t>
  </si>
  <si>
    <t xml:space="preserve">FRANKFORT                     </t>
  </si>
  <si>
    <t xml:space="preserve">FRANZEN                       </t>
  </si>
  <si>
    <t xml:space="preserve">GREEN VALLEY                  </t>
  </si>
  <si>
    <t xml:space="preserve">GUENTHER                      </t>
  </si>
  <si>
    <t xml:space="preserve">HALSEY                        </t>
  </si>
  <si>
    <t xml:space="preserve">HAMBURG                       </t>
  </si>
  <si>
    <t xml:space="preserve">HEWITT                        </t>
  </si>
  <si>
    <t xml:space="preserve">HOLTON                        </t>
  </si>
  <si>
    <t xml:space="preserve">HULL                          </t>
  </si>
  <si>
    <t xml:space="preserve">JOHNSON                       </t>
  </si>
  <si>
    <t xml:space="preserve">KNOWLTON                      </t>
  </si>
  <si>
    <t xml:space="preserve">MARATHON                      </t>
  </si>
  <si>
    <t xml:space="preserve">MCMILLAN                      </t>
  </si>
  <si>
    <t xml:space="preserve">MOSINEE                       </t>
  </si>
  <si>
    <t xml:space="preserve">NORRIE                        </t>
  </si>
  <si>
    <t xml:space="preserve">PLOVER                        </t>
  </si>
  <si>
    <t xml:space="preserve">REID                          </t>
  </si>
  <si>
    <t xml:space="preserve">RIB FALLS                     </t>
  </si>
  <si>
    <t xml:space="preserve">RIB MOUNTAIN                  </t>
  </si>
  <si>
    <t xml:space="preserve">RIETBROCK                     </t>
  </si>
  <si>
    <t xml:space="preserve">RINGLE                        </t>
  </si>
  <si>
    <t xml:space="preserve">SPENCER                       </t>
  </si>
  <si>
    <t xml:space="preserve">STETTIN                       </t>
  </si>
  <si>
    <t xml:space="preserve">TEXAS                         </t>
  </si>
  <si>
    <t xml:space="preserve">WAUSAU                        </t>
  </si>
  <si>
    <t xml:space="preserve">WIEN                          </t>
  </si>
  <si>
    <t xml:space="preserve">ATHENS                        </t>
  </si>
  <si>
    <t xml:space="preserve">BIRNAMWOOD                    </t>
  </si>
  <si>
    <t xml:space="preserve">EDGAR                         </t>
  </si>
  <si>
    <t xml:space="preserve">FENWOOD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</si>
  <si>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</si>
  <si>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</si>
  <si>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</si>
  <si>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</si>
  <si>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STRATFORD                     </t>
  </si>
  <si>
    <t xml:space="preserve">SCHOFIELD                     </t>
  </si>
  <si>
    <t xml:space="preserve">AMBERG                        </t>
  </si>
  <si>
    <t xml:space="preserve">ATHELSTANE                    </t>
  </si>
  <si>
    <t xml:space="preserve">BEECHER                       </t>
  </si>
  <si>
    <t xml:space="preserve">DUNBAR                        </t>
  </si>
  <si>
    <t xml:space="preserve">GOODMAN                       </t>
  </si>
  <si>
    <t xml:space="preserve">GROVER                        </t>
  </si>
  <si>
    <t xml:space="preserve">LAKE                          </t>
  </si>
  <si>
    <t xml:space="preserve">MIDDLE INLET                  </t>
  </si>
  <si>
    <t xml:space="preserve">NIAGARA                       </t>
  </si>
  <si>
    <t xml:space="preserve">PEMBINE                       </t>
  </si>
  <si>
    <t xml:space="preserve">PESHTIGO                      </t>
  </si>
  <si>
    <t xml:space="preserve">PORTERFIELD                   </t>
  </si>
  <si>
    <t xml:space="preserve">POUND                         </t>
  </si>
  <si>
    <t xml:space="preserve">SILVER CLIFF                  </t>
  </si>
  <si>
    <t xml:space="preserve">STEPHENSON                    </t>
  </si>
  <si>
    <t xml:space="preserve">WAGNER                        </t>
  </si>
  <si>
    <t xml:space="preserve">WAUSAUKEE                     </t>
  </si>
  <si>
    <t xml:space="preserve">COLEMAN                       </t>
  </si>
  <si>
    <t xml:space="preserve">CRIVITZ                       </t>
  </si>
  <si>
    <t xml:space="preserve">MARINETTE                     </t>
  </si>
  <si>
    <t xml:space="preserve">HARRIS                        </t>
  </si>
  <si>
    <t xml:space="preserve">MECAN                         </t>
  </si>
  <si>
    <t xml:space="preserve">MONTELLO                      </t>
  </si>
  <si>
    <t xml:space="preserve">MOUNDVILLE                    </t>
  </si>
  <si>
    <t xml:space="preserve">NESHKORO                      </t>
  </si>
  <si>
    <t xml:space="preserve">OXFORD                        </t>
  </si>
  <si>
    <t xml:space="preserve">PACKWAUKEE                    </t>
  </si>
  <si>
    <t xml:space="preserve">WESTFIELD                     </t>
  </si>
  <si>
    <t xml:space="preserve">ENDEAVOR                      </t>
  </si>
  <si>
    <t xml:space="preserve">BAYSIDE                       </t>
  </si>
  <si>
    <t xml:space="preserve">BROWN DEER                    </t>
  </si>
  <si>
    <t xml:space="preserve">FOX POINT                     </t>
  </si>
  <si>
    <t xml:space="preserve">GREENDALE                     </t>
  </si>
  <si>
    <t xml:space="preserve">HALES CORNERS                 </t>
  </si>
  <si>
    <t xml:space="preserve">RIVER HILLS  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</si>
  <si>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</si>
  <si>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</si>
  <si>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</si>
  <si>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</si>
  <si>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GLENDALE                      </t>
  </si>
  <si>
    <t xml:space="preserve">MILWAUKEE 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</si>
  <si>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</si>
  <si>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</si>
  <si>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</si>
  <si>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</si>
  <si>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</si>
  <si>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ADRIAN                        </t>
  </si>
  <si>
    <t xml:space="preserve">ANGELO                        </t>
  </si>
  <si>
    <t xml:space="preserve">LA FAYETTE                    </t>
  </si>
  <si>
    <t xml:space="preserve">LA GRANGE                     </t>
  </si>
  <si>
    <t xml:space="preserve">LEON                          </t>
  </si>
  <si>
    <t xml:space="preserve">LITTLE FALLS                  </t>
  </si>
  <si>
    <t xml:space="preserve">NEW LYME                      </t>
  </si>
  <si>
    <t xml:space="preserve">OAKDALE                       </t>
  </si>
  <si>
    <t xml:space="preserve">RIDGEVILLE                    </t>
  </si>
  <si>
    <t xml:space="preserve">SHELDON                       </t>
  </si>
  <si>
    <t xml:space="preserve">SPARTA                        </t>
  </si>
  <si>
    <t xml:space="preserve">TOMAH                         </t>
  </si>
  <si>
    <t xml:space="preserve">WELLINGTON                    </t>
  </si>
  <si>
    <t xml:space="preserve">WELLS                         </t>
  </si>
  <si>
    <t xml:space="preserve">WILTON                        </t>
  </si>
  <si>
    <t xml:space="preserve">CASHTON                       </t>
  </si>
  <si>
    <t xml:space="preserve">MELVINA                       </t>
  </si>
  <si>
    <t xml:space="preserve">NORWALK                       </t>
  </si>
  <si>
    <t xml:space="preserve">ONTARIO                       </t>
  </si>
  <si>
    <t xml:space="preserve">WARRENS                       </t>
  </si>
  <si>
    <t xml:space="preserve">WYEVILLE                      </t>
  </si>
  <si>
    <t xml:space="preserve">ABRAMS                        </t>
  </si>
  <si>
    <t xml:space="preserve">BRAZEAU                       </t>
  </si>
  <si>
    <t xml:space="preserve">BREED                         </t>
  </si>
  <si>
    <t xml:space="preserve">CHASE                         </t>
  </si>
  <si>
    <t xml:space="preserve">DOTY                          </t>
  </si>
  <si>
    <t xml:space="preserve">GILLETT                       </t>
  </si>
  <si>
    <t xml:space="preserve">HOW                           </t>
  </si>
  <si>
    <t xml:space="preserve">LAKEWOOD                      </t>
  </si>
  <si>
    <t xml:space="preserve">LENA                          </t>
  </si>
  <si>
    <t xml:space="preserve">LITTLE RIVER                  </t>
  </si>
  <si>
    <t xml:space="preserve">LITTLE SUAMICO                </t>
  </si>
  <si>
    <t xml:space="preserve">MAPLE VALLEY                  </t>
  </si>
  <si>
    <t xml:space="preserve">MORGAN                        </t>
  </si>
  <si>
    <t xml:space="preserve">MOUNTAIN                      </t>
  </si>
  <si>
    <t xml:space="preserve">OCONTO                        </t>
  </si>
  <si>
    <t xml:space="preserve">OCONTO FALLS                  </t>
  </si>
  <si>
    <t xml:space="preserve">PENSAUKEE                     </t>
  </si>
  <si>
    <t xml:space="preserve">RIVERVIEW                     </t>
  </si>
  <si>
    <t xml:space="preserve">SPRUCE                        </t>
  </si>
  <si>
    <t xml:space="preserve">STILES                        </t>
  </si>
  <si>
    <t xml:space="preserve">TOWNSEND                      </t>
  </si>
  <si>
    <t xml:space="preserve">UNDERHILL                     </t>
  </si>
  <si>
    <t xml:space="preserve">SURING                        </t>
  </si>
  <si>
    <t xml:space="preserve">CASSIAN                       </t>
  </si>
  <si>
    <t xml:space="preserve">CRESCENT                      </t>
  </si>
  <si>
    <t xml:space="preserve">ENTERPRISE                    </t>
  </si>
  <si>
    <t xml:space="preserve">HAZELHURST                    </t>
  </si>
  <si>
    <t xml:space="preserve">LAKE TOMAHAWK                 </t>
  </si>
  <si>
    <t xml:space="preserve">LITTLE RICE                   </t>
  </si>
  <si>
    <t xml:space="preserve">LYNNE                         </t>
  </si>
  <si>
    <t xml:space="preserve">MINOCQUA                      </t>
  </si>
  <si>
    <t xml:space="preserve">MONICO                        </t>
  </si>
  <si>
    <t xml:space="preserve">NEWBOLD                       </t>
  </si>
  <si>
    <t xml:space="preserve">NOKOMIS                       </t>
  </si>
  <si>
    <t xml:space="preserve">PELICAN                       </t>
  </si>
  <si>
    <t xml:space="preserve">PIEHL                         </t>
  </si>
  <si>
    <t xml:space="preserve">PINE LAKE                     </t>
  </si>
  <si>
    <t xml:space="preserve">SCHOEPKE                      </t>
  </si>
  <si>
    <t xml:space="preserve">STELLA                        </t>
  </si>
  <si>
    <t xml:space="preserve">SUGAR CAMP                    </t>
  </si>
  <si>
    <t xml:space="preserve">THREE LAKES                   </t>
  </si>
  <si>
    <t xml:space="preserve">WOODBORO                      </t>
  </si>
  <si>
    <t xml:space="preserve">WOODRUFF                      </t>
  </si>
  <si>
    <t xml:space="preserve">RHINELANDER                   </t>
  </si>
  <si>
    <t xml:space="preserve">ONEIDA                        </t>
  </si>
  <si>
    <t xml:space="preserve">BLACK CREEK                   </t>
  </si>
  <si>
    <t xml:space="preserve">BOVINA                        </t>
  </si>
  <si>
    <t xml:space="preserve">BUCHANAN                      </t>
  </si>
  <si>
    <t xml:space="preserve">CENTER                        </t>
  </si>
  <si>
    <t xml:space="preserve">CICERO                        </t>
  </si>
  <si>
    <t xml:space="preserve">DALE                          </t>
  </si>
  <si>
    <t xml:space="preserve">DEER CREEK                    </t>
  </si>
  <si>
    <t xml:space="preserve">ELLINGTON                     </t>
  </si>
  <si>
    <t xml:space="preserve">GRAND CHUTE                   </t>
  </si>
  <si>
    <t xml:space="preserve">GREENVILLE                    </t>
  </si>
  <si>
    <t xml:space="preserve">HORTONIA                      </t>
  </si>
  <si>
    <t xml:space="preserve">MAPLE CREEK                   </t>
  </si>
  <si>
    <t xml:space="preserve">OSBORN                        </t>
  </si>
  <si>
    <t xml:space="preserve">VANDENBROEK                   </t>
  </si>
  <si>
    <t xml:space="preserve">BEAR CREEK                    </t>
  </si>
  <si>
    <t xml:space="preserve">COMBINED LOCKS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</si>
  <si>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</si>
  <si>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</si>
  <si>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</si>
  <si>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NICHOLS                       </t>
  </si>
  <si>
    <t xml:space="preserve">SHIOCTON                      </t>
  </si>
  <si>
    <t xml:space="preserve">NEW LONDON                    </t>
  </si>
  <si>
    <t xml:space="preserve">OUTAGAMIE                     </t>
  </si>
  <si>
    <t xml:space="preserve">BELGIUM                       </t>
  </si>
  <si>
    <t xml:space="preserve">CEDARBURG                     </t>
  </si>
  <si>
    <t xml:space="preserve">FREDONIA                      </t>
  </si>
  <si>
    <t xml:space="preserve">GRAFTON                       </t>
  </si>
  <si>
    <t xml:space="preserve">PORT WASHINGTON               </t>
  </si>
  <si>
    <t xml:space="preserve">SAUKVILLE                     </t>
  </si>
  <si>
    <t xml:space="preserve">NEWBURG                       </t>
  </si>
  <si>
    <t xml:space="preserve">THIENSVILLE                   </t>
  </si>
  <si>
    <t xml:space="preserve">MEQUON                        </t>
  </si>
  <si>
    <t xml:space="preserve">OZAUKEE                       </t>
  </si>
  <si>
    <t xml:space="preserve">DURAND                        </t>
  </si>
  <si>
    <t xml:space="preserve">PEPIN                         </t>
  </si>
  <si>
    <t xml:space="preserve">STOCKHOLM                     </t>
  </si>
  <si>
    <t xml:space="preserve">WATERVILLE                    </t>
  </si>
  <si>
    <t xml:space="preserve">WAUBEEK                       </t>
  </si>
  <si>
    <t xml:space="preserve">DIAMOND BLUFF                 </t>
  </si>
  <si>
    <t xml:space="preserve">ELLSWORTH                     </t>
  </si>
  <si>
    <t xml:space="preserve">EL PASO                       </t>
  </si>
  <si>
    <t xml:space="preserve">GILMAN                        </t>
  </si>
  <si>
    <t xml:space="preserve">HARTLAND                      </t>
  </si>
  <si>
    <t xml:space="preserve">ISABELLE                      </t>
  </si>
  <si>
    <t xml:space="preserve">MAIDEN ROCK                   </t>
  </si>
  <si>
    <t xml:space="preserve">MARTELL                       </t>
  </si>
  <si>
    <t xml:space="preserve">RIVER FALLS                   </t>
  </si>
  <si>
    <t xml:space="preserve">ROCK ELM                      </t>
  </si>
  <si>
    <t xml:space="preserve">SALEM                         </t>
  </si>
  <si>
    <t xml:space="preserve">SPRING LAKE                   </t>
  </si>
  <si>
    <t xml:space="preserve">TRIMBELLE                     </t>
  </si>
  <si>
    <t xml:space="preserve">BAY CITY                      </t>
  </si>
  <si>
    <t xml:space="preserve">ELMWOOD                       </t>
  </si>
  <si>
    <t xml:space="preserve">PLUM CITY                     </t>
  </si>
  <si>
    <t xml:space="preserve">SPRING VALLEY                 </t>
  </si>
  <si>
    <t xml:space="preserve">PRESCOTT                      </t>
  </si>
  <si>
    <t xml:space="preserve">ALDEN                         </t>
  </si>
  <si>
    <t xml:space="preserve">APPLE RIVER                   </t>
  </si>
  <si>
    <t xml:space="preserve">BALSAM LAKE                   </t>
  </si>
  <si>
    <t xml:space="preserve">BLACK BROOK                   </t>
  </si>
  <si>
    <t xml:space="preserve">BONE LAKE                     </t>
  </si>
  <si>
    <t xml:space="preserve">CLAM FALLS                    </t>
  </si>
  <si>
    <t xml:space="preserve">CLEAR LAKE                    </t>
  </si>
  <si>
    <t xml:space="preserve">EUREKA                        </t>
  </si>
  <si>
    <t xml:space="preserve">GEORGETOWN                    </t>
  </si>
  <si>
    <t xml:space="preserve">JOHNSTOWN                     </t>
  </si>
  <si>
    <t xml:space="preserve">LAKETOWN                      </t>
  </si>
  <si>
    <t xml:space="preserve">LORAIN                        </t>
  </si>
  <si>
    <t xml:space="preserve">LUCK                          </t>
  </si>
  <si>
    <t xml:space="preserve">MCKINLEY                      </t>
  </si>
  <si>
    <t xml:space="preserve">MILLTOWN                      </t>
  </si>
  <si>
    <t xml:space="preserve">SAINT CROIX FALLS             </t>
  </si>
  <si>
    <t xml:space="preserve">STERLING                      </t>
  </si>
  <si>
    <t xml:space="preserve">WEST SWEDEN                   </t>
  </si>
  <si>
    <t xml:space="preserve">CENTURIA                      </t>
  </si>
  <si>
    <t xml:space="preserve">DRESSER                       </t>
  </si>
  <si>
    <t xml:space="preserve">FREDERIC                      </t>
  </si>
  <si>
    <t xml:space="preserve">AMERY                         </t>
  </si>
  <si>
    <t xml:space="preserve">POLK                          </t>
  </si>
  <si>
    <t xml:space="preserve">ALBAN                         </t>
  </si>
  <si>
    <t xml:space="preserve">ALMOND                        </t>
  </si>
  <si>
    <t xml:space="preserve">AMHERST                       </t>
  </si>
  <si>
    <t xml:space="preserve">BUENA VISTA                   </t>
  </si>
  <si>
    <t xml:space="preserve">CARSON                        </t>
  </si>
  <si>
    <t xml:space="preserve">LANARK                        </t>
  </si>
  <si>
    <t xml:space="preserve">LINWOOD                       </t>
  </si>
  <si>
    <t xml:space="preserve">NEW HOPE                      </t>
  </si>
  <si>
    <t xml:space="preserve">PINE GROVE                    </t>
  </si>
  <si>
    <t xml:space="preserve">SHARON                        </t>
  </si>
  <si>
    <t xml:space="preserve">STOCKTON                      </t>
  </si>
  <si>
    <t xml:space="preserve">AMHERST JUNCTION              </t>
  </si>
  <si>
    <t xml:space="preserve">JUNCTION CITY                 </t>
  </si>
  <si>
    <t xml:space="preserve">MILLADORE                     </t>
  </si>
  <si>
    <t xml:space="preserve">NELSONVILLE                   </t>
  </si>
  <si>
    <t xml:space="preserve">PARK RIDGE                    </t>
  </si>
  <si>
    <t xml:space="preserve">ROSHOLT                       </t>
  </si>
  <si>
    <t xml:space="preserve">WHITING                       </t>
  </si>
  <si>
    <t xml:space="preserve">STEVENS POINT                 </t>
  </si>
  <si>
    <t xml:space="preserve">CATAWBA                       </t>
  </si>
  <si>
    <t xml:space="preserve">EISENSTEIN                    </t>
  </si>
  <si>
    <t xml:space="preserve">ELK                           </t>
  </si>
  <si>
    <t xml:space="preserve">EMERY                         </t>
  </si>
  <si>
    <t xml:space="preserve">FIFIELD                       </t>
  </si>
  <si>
    <t xml:space="preserve">FLAMBEAU                      </t>
  </si>
  <si>
    <t xml:space="preserve">HACKETT                       </t>
  </si>
  <si>
    <t xml:space="preserve">HARMONY                       </t>
  </si>
  <si>
    <t xml:space="preserve">HILL                          </t>
  </si>
  <si>
    <t xml:space="preserve">KENNAN                        </t>
  </si>
  <si>
    <t xml:space="preserve">KNOX                          </t>
  </si>
  <si>
    <t xml:space="preserve">OGEMA                         </t>
  </si>
  <si>
    <t xml:space="preserve">PRENTICE                      </t>
  </si>
  <si>
    <t xml:space="preserve">SPIRIT                        </t>
  </si>
  <si>
    <t xml:space="preserve">WORCESTER                     </t>
  </si>
  <si>
    <t xml:space="preserve">PARK FALLS                    </t>
  </si>
  <si>
    <t xml:space="preserve">PHILLIPS                      </t>
  </si>
  <si>
    <t xml:space="preserve">BURLINGTON                    </t>
  </si>
  <si>
    <t xml:space="preserve">NORWAY                        </t>
  </si>
  <si>
    <t xml:space="preserve">RAYMOND                       </t>
  </si>
  <si>
    <t xml:space="preserve">WATERFORD                     </t>
  </si>
  <si>
    <t xml:space="preserve">ELMWOOD PARK                  </t>
  </si>
  <si>
    <t xml:space="preserve">NORTH BAY                     </t>
  </si>
  <si>
    <t xml:space="preserve">ROCHESTER                     </t>
  </si>
  <si>
    <t xml:space="preserve">STURTEVANT                    </t>
  </si>
  <si>
    <t xml:space="preserve">UNION GROVE                   </t>
  </si>
  <si>
    <t xml:space="preserve">WIND POINT                    </t>
  </si>
  <si>
    <t xml:space="preserve">YORKVILLE                     </t>
  </si>
  <si>
    <t xml:space="preserve">RACINE                        </t>
  </si>
  <si>
    <t xml:space="preserve">AKAN                          </t>
  </si>
  <si>
    <t xml:space="preserve">BLOOM                         </t>
  </si>
  <si>
    <t xml:space="preserve">DAYTON                        </t>
  </si>
  <si>
    <t xml:space="preserve">EAGLE                         </t>
  </si>
  <si>
    <t xml:space="preserve">HENRIETTA                     </t>
  </si>
  <si>
    <t xml:space="preserve">ITHACA                        </t>
  </si>
  <si>
    <t xml:space="preserve">ORION                         </t>
  </si>
  <si>
    <t xml:space="preserve">RICHLAND                      </t>
  </si>
  <si>
    <t xml:space="preserve">RICHWOOD                      </t>
  </si>
  <si>
    <t xml:space="preserve">ROCKBRIDGE                    </t>
  </si>
  <si>
    <t xml:space="preserve">SYLVAN                        </t>
  </si>
  <si>
    <t xml:space="preserve">WILLOW                        </t>
  </si>
  <si>
    <t xml:space="preserve">BOAZ                          </t>
  </si>
  <si>
    <t xml:space="preserve">CAZENOVIA                     </t>
  </si>
  <si>
    <t xml:space="preserve">LONE ROCK                     </t>
  </si>
  <si>
    <t xml:space="preserve">VIOLA                         </t>
  </si>
  <si>
    <t xml:space="preserve">YUBA                          </t>
  </si>
  <si>
    <t xml:space="preserve">RICHLAND CENTER               </t>
  </si>
  <si>
    <t xml:space="preserve">AVON                          </t>
  </si>
  <si>
    <t xml:space="preserve">BELOIT                        </t>
  </si>
  <si>
    <t xml:space="preserve">BRADFORD                      </t>
  </si>
  <si>
    <t xml:space="preserve">FULTON                        </t>
  </si>
  <si>
    <t xml:space="preserve">JANESVILLE                    </t>
  </si>
  <si>
    <t xml:space="preserve">LA PRAIRIE                    </t>
  </si>
  <si>
    <t xml:space="preserve">MAGNOLIA                      </t>
  </si>
  <si>
    <t xml:space="preserve">NEWARK                        </t>
  </si>
  <si>
    <t xml:space="preserve">PORTER                        </t>
  </si>
  <si>
    <t xml:space="preserve">ROCK                          </t>
  </si>
  <si>
    <t xml:space="preserve">TURTLE                        </t>
  </si>
  <si>
    <t xml:space="preserve">FOOTVILLE                     </t>
  </si>
  <si>
    <t xml:space="preserve">ORFORDVILLE                   </t>
  </si>
  <si>
    <t xml:space="preserve">EVANSVILLE                    </t>
  </si>
  <si>
    <t xml:space="preserve">ATLANTA                       </t>
  </si>
  <si>
    <t xml:space="preserve">BIG BEND                      </t>
  </si>
  <si>
    <t xml:space="preserve">BIG FALLS                     </t>
  </si>
  <si>
    <t xml:space="preserve">CEDAR RAPIDS                  </t>
  </si>
  <si>
    <t xml:space="preserve">GROW                          </t>
  </si>
  <si>
    <t xml:space="preserve">HAWKINS                       </t>
  </si>
  <si>
    <t xml:space="preserve">MURRY                         </t>
  </si>
  <si>
    <t xml:space="preserve">SOUTH FORK                    </t>
  </si>
  <si>
    <t xml:space="preserve">STRICKLAND                    </t>
  </si>
  <si>
    <t xml:space="preserve">STUBBS                        </t>
  </si>
  <si>
    <t xml:space="preserve">THORNAPPLE                    </t>
  </si>
  <si>
    <t xml:space="preserve">TRUE                          </t>
  </si>
  <si>
    <t xml:space="preserve">WILKINSON                     </t>
  </si>
  <si>
    <t xml:space="preserve">WILLARD                       </t>
  </si>
  <si>
    <t xml:space="preserve">BRUCE                         </t>
  </si>
  <si>
    <t xml:space="preserve">CONRATH                       </t>
  </si>
  <si>
    <t xml:space="preserve">GLEN FLORA                    </t>
  </si>
  <si>
    <t xml:space="preserve">INGRAM                        </t>
  </si>
  <si>
    <t xml:space="preserve">TONY                          </t>
  </si>
  <si>
    <t xml:space="preserve">WEYERHAEUSER                  </t>
  </si>
  <si>
    <t xml:space="preserve">LADYSMITH                     </t>
  </si>
  <si>
    <t xml:space="preserve">BALDWIN                       </t>
  </si>
  <si>
    <t xml:space="preserve">CADY                          </t>
  </si>
  <si>
    <t xml:space="preserve">CYLON                         </t>
  </si>
  <si>
    <t xml:space="preserve">EMERALD                       </t>
  </si>
  <si>
    <t xml:space="preserve">ERIN PRAIRIE                  </t>
  </si>
  <si>
    <t xml:space="preserve">GLENWOOD                      </t>
  </si>
  <si>
    <t xml:space="preserve">HAMMOND                       </t>
  </si>
  <si>
    <t xml:space="preserve">HUDSON                        </t>
  </si>
  <si>
    <t xml:space="preserve">KINNICKINNIC                  </t>
  </si>
  <si>
    <t xml:space="preserve">RICHMOND                      </t>
  </si>
  <si>
    <t xml:space="preserve">RUSH RIVER                    </t>
  </si>
  <si>
    <t xml:space="preserve">SAINT JOSEPH                  </t>
  </si>
  <si>
    <t xml:space="preserve">SOMERSET                      </t>
  </si>
  <si>
    <t xml:space="preserve">STAR PRAIRIE                  </t>
  </si>
  <si>
    <t xml:space="preserve">TROY                          </t>
  </si>
  <si>
    <t xml:space="preserve">WARREN                        </t>
  </si>
  <si>
    <t xml:space="preserve">DEER PARK                     </t>
  </si>
  <si>
    <t xml:space="preserve">NORTH HUDSON                  </t>
  </si>
  <si>
    <t xml:space="preserve">ROBERTS                       </t>
  </si>
  <si>
    <t xml:space="preserve">GLENWOOD CITY                 </t>
  </si>
  <si>
    <t xml:space="preserve">NEW RICHMOND                  </t>
  </si>
  <si>
    <t xml:space="preserve">ST CROIX                      </t>
  </si>
  <si>
    <t xml:space="preserve">BARABOO                       </t>
  </si>
  <si>
    <t xml:space="preserve">DELLONA                       </t>
  </si>
  <si>
    <t xml:space="preserve">DELTON                        </t>
  </si>
  <si>
    <t xml:space="preserve">EXCELSIOR                     </t>
  </si>
  <si>
    <t xml:space="preserve">FAIRFIELD                     </t>
  </si>
  <si>
    <t xml:space="preserve">HONEY CREEK                   </t>
  </si>
  <si>
    <t xml:space="preserve">IRONTON                       </t>
  </si>
  <si>
    <t xml:space="preserve">LA VALLE                      </t>
  </si>
  <si>
    <t xml:space="preserve">MERRIMAC                      </t>
  </si>
  <si>
    <t xml:space="preserve">PRAIRIE DU SAC                </t>
  </si>
  <si>
    <t xml:space="preserve">REEDSBURG                     </t>
  </si>
  <si>
    <t xml:space="preserve">SPRING GREEN                  </t>
  </si>
  <si>
    <t xml:space="preserve">SUMPTER                       </t>
  </si>
  <si>
    <t xml:space="preserve">WINFIELD                      </t>
  </si>
  <si>
    <t xml:space="preserve">WOODLAND                      </t>
  </si>
  <si>
    <t xml:space="preserve">LAKE DELTON                   </t>
  </si>
  <si>
    <t xml:space="preserve">LIME RIDGE 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</si>
  <si>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</si>
  <si>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</si>
  <si>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</si>
  <si>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ROCK SPRINGS                  </t>
  </si>
  <si>
    <t xml:space="preserve">SAUK CITY                     </t>
  </si>
  <si>
    <t xml:space="preserve">WEST BARABOO                  </t>
  </si>
  <si>
    <t xml:space="preserve">SAUK                          </t>
  </si>
  <si>
    <t xml:space="preserve">BASS LAKE                     </t>
  </si>
  <si>
    <t xml:space="preserve">COUDERAY                      </t>
  </si>
  <si>
    <t xml:space="preserve">DRAPER                        </t>
  </si>
  <si>
    <t xml:space="preserve">EDGEWATER                     </t>
  </si>
  <si>
    <t xml:space="preserve">HAYWARD                       </t>
  </si>
  <si>
    <t xml:space="preserve">HUNTER                        </t>
  </si>
  <si>
    <t xml:space="preserve">LENROOT                       </t>
  </si>
  <si>
    <t xml:space="preserve">MEADOWBROOK                   </t>
  </si>
  <si>
    <t xml:space="preserve">METEOR                        </t>
  </si>
  <si>
    <t xml:space="preserve">OJIBWA                        </t>
  </si>
  <si>
    <t xml:space="preserve">RADISSON                      </t>
  </si>
  <si>
    <t xml:space="preserve">ROUND LAKE                    </t>
  </si>
  <si>
    <t xml:space="preserve">SPIDER LAKE                   </t>
  </si>
  <si>
    <t xml:space="preserve">WEIRGOR                       </t>
  </si>
  <si>
    <t xml:space="preserve">WINTER                        </t>
  </si>
  <si>
    <t xml:space="preserve">EXELAND                       </t>
  </si>
  <si>
    <t xml:space="preserve">SAWYER                        </t>
  </si>
  <si>
    <t xml:space="preserve">ALMON                         </t>
  </si>
  <si>
    <t xml:space="preserve">ANGELICA                      </t>
  </si>
  <si>
    <t xml:space="preserve">ANIWA                         </t>
  </si>
  <si>
    <t xml:space="preserve">BARTELME                      </t>
  </si>
  <si>
    <t xml:space="preserve">BELLE PLAINE                  </t>
  </si>
  <si>
    <t xml:space="preserve">FAIRBANKS                     </t>
  </si>
  <si>
    <t xml:space="preserve">GERMANIA                      </t>
  </si>
  <si>
    <t xml:space="preserve">HUTCHINS                      </t>
  </si>
  <si>
    <t xml:space="preserve">LESSOR                        </t>
  </si>
  <si>
    <t xml:space="preserve">MORRIS                        </t>
  </si>
  <si>
    <t xml:space="preserve">NAVARINO                      </t>
  </si>
  <si>
    <t xml:space="preserve">PELLA                         </t>
  </si>
  <si>
    <t xml:space="preserve">RED SPRINGS                   </t>
  </si>
  <si>
    <t xml:space="preserve">WAUKECHON                     </t>
  </si>
  <si>
    <t xml:space="preserve">WESCOTT                       </t>
  </si>
  <si>
    <t xml:space="preserve">WITTENBERG                    </t>
  </si>
  <si>
    <t xml:space="preserve">BONDUEL                       </t>
  </si>
  <si>
    <t xml:space="preserve">BOWLER                        </t>
  </si>
  <si>
    <t xml:space="preserve">CECIL                         </t>
  </si>
  <si>
    <t xml:space="preserve">ELAND                         </t>
  </si>
  <si>
    <t xml:space="preserve">GRESHAM                       </t>
  </si>
  <si>
    <t xml:space="preserve">MATTOON                       </t>
  </si>
  <si>
    <t xml:space="preserve">TIGERTON                      </t>
  </si>
  <si>
    <t xml:space="preserve">SHAWANO                       </t>
  </si>
  <si>
    <t xml:space="preserve">GREENBUSH                     </t>
  </si>
  <si>
    <t xml:space="preserve">MITCHELL                      </t>
  </si>
  <si>
    <t xml:space="preserve">MOSEL                         </t>
  </si>
  <si>
    <t xml:space="preserve">RHINE                         </t>
  </si>
  <si>
    <t xml:space="preserve">SHEBOYGAN                     </t>
  </si>
  <si>
    <t xml:space="preserve">SHEBOYGAN FALLS               </t>
  </si>
  <si>
    <t xml:space="preserve">ADELL    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</si>
  <si>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</si>
  <si>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</si>
  <si>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</si>
  <si>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</si>
  <si>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</si>
  <si>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KOHLER                        </t>
  </si>
  <si>
    <t xml:space="preserve">OOSTBURG                      </t>
  </si>
  <si>
    <t xml:space="preserve">RANDOM LAKE                   </t>
  </si>
  <si>
    <t xml:space="preserve">WALDO                         </t>
  </si>
  <si>
    <t xml:space="preserve">BROWNING                      </t>
  </si>
  <si>
    <t xml:space="preserve">CHELSEA                       </t>
  </si>
  <si>
    <t xml:space="preserve">FORD                          </t>
  </si>
  <si>
    <t xml:space="preserve">GOODRICH                      </t>
  </si>
  <si>
    <t xml:space="preserve">HAMMEL                        </t>
  </si>
  <si>
    <t xml:space="preserve">HOLWAY                        </t>
  </si>
  <si>
    <t xml:space="preserve">JUMP RIVER                    </t>
  </si>
  <si>
    <t xml:space="preserve">LITTLE BLACK                  </t>
  </si>
  <si>
    <t xml:space="preserve">MAPLEHURST                    </t>
  </si>
  <si>
    <t xml:space="preserve">MEDFORD                       </t>
  </si>
  <si>
    <t xml:space="preserve">MOLITOR                       </t>
  </si>
  <si>
    <t xml:space="preserve">PERSHING                      </t>
  </si>
  <si>
    <t xml:space="preserve">RIB LAKE                      </t>
  </si>
  <si>
    <t xml:space="preserve">TAFT                          </t>
  </si>
  <si>
    <t xml:space="preserve">WESTBORO                      </t>
  </si>
  <si>
    <t xml:space="preserve">LUBLIN                        </t>
  </si>
  <si>
    <t xml:space="preserve">STETSONVILLE                  </t>
  </si>
  <si>
    <t xml:space="preserve">ARCADIA                       </t>
  </si>
  <si>
    <t xml:space="preserve">BURNSIDE                      </t>
  </si>
  <si>
    <t xml:space="preserve">CHIMNEY ROCK                  </t>
  </si>
  <si>
    <t xml:space="preserve">ETTRICK                       </t>
  </si>
  <si>
    <t xml:space="preserve">GALE                          </t>
  </si>
  <si>
    <t xml:space="preserve">HALE                          </t>
  </si>
  <si>
    <t xml:space="preserve">PIGEON                        </t>
  </si>
  <si>
    <t xml:space="preserve">TREMPEALEAU                   </t>
  </si>
  <si>
    <t xml:space="preserve">ELEVA                         </t>
  </si>
  <si>
    <t xml:space="preserve">PIGEON FALLS                  </t>
  </si>
  <si>
    <t xml:space="preserve">STRUM  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</si>
  <si>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</si>
  <si>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</si>
  <si>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</si>
  <si>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</si>
  <si>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</si>
  <si>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COON                          </t>
  </si>
  <si>
    <t xml:space="preserve">GENOA                         </t>
  </si>
  <si>
    <t xml:space="preserve">HILLSBORO                     </t>
  </si>
  <si>
    <t xml:space="preserve">KICKAPOO                      </t>
  </si>
  <si>
    <t xml:space="preserve">STARK                         </t>
  </si>
  <si>
    <t xml:space="preserve">VIROQUA                       </t>
  </si>
  <si>
    <t xml:space="preserve">WHITESTOWN                    </t>
  </si>
  <si>
    <t xml:space="preserve">CHASEBURG                     </t>
  </si>
  <si>
    <t xml:space="preserve">COON VALLEY                   </t>
  </si>
  <si>
    <t xml:space="preserve">LA FARGE                      </t>
  </si>
  <si>
    <t xml:space="preserve">READSTOWN                     </t>
  </si>
  <si>
    <t xml:space="preserve">STODDARD                      </t>
  </si>
  <si>
    <t xml:space="preserve">WESTBY                        </t>
  </si>
  <si>
    <t xml:space="preserve">VERNON                        </t>
  </si>
  <si>
    <t xml:space="preserve">ARBOR VITAE                   </t>
  </si>
  <si>
    <t xml:space="preserve">BOULDER JUNCTION              </t>
  </si>
  <si>
    <t xml:space="preserve">CONOVER                       </t>
  </si>
  <si>
    <t xml:space="preserve">LAC DU FLAMBEAU               </t>
  </si>
  <si>
    <t xml:space="preserve">LAND O LAKES                  </t>
  </si>
  <si>
    <t xml:space="preserve">MANITOWISH WATERS             </t>
  </si>
  <si>
    <t xml:space="preserve">PHELPS                        </t>
  </si>
  <si>
    <t xml:space="preserve">PLUM LAKE                     </t>
  </si>
  <si>
    <t xml:space="preserve">PRESQUE ISLE                  </t>
  </si>
  <si>
    <t xml:space="preserve">SAINT GERMAIN                 </t>
  </si>
  <si>
    <t xml:space="preserve">WINCHESTER                    </t>
  </si>
  <si>
    <t xml:space="preserve">EAGLE RIVER                   </t>
  </si>
  <si>
    <t xml:space="preserve">BLOOMFIELD                    </t>
  </si>
  <si>
    <t xml:space="preserve">DARIEN                        </t>
  </si>
  <si>
    <t xml:space="preserve">DELAVAN                       </t>
  </si>
  <si>
    <t xml:space="preserve">EAST TROY                     </t>
  </si>
  <si>
    <t xml:space="preserve">GENEVA                        </t>
  </si>
  <si>
    <t xml:space="preserve">LINN                          </t>
  </si>
  <si>
    <t xml:space="preserve">LYONS                         </t>
  </si>
  <si>
    <t xml:space="preserve">SPRING PRAIRIE                </t>
  </si>
  <si>
    <t xml:space="preserve">SUGAR CREEK                   </t>
  </si>
  <si>
    <t xml:space="preserve">WALWORTH                      </t>
  </si>
  <si>
    <t xml:space="preserve">FONTANA                       </t>
  </si>
  <si>
    <t xml:space="preserve">MUKWONAGO                     </t>
  </si>
  <si>
    <t xml:space="preserve">WILLIAMS BAY                  </t>
  </si>
  <si>
    <t xml:space="preserve">ELKHORN                       </t>
  </si>
  <si>
    <t xml:space="preserve">LAKE GENEVA                   </t>
  </si>
  <si>
    <t xml:space="preserve">BARRONETT                     </t>
  </si>
  <si>
    <t xml:space="preserve">BASHAW                        </t>
  </si>
  <si>
    <t xml:space="preserve">BEAVER BROOK                  </t>
  </si>
  <si>
    <t xml:space="preserve">BIRCHWOOD                     </t>
  </si>
  <si>
    <t xml:space="preserve">CASEY                         </t>
  </si>
  <si>
    <t xml:space="preserve">CHICOG                        </t>
  </si>
  <si>
    <t xml:space="preserve">CRYSTAL                       </t>
  </si>
  <si>
    <t xml:space="preserve">FROG CREEK                    </t>
  </si>
  <si>
    <t xml:space="preserve">GULL LAKE                     </t>
  </si>
  <si>
    <t xml:space="preserve">MADGE                         </t>
  </si>
  <si>
    <t xml:space="preserve">MINONG                        </t>
  </si>
  <si>
    <t xml:space="preserve">SARONA                        </t>
  </si>
  <si>
    <t xml:space="preserve">SPOONER                       </t>
  </si>
  <si>
    <t xml:space="preserve">SPRINGBROOK                   </t>
  </si>
  <si>
    <t xml:space="preserve">STINNETT                      </t>
  </si>
  <si>
    <t xml:space="preserve">STONE LAKE                    </t>
  </si>
  <si>
    <t xml:space="preserve">TREGO                         </t>
  </si>
  <si>
    <t xml:space="preserve">SHELL LAKE                    </t>
  </si>
  <si>
    <t xml:space="preserve">ADDISON                       </t>
  </si>
  <si>
    <t xml:space="preserve">BARTON                        </t>
  </si>
  <si>
    <t xml:space="preserve">ERIN                          </t>
  </si>
  <si>
    <t xml:space="preserve">WEST BEND                     </t>
  </si>
  <si>
    <t xml:space="preserve">SLINGER                       </t>
  </si>
  <si>
    <t xml:space="preserve">BROOKFIELD                    </t>
  </si>
  <si>
    <t xml:space="preserve">DELAFIELD                     </t>
  </si>
  <si>
    <t xml:space="preserve">GENESEE                       </t>
  </si>
  <si>
    <t xml:space="preserve">MERTON                        </t>
  </si>
  <si>
    <t xml:space="preserve">OCONOMOWOC                    </t>
  </si>
  <si>
    <t xml:space="preserve">OTTAWA                        </t>
  </si>
  <si>
    <t xml:space="preserve">WAUKESHA                      </t>
  </si>
  <si>
    <t xml:space="preserve">CHENEQUA                      </t>
  </si>
  <si>
    <t xml:space="preserve">DOUSMAN                       </t>
  </si>
  <si>
    <t xml:space="preserve">ELM GROVE                     </t>
  </si>
  <si>
    <t xml:space="preserve">LANNON                        </t>
  </si>
  <si>
    <t xml:space="preserve">MENOMONEE FALLS               </t>
  </si>
  <si>
    <t xml:space="preserve">NASHOTAH                      </t>
  </si>
  <si>
    <t xml:space="preserve">NORTH PRAIRIE                 </t>
  </si>
  <si>
    <t xml:space="preserve">OCONOMOWOC LAKE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</si>
  <si>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</si>
  <si>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</si>
  <si>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</si>
  <si>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MUSKEGO                       </t>
  </si>
  <si>
    <t xml:space="preserve">NEW BERLIN                    </t>
  </si>
  <si>
    <t xml:space="preserve">DUPONT                        </t>
  </si>
  <si>
    <t xml:space="preserve">HELVETIA                      </t>
  </si>
  <si>
    <t xml:space="preserve">IOLA                          </t>
  </si>
  <si>
    <t xml:space="preserve">LARRABEE                      </t>
  </si>
  <si>
    <t xml:space="preserve">LIND                          </t>
  </si>
  <si>
    <t xml:space="preserve">LITTLE WOLF                   </t>
  </si>
  <si>
    <t xml:space="preserve">MATTESON                      </t>
  </si>
  <si>
    <t xml:space="preserve">MUKWA                         </t>
  </si>
  <si>
    <t xml:space="preserve">ROYALTON                      </t>
  </si>
  <si>
    <t xml:space="preserve">SAINT LAWRENCE                </t>
  </si>
  <si>
    <t xml:space="preserve">SCANDINAVIA                   </t>
  </si>
  <si>
    <t xml:space="preserve">WAUPACA                       </t>
  </si>
  <si>
    <t xml:space="preserve">WEYAUWEGA                     </t>
  </si>
  <si>
    <t xml:space="preserve">EMBARRASS                     </t>
  </si>
  <si>
    <t xml:space="preserve">OGDENSBURG                    </t>
  </si>
  <si>
    <t xml:space="preserve">CLINTONVILLE                  </t>
  </si>
  <si>
    <t xml:space="preserve">MANAWA                        </t>
  </si>
  <si>
    <t xml:space="preserve">COLOMA                        </t>
  </si>
  <si>
    <t xml:space="preserve">DAKOTA                        </t>
  </si>
  <si>
    <t xml:space="preserve">HANCOCK                       </t>
  </si>
  <si>
    <t xml:space="preserve">MOUNT MORRIS                  </t>
  </si>
  <si>
    <t xml:space="preserve">OASIS                         </t>
  </si>
  <si>
    <t xml:space="preserve">PLAINFIELD                    </t>
  </si>
  <si>
    <t xml:space="preserve">POY SIPPI                     </t>
  </si>
  <si>
    <t xml:space="preserve">RICHFORD                      </t>
  </si>
  <si>
    <t xml:space="preserve">ROSE                          </t>
  </si>
  <si>
    <t xml:space="preserve">SAXEVILLE                     </t>
  </si>
  <si>
    <t xml:space="preserve">SPRINGWATER                   </t>
  </si>
  <si>
    <t xml:space="preserve">WAUTOMA                       </t>
  </si>
  <si>
    <t xml:space="preserve">LOHRVILLE                     </t>
  </si>
  <si>
    <t xml:space="preserve">REDGRANITE                    </t>
  </si>
  <si>
    <t xml:space="preserve">WILD ROSE                     </t>
  </si>
  <si>
    <t xml:space="preserve">WAUSHARA                      </t>
  </si>
  <si>
    <t xml:space="preserve">BLACK WOLF                    </t>
  </si>
  <si>
    <t xml:space="preserve">NEENAH                        </t>
  </si>
  <si>
    <t xml:space="preserve">NEKIMI                        </t>
  </si>
  <si>
    <t xml:space="preserve">NEPEUSKUN                     </t>
  </si>
  <si>
    <t xml:space="preserve">OMRO                          </t>
  </si>
  <si>
    <t xml:space="preserve">OSHKOSH                       </t>
  </si>
  <si>
    <t xml:space="preserve">POYGAN                        </t>
  </si>
  <si>
    <t xml:space="preserve">RUSHFORD                      </t>
  </si>
  <si>
    <t xml:space="preserve">VINLAND                       </t>
  </si>
  <si>
    <t xml:space="preserve">WINNECONNE                    </t>
  </si>
  <si>
    <t xml:space="preserve">FOX CROSSING                  </t>
  </si>
  <si>
    <t xml:space="preserve">WINNEBAGO                     </t>
  </si>
  <si>
    <t xml:space="preserve">ARPIN                         </t>
  </si>
  <si>
    <t xml:space="preserve">AUBURNDALE                    </t>
  </si>
  <si>
    <t xml:space="preserve">CARY                          </t>
  </si>
  <si>
    <t xml:space="preserve">CRANMOOR                      </t>
  </si>
  <si>
    <t xml:space="preserve">DEXTER                        </t>
  </si>
  <si>
    <t xml:space="preserve">GRAND RAPIDS                  </t>
  </si>
  <si>
    <t xml:space="preserve">HANSEN                        </t>
  </si>
  <si>
    <t xml:space="preserve">PORT EDWARDS                  </t>
  </si>
  <si>
    <t xml:space="preserve">REMINGTON                     </t>
  </si>
  <si>
    <t xml:space="preserve">RUDOLPH                       </t>
  </si>
  <si>
    <t xml:space="preserve">SARATOGA                      </t>
  </si>
  <si>
    <t xml:space="preserve">SHERRY                        </t>
  </si>
  <si>
    <t xml:space="preserve">WOOD                          </t>
  </si>
  <si>
    <t xml:space="preserve">BIRON                         </t>
  </si>
  <si>
    <t xml:space="preserve">VESPER                        </t>
  </si>
  <si>
    <t xml:space="preserve">NEKOOSA                       </t>
  </si>
  <si>
    <t xml:space="preserve">PITTSVILLE                    </t>
  </si>
  <si>
    <t xml:space="preserve">WISCONSIN RAPIDS              </t>
  </si>
  <si>
    <t xml:space="preserve">MENOMINEE                     </t>
  </si>
  <si>
    <t xml:space="preserve"> </t>
  </si>
  <si>
    <t>Town Total</t>
  </si>
  <si>
    <t>Village Total</t>
  </si>
  <si>
    <t>City Total</t>
  </si>
  <si>
    <t>State Total (Reduced by TID Value Increment)</t>
  </si>
  <si>
    <t>Total Equalized Value for State</t>
  </si>
  <si>
    <t>Total TID Increments for State</t>
  </si>
  <si>
    <t>Total Equalized Value less TID Increments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</si>
</sst>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21"/>
  <sheetViews>
    <sheetView tabSelected="1" workbookViewId="0"/>
  </sheetViews>
  <sheetFormatPr defaultRowHeight="15" x14ac:dyDescent="0.25"/>
  <cols>
    <col min="1" max="1" width="48.140625" bestFit="1" customWidth="1"/>
    <col min="2" max="2" width="42.140625" bestFit="1" customWidth="1"/>
    <col min="3" max="3" width="27.140625" bestFit="1" customWidth="1"/>
    <col min="4" max="4" width="5.7109375" bestFit="1" customWidth="1"/>
    <col min="5" max="5" width="10.7109375" bestFit="1" customWidth="1"/>
    <col min="6" max="7" width="10" bestFit="1" customWidth="1"/>
    <col min="8" max="8" width="15.85546875" bestFit="1" customWidth="1"/>
    <col min="9" max="9" width="23.28515625" style="1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s="1" t="s">
        <v>10</v>
      </c>
    </row>
    <row r="5" spans="1:9" x14ac:dyDescent="0.25">
      <c r="A5" t="str">
        <f>"01002"</f>
        <v>01002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15</v>
      </c>
      <c r="H5" t="s">
        <v>15</v>
      </c>
      <c r="I5" s="1">
        <v>135836800</v>
      </c>
    </row>
    <row r="6" spans="1:9" x14ac:dyDescent="0.25">
      <c r="A6" t="str">
        <f>"01004"</f>
        <v>01004</v>
      </c>
      <c r="B6" t="s">
        <v>11</v>
      </c>
      <c r="C6" t="s">
        <v>16</v>
      </c>
      <c r="D6" t="s">
        <v>13</v>
      </c>
      <c r="E6" t="s">
        <v>14</v>
      </c>
      <c r="F6" t="s">
        <v>15</v>
      </c>
      <c r="G6" t="s">
        <v>15</v>
      </c>
      <c r="H6" t="s">
        <v>15</v>
      </c>
      <c r="I6" s="1">
        <v>103801800</v>
      </c>
    </row>
    <row r="7" spans="1:9" x14ac:dyDescent="0.25">
      <c r="A7" t="str">
        <f>"01006"</f>
        <v>01006</v>
      </c>
      <c r="B7" t="s">
        <v>11</v>
      </c>
      <c r="C7" t="s">
        <v>17</v>
      </c>
      <c r="D7" t="s">
        <v>13</v>
      </c>
      <c r="E7" t="s">
        <v>14</v>
      </c>
      <c r="F7" t="s">
        <v>15</v>
      </c>
      <c r="G7" t="s">
        <v>15</v>
      </c>
      <c r="H7" t="s">
        <v>15</v>
      </c>
      <c r="I7" s="1">
        <v>57256800</v>
      </c>
    </row>
    <row r="8" spans="1:9" x14ac:dyDescent="0.25">
      <c r="A8" t="str">
        <f>"01008"</f>
        <v>01008</v>
      </c>
      <c r="B8" t="s">
        <v>11</v>
      </c>
      <c r="C8" t="s">
        <v>18</v>
      </c>
      <c r="D8" t="s">
        <v>13</v>
      </c>
      <c r="E8" t="s">
        <v>14</v>
      </c>
      <c r="F8" t="s">
        <v>15</v>
      </c>
      <c r="G8" t="s">
        <v>15</v>
      </c>
      <c r="H8" t="s">
        <v>15</v>
      </c>
      <c r="I8" s="1">
        <v>187017200</v>
      </c>
    </row>
    <row r="9" spans="1:9" x14ac:dyDescent="0.25">
      <c r="A9" t="str">
        <f>"01010"</f>
        <v>01010</v>
      </c>
      <c r="B9" t="s">
        <v>11</v>
      </c>
      <c r="C9" t="s">
        <v>19</v>
      </c>
      <c r="D9" t="s">
        <v>13</v>
      </c>
      <c r="E9" t="s">
        <v>14</v>
      </c>
      <c r="F9" t="s">
        <v>15</v>
      </c>
      <c r="G9" t="s">
        <v>15</v>
      </c>
      <c r="H9" t="s">
        <v>15</v>
      </c>
      <c r="I9" s="1">
        <v>92876300</v>
      </c>
    </row>
    <row r="10" spans="1:9" x14ac:dyDescent="0.25">
      <c r="A10" t="str">
        <f>"01012"</f>
        <v>01012</v>
      </c>
      <c r="B10" t="s">
        <v>11</v>
      </c>
      <c r="C10" t="s">
        <v>20</v>
      </c>
      <c r="D10" t="s">
        <v>13</v>
      </c>
      <c r="E10" t="s">
        <v>14</v>
      </c>
      <c r="F10" t="s">
        <v>15</v>
      </c>
      <c r="G10" t="s">
        <v>15</v>
      </c>
      <c r="H10" t="s">
        <v>15</v>
      </c>
      <c r="I10" s="1">
        <v>199609700</v>
      </c>
    </row>
    <row r="11" spans="1:9" x14ac:dyDescent="0.25">
      <c r="A11" t="str">
        <f>"01014"</f>
        <v>01014</v>
      </c>
      <c r="B11" t="s">
        <v>11</v>
      </c>
      <c r="C11" t="s">
        <v>21</v>
      </c>
      <c r="D11" t="s">
        <v>13</v>
      </c>
      <c r="E11" t="s">
        <v>14</v>
      </c>
      <c r="F11" t="s">
        <v>15</v>
      </c>
      <c r="G11" t="s">
        <v>15</v>
      </c>
      <c r="H11" t="s">
        <v>15</v>
      </c>
      <c r="I11" s="1">
        <v>39654000</v>
      </c>
    </row>
    <row r="12" spans="1:9" x14ac:dyDescent="0.25">
      <c r="A12" t="str">
        <f>"01016"</f>
        <v>01016</v>
      </c>
      <c r="B12" t="s">
        <v>11</v>
      </c>
      <c r="C12" t="s">
        <v>22</v>
      </c>
      <c r="D12" t="s">
        <v>13</v>
      </c>
      <c r="E12" t="s">
        <v>14</v>
      </c>
      <c r="F12" t="s">
        <v>15</v>
      </c>
      <c r="G12" t="s">
        <v>15</v>
      </c>
      <c r="H12" t="s">
        <v>15</v>
      </c>
      <c r="I12" s="1">
        <v>43702600</v>
      </c>
    </row>
    <row r="13" spans="1:9" x14ac:dyDescent="0.25">
      <c r="A13" t="str">
        <f>"01018"</f>
        <v>01018</v>
      </c>
      <c r="B13" t="s">
        <v>11</v>
      </c>
      <c r="C13" t="s">
        <v>23</v>
      </c>
      <c r="D13" t="s">
        <v>13</v>
      </c>
      <c r="E13" t="s">
        <v>14</v>
      </c>
      <c r="F13" t="s">
        <v>15</v>
      </c>
      <c r="G13" t="s">
        <v>15</v>
      </c>
      <c r="H13" t="s">
        <v>15</v>
      </c>
      <c r="I13" s="1">
        <v>104595100</v>
      </c>
    </row>
    <row r="14" spans="1:9" x14ac:dyDescent="0.25">
      <c r="A14" t="str">
        <f>"01020"</f>
        <v>01020</v>
      </c>
      <c r="B14" t="s">
        <v>11</v>
      </c>
      <c r="C14" t="s">
        <v>24</v>
      </c>
      <c r="D14" t="str">
        <f>"001T"</f>
        <v>001T</v>
      </c>
      <c r="E14">
        <v>2012</v>
      </c>
      <c r="F14">
        <v>4971600</v>
      </c>
      <c r="G14">
        <v>13640800</v>
      </c>
      <c r="H14">
        <v>8669200</v>
      </c>
    </row>
    <row r="15" spans="1:9" x14ac:dyDescent="0.25">
      <c r="A15" t="str">
        <f>"01020"</f>
        <v>01020</v>
      </c>
      <c r="B15" t="s">
        <v>11</v>
      </c>
      <c r="C15" t="s">
        <v>24</v>
      </c>
      <c r="D15" t="s">
        <v>13</v>
      </c>
      <c r="E15" t="s">
        <v>14</v>
      </c>
      <c r="F15" t="s">
        <v>15</v>
      </c>
      <c r="G15" t="s">
        <v>15</v>
      </c>
      <c r="H15" t="s">
        <v>15</v>
      </c>
      <c r="I15" s="1">
        <v>87252000</v>
      </c>
    </row>
    <row r="16" spans="1:9" x14ac:dyDescent="0.25">
      <c r="A16" t="str">
        <f>"01022"</f>
        <v>01022</v>
      </c>
      <c r="B16" t="s">
        <v>11</v>
      </c>
      <c r="C16" t="s">
        <v>25</v>
      </c>
      <c r="D16" t="s">
        <v>13</v>
      </c>
      <c r="E16" t="s">
        <v>14</v>
      </c>
      <c r="F16" t="s">
        <v>15</v>
      </c>
      <c r="G16" t="s">
        <v>15</v>
      </c>
      <c r="H16" t="s">
        <v>15</v>
      </c>
      <c r="I16" s="1">
        <v>62321500</v>
      </c>
    </row>
    <row r="17" spans="1:9" x14ac:dyDescent="0.25">
      <c r="A17" t="str">
        <f>"01024"</f>
        <v>01024</v>
      </c>
      <c r="B17" t="s">
        <v>11</v>
      </c>
      <c r="C17" t="s">
        <v>26</v>
      </c>
      <c r="D17" t="s">
        <v>13</v>
      </c>
      <c r="E17" t="s">
        <v>14</v>
      </c>
      <c r="F17" t="s">
        <v>15</v>
      </c>
      <c r="G17" t="s">
        <v>15</v>
      </c>
      <c r="H17" t="s">
        <v>15</v>
      </c>
      <c r="I17" s="1">
        <v>160082900</v>
      </c>
    </row>
    <row r="18" spans="1:9" x14ac:dyDescent="0.25">
      <c r="A18" t="str">
        <f>"01026"</f>
        <v>01026</v>
      </c>
      <c r="B18" t="s">
        <v>11</v>
      </c>
      <c r="C18" t="s">
        <v>27</v>
      </c>
      <c r="D18" t="s">
        <v>13</v>
      </c>
      <c r="E18" t="s">
        <v>14</v>
      </c>
      <c r="F18" t="s">
        <v>15</v>
      </c>
      <c r="G18" t="s">
        <v>15</v>
      </c>
      <c r="H18" t="s">
        <v>15</v>
      </c>
      <c r="I18" s="1">
        <v>202655400</v>
      </c>
    </row>
    <row r="19" spans="1:9" x14ac:dyDescent="0.25">
      <c r="A19" t="str">
        <f>"01028"</f>
        <v>01028</v>
      </c>
      <c r="B19" t="s">
        <v>11</v>
      </c>
      <c r="C19" t="s">
        <v>28</v>
      </c>
      <c r="D19" t="s">
        <v>13</v>
      </c>
      <c r="E19" t="s">
        <v>14</v>
      </c>
      <c r="F19" t="s">
        <v>15</v>
      </c>
      <c r="G19" t="s">
        <v>15</v>
      </c>
      <c r="H19" t="s">
        <v>15</v>
      </c>
      <c r="I19" s="1">
        <v>34531600</v>
      </c>
    </row>
    <row r="20" spans="1:9" x14ac:dyDescent="0.25">
      <c r="A20" t="str">
        <f>"01030"</f>
        <v>01030</v>
      </c>
      <c r="B20" t="s">
        <v>11</v>
      </c>
      <c r="C20" t="s">
        <v>29</v>
      </c>
      <c r="D20" t="str">
        <f>"001T"</f>
        <v>001T</v>
      </c>
      <c r="E20">
        <v>2015</v>
      </c>
      <c r="F20">
        <v>1249400</v>
      </c>
      <c r="G20">
        <v>49553900</v>
      </c>
      <c r="H20">
        <v>48304500</v>
      </c>
    </row>
    <row r="21" spans="1:9" x14ac:dyDescent="0.25">
      <c r="A21" t="str">
        <f>"01030"</f>
        <v>01030</v>
      </c>
      <c r="B21" t="s">
        <v>11</v>
      </c>
      <c r="C21" t="s">
        <v>29</v>
      </c>
      <c r="D21" t="s">
        <v>13</v>
      </c>
      <c r="E21" t="s">
        <v>14</v>
      </c>
      <c r="F21" t="s">
        <v>15</v>
      </c>
      <c r="G21" t="s">
        <v>15</v>
      </c>
      <c r="H21" t="s">
        <v>15</v>
      </c>
      <c r="I21" s="1">
        <v>691127100</v>
      </c>
    </row>
    <row r="22" spans="1:9" x14ac:dyDescent="0.25">
      <c r="A22" t="str">
        <f>"01032"</f>
        <v>01032</v>
      </c>
      <c r="B22" t="s">
        <v>11</v>
      </c>
      <c r="C22" t="s">
        <v>30</v>
      </c>
      <c r="D22" t="s">
        <v>13</v>
      </c>
      <c r="E22" t="s">
        <v>14</v>
      </c>
      <c r="F22" t="s">
        <v>15</v>
      </c>
      <c r="G22" t="s">
        <v>15</v>
      </c>
      <c r="H22" t="s">
        <v>15</v>
      </c>
      <c r="I22" s="1">
        <v>138299600</v>
      </c>
    </row>
    <row r="23" spans="1:9" x14ac:dyDescent="0.25">
      <c r="A23" t="str">
        <f>"01034"</f>
        <v>01034</v>
      </c>
      <c r="B23" t="s">
        <v>11</v>
      </c>
      <c r="C23" t="s">
        <v>31</v>
      </c>
      <c r="D23" t="s">
        <v>13</v>
      </c>
      <c r="E23" t="s">
        <v>14</v>
      </c>
      <c r="F23" t="s">
        <v>15</v>
      </c>
      <c r="G23" t="s">
        <v>15</v>
      </c>
      <c r="H23" t="s">
        <v>15</v>
      </c>
      <c r="I23" s="1">
        <v>226050100</v>
      </c>
    </row>
    <row r="24" spans="1:9" x14ac:dyDescent="0.25">
      <c r="A24" t="s">
        <v>32</v>
      </c>
      <c r="B24" t="s">
        <v>33</v>
      </c>
      <c r="C24" t="s">
        <v>34</v>
      </c>
      <c r="D24" t="s">
        <v>13</v>
      </c>
      <c r="E24" t="s">
        <v>14</v>
      </c>
      <c r="F24" t="s">
        <v>15</v>
      </c>
      <c r="G24" t="s">
        <v>15</v>
      </c>
      <c r="H24" t="s">
        <v>15</v>
      </c>
      <c r="I24" s="1">
        <v>2566670500</v>
      </c>
    </row>
    <row r="25" spans="1:9" x14ac:dyDescent="0.25">
      <c r="A25" t="str">
        <f>"01126"</f>
        <v>01126</v>
      </c>
      <c r="B25" t="s">
        <v>35</v>
      </c>
      <c r="C25" t="s">
        <v>36</v>
      </c>
      <c r="D25" t="str">
        <f>"001"</f>
        <v>001</v>
      </c>
      <c r="E25">
        <v>1997</v>
      </c>
      <c r="F25">
        <v>2696300</v>
      </c>
      <c r="G25">
        <v>6902300</v>
      </c>
      <c r="H25">
        <v>4206000</v>
      </c>
    </row>
    <row r="26" spans="1:9" x14ac:dyDescent="0.25">
      <c r="A26" t="str">
        <f>"01126"</f>
        <v>01126</v>
      </c>
      <c r="B26" t="s">
        <v>35</v>
      </c>
      <c r="C26" t="s">
        <v>36</v>
      </c>
      <c r="D26" t="str">
        <f>"002"</f>
        <v>002</v>
      </c>
      <c r="E26">
        <v>2000</v>
      </c>
      <c r="F26">
        <v>148000</v>
      </c>
      <c r="G26">
        <v>206300</v>
      </c>
      <c r="H26">
        <v>58300</v>
      </c>
    </row>
    <row r="27" spans="1:9" x14ac:dyDescent="0.25">
      <c r="A27" t="str">
        <f>"01126"</f>
        <v>01126</v>
      </c>
      <c r="B27" t="s">
        <v>35</v>
      </c>
      <c r="C27" t="s">
        <v>36</v>
      </c>
      <c r="D27" t="s">
        <v>13</v>
      </c>
      <c r="E27" t="s">
        <v>14</v>
      </c>
      <c r="F27" t="s">
        <v>15</v>
      </c>
      <c r="G27" t="s">
        <v>15</v>
      </c>
      <c r="H27" t="s">
        <v>15</v>
      </c>
      <c r="I27" s="1">
        <v>27094800</v>
      </c>
    </row>
    <row r="28" spans="1:9" x14ac:dyDescent="0.25">
      <c r="A28" t="s">
        <v>32</v>
      </c>
      <c r="B28" t="s">
        <v>37</v>
      </c>
      <c r="C28" t="s">
        <v>34</v>
      </c>
      <c r="D28" t="s">
        <v>13</v>
      </c>
      <c r="E28" t="s">
        <v>14</v>
      </c>
      <c r="F28" t="s">
        <v>15</v>
      </c>
      <c r="G28" t="s">
        <v>15</v>
      </c>
      <c r="H28" t="s">
        <v>15</v>
      </c>
      <c r="I28" s="1">
        <v>27094800</v>
      </c>
    </row>
    <row r="29" spans="1:9" x14ac:dyDescent="0.25">
      <c r="A29" t="str">
        <f>"01201"</f>
        <v>01201</v>
      </c>
      <c r="B29" t="s">
        <v>38</v>
      </c>
      <c r="C29" t="s">
        <v>12</v>
      </c>
      <c r="D29" t="str">
        <f>"002"</f>
        <v>002</v>
      </c>
      <c r="E29">
        <v>1996</v>
      </c>
      <c r="F29">
        <v>9585200</v>
      </c>
      <c r="G29">
        <v>18318000</v>
      </c>
      <c r="H29">
        <v>8732800</v>
      </c>
    </row>
    <row r="30" spans="1:9" x14ac:dyDescent="0.25">
      <c r="A30" t="str">
        <f>"01201"</f>
        <v>01201</v>
      </c>
      <c r="B30" t="s">
        <v>38</v>
      </c>
      <c r="C30" t="s">
        <v>12</v>
      </c>
      <c r="D30" t="str">
        <f>"003"</f>
        <v>003</v>
      </c>
      <c r="E30">
        <v>1996</v>
      </c>
      <c r="F30">
        <v>5169700</v>
      </c>
      <c r="G30">
        <v>16567500</v>
      </c>
      <c r="H30">
        <v>11397800</v>
      </c>
    </row>
    <row r="31" spans="1:9" x14ac:dyDescent="0.25">
      <c r="A31" t="str">
        <f>"01201"</f>
        <v>01201</v>
      </c>
      <c r="B31" t="s">
        <v>38</v>
      </c>
      <c r="C31" t="s">
        <v>12</v>
      </c>
      <c r="D31" t="s">
        <v>13</v>
      </c>
      <c r="E31" t="s">
        <v>14</v>
      </c>
      <c r="F31" t="s">
        <v>15</v>
      </c>
      <c r="G31" t="s">
        <v>15</v>
      </c>
      <c r="H31" t="s">
        <v>15</v>
      </c>
      <c r="I31" s="1">
        <v>60668900</v>
      </c>
    </row>
    <row r="32" spans="1:9" x14ac:dyDescent="0.25">
      <c r="A32" t="str">
        <f>"01291"</f>
        <v>01291</v>
      </c>
      <c r="B32" t="s">
        <v>38</v>
      </c>
      <c r="C32" t="s">
        <v>39</v>
      </c>
      <c r="D32" t="str">
        <f>"003"</f>
        <v>003</v>
      </c>
      <c r="E32">
        <v>2005</v>
      </c>
      <c r="F32">
        <v>2149200</v>
      </c>
      <c r="G32">
        <v>65905000</v>
      </c>
      <c r="H32">
        <v>63755800</v>
      </c>
    </row>
    <row r="33" spans="1:9" x14ac:dyDescent="0.25">
      <c r="A33" t="str">
        <f>"01291"</f>
        <v>01291</v>
      </c>
      <c r="B33" t="s">
        <v>38</v>
      </c>
      <c r="C33" t="s">
        <v>39</v>
      </c>
      <c r="D33" t="s">
        <v>13</v>
      </c>
      <c r="E33" t="s">
        <v>14</v>
      </c>
      <c r="F33" t="s">
        <v>15</v>
      </c>
      <c r="G33" t="s">
        <v>15</v>
      </c>
      <c r="H33" t="s">
        <v>15</v>
      </c>
      <c r="I33" s="1">
        <v>26394800</v>
      </c>
    </row>
    <row r="34" spans="1:9" x14ac:dyDescent="0.25">
      <c r="A34" t="s">
        <v>32</v>
      </c>
      <c r="B34" t="s">
        <v>40</v>
      </c>
      <c r="C34" t="s">
        <v>34</v>
      </c>
      <c r="D34" t="s">
        <v>13</v>
      </c>
      <c r="E34" t="s">
        <v>14</v>
      </c>
      <c r="F34" t="s">
        <v>15</v>
      </c>
      <c r="G34" t="s">
        <v>15</v>
      </c>
      <c r="H34" t="s">
        <v>15</v>
      </c>
      <c r="I34" s="1">
        <v>87063700</v>
      </c>
    </row>
    <row r="35" spans="1:9" x14ac:dyDescent="0.25">
      <c r="A35" t="s">
        <v>32</v>
      </c>
      <c r="B35" t="s">
        <v>41</v>
      </c>
      <c r="C35" t="s">
        <v>12</v>
      </c>
      <c r="D35" t="s">
        <v>13</v>
      </c>
      <c r="E35" t="s">
        <v>14</v>
      </c>
      <c r="F35" t="s">
        <v>15</v>
      </c>
      <c r="G35" t="s">
        <v>15</v>
      </c>
      <c r="H35" t="s">
        <v>15</v>
      </c>
      <c r="I35" s="1">
        <v>2680829000</v>
      </c>
    </row>
    <row r="36" spans="1:9" x14ac:dyDescent="0.25">
      <c r="A36" t="str">
        <f>"02002"</f>
        <v>02002</v>
      </c>
      <c r="B36" t="s">
        <v>11</v>
      </c>
      <c r="C36" t="s">
        <v>42</v>
      </c>
      <c r="D36" t="s">
        <v>13</v>
      </c>
      <c r="E36" t="s">
        <v>14</v>
      </c>
      <c r="F36" t="s">
        <v>15</v>
      </c>
      <c r="G36" t="s">
        <v>15</v>
      </c>
      <c r="H36" t="s">
        <v>15</v>
      </c>
      <c r="I36" s="1">
        <v>37393900</v>
      </c>
    </row>
    <row r="37" spans="1:9" x14ac:dyDescent="0.25">
      <c r="A37" t="str">
        <f>"02004"</f>
        <v>02004</v>
      </c>
      <c r="B37" t="s">
        <v>11</v>
      </c>
      <c r="C37" t="s">
        <v>43</v>
      </c>
      <c r="D37" t="s">
        <v>13</v>
      </c>
      <c r="E37" t="s">
        <v>14</v>
      </c>
      <c r="F37" t="s">
        <v>15</v>
      </c>
      <c r="G37" t="s">
        <v>15</v>
      </c>
      <c r="H37" t="s">
        <v>15</v>
      </c>
      <c r="I37" s="1">
        <v>40613000</v>
      </c>
    </row>
    <row r="38" spans="1:9" x14ac:dyDescent="0.25">
      <c r="A38" t="str">
        <f>"02006"</f>
        <v>02006</v>
      </c>
      <c r="B38" t="s">
        <v>11</v>
      </c>
      <c r="C38" t="s">
        <v>44</v>
      </c>
      <c r="D38" t="s">
        <v>13</v>
      </c>
      <c r="E38" t="s">
        <v>14</v>
      </c>
      <c r="F38" t="s">
        <v>15</v>
      </c>
      <c r="G38" t="s">
        <v>15</v>
      </c>
      <c r="H38" t="s">
        <v>15</v>
      </c>
      <c r="I38" s="1">
        <v>44749700</v>
      </c>
    </row>
    <row r="39" spans="1:9" x14ac:dyDescent="0.25">
      <c r="A39" t="str">
        <f>"02008"</f>
        <v>02008</v>
      </c>
      <c r="B39" t="s">
        <v>11</v>
      </c>
      <c r="C39" t="s">
        <v>45</v>
      </c>
      <c r="D39" t="s">
        <v>13</v>
      </c>
      <c r="E39" t="s">
        <v>14</v>
      </c>
      <c r="F39" t="s">
        <v>15</v>
      </c>
      <c r="G39" t="s">
        <v>15</v>
      </c>
      <c r="H39" t="s">
        <v>15</v>
      </c>
      <c r="I39" s="1">
        <v>55343600</v>
      </c>
    </row>
    <row r="40" spans="1:9" x14ac:dyDescent="0.25">
      <c r="A40" t="str">
        <f>"02010"</f>
        <v>02010</v>
      </c>
      <c r="B40" t="s">
        <v>11</v>
      </c>
      <c r="C40" t="s">
        <v>46</v>
      </c>
      <c r="D40" t="s">
        <v>13</v>
      </c>
      <c r="E40" t="s">
        <v>14</v>
      </c>
      <c r="F40" t="s">
        <v>15</v>
      </c>
      <c r="G40" t="s">
        <v>15</v>
      </c>
      <c r="H40" t="s">
        <v>15</v>
      </c>
      <c r="I40" s="1">
        <v>56846800</v>
      </c>
    </row>
    <row r="41" spans="1:9" x14ac:dyDescent="0.25">
      <c r="A41" t="str">
        <f>"02012"</f>
        <v>02012</v>
      </c>
      <c r="B41" t="s">
        <v>11</v>
      </c>
      <c r="C41" t="s">
        <v>47</v>
      </c>
      <c r="D41" t="s">
        <v>13</v>
      </c>
      <c r="E41" t="s">
        <v>14</v>
      </c>
      <c r="F41" t="s">
        <v>15</v>
      </c>
      <c r="G41" t="s">
        <v>15</v>
      </c>
      <c r="H41" t="s">
        <v>15</v>
      </c>
      <c r="I41" s="1">
        <v>36160200</v>
      </c>
    </row>
    <row r="42" spans="1:9" x14ac:dyDescent="0.25">
      <c r="A42" t="str">
        <f>"02014"</f>
        <v>02014</v>
      </c>
      <c r="B42" t="s">
        <v>11</v>
      </c>
      <c r="C42" t="s">
        <v>48</v>
      </c>
      <c r="D42" t="s">
        <v>13</v>
      </c>
      <c r="E42" t="s">
        <v>14</v>
      </c>
      <c r="F42" t="s">
        <v>15</v>
      </c>
      <c r="G42" t="s">
        <v>15</v>
      </c>
      <c r="H42" t="s">
        <v>15</v>
      </c>
      <c r="I42" s="1">
        <v>261850100</v>
      </c>
    </row>
    <row r="43" spans="1:9" x14ac:dyDescent="0.25">
      <c r="A43" t="str">
        <f>"02016"</f>
        <v>02016</v>
      </c>
      <c r="B43" t="s">
        <v>11</v>
      </c>
      <c r="C43" t="s">
        <v>49</v>
      </c>
      <c r="D43" t="s">
        <v>13</v>
      </c>
      <c r="E43" t="s">
        <v>14</v>
      </c>
      <c r="F43" t="s">
        <v>15</v>
      </c>
      <c r="G43" t="s">
        <v>15</v>
      </c>
      <c r="H43" t="s">
        <v>15</v>
      </c>
      <c r="I43" s="1">
        <v>32427600</v>
      </c>
    </row>
    <row r="44" spans="1:9" x14ac:dyDescent="0.25">
      <c r="A44" t="str">
        <f>"02018"</f>
        <v>02018</v>
      </c>
      <c r="B44" t="s">
        <v>11</v>
      </c>
      <c r="C44" t="s">
        <v>50</v>
      </c>
      <c r="D44" t="s">
        <v>13</v>
      </c>
      <c r="E44" t="s">
        <v>14</v>
      </c>
      <c r="F44" t="s">
        <v>15</v>
      </c>
      <c r="G44" t="s">
        <v>15</v>
      </c>
      <c r="H44" t="s">
        <v>15</v>
      </c>
      <c r="I44" s="1">
        <v>50990100</v>
      </c>
    </row>
    <row r="45" spans="1:9" x14ac:dyDescent="0.25">
      <c r="A45" t="str">
        <f>"02020"</f>
        <v>02020</v>
      </c>
      <c r="B45" t="s">
        <v>11</v>
      </c>
      <c r="C45" t="s">
        <v>51</v>
      </c>
      <c r="D45" t="s">
        <v>13</v>
      </c>
      <c r="E45" t="s">
        <v>14</v>
      </c>
      <c r="F45" t="s">
        <v>15</v>
      </c>
      <c r="G45" t="s">
        <v>15</v>
      </c>
      <c r="H45" t="s">
        <v>15</v>
      </c>
      <c r="I45" s="1">
        <v>17448400</v>
      </c>
    </row>
    <row r="46" spans="1:9" x14ac:dyDescent="0.25">
      <c r="A46" t="str">
        <f>"02022"</f>
        <v>02022</v>
      </c>
      <c r="B46" t="s">
        <v>11</v>
      </c>
      <c r="C46" t="s">
        <v>52</v>
      </c>
      <c r="D46" t="s">
        <v>13</v>
      </c>
      <c r="E46" t="s">
        <v>14</v>
      </c>
      <c r="F46" t="s">
        <v>15</v>
      </c>
      <c r="G46" t="s">
        <v>15</v>
      </c>
      <c r="H46" t="s">
        <v>15</v>
      </c>
      <c r="I46" s="1">
        <v>32629100</v>
      </c>
    </row>
    <row r="47" spans="1:9" x14ac:dyDescent="0.25">
      <c r="A47" t="str">
        <f>"02024"</f>
        <v>02024</v>
      </c>
      <c r="B47" t="s">
        <v>11</v>
      </c>
      <c r="C47" t="s">
        <v>53</v>
      </c>
      <c r="D47" t="s">
        <v>13</v>
      </c>
      <c r="E47" t="s">
        <v>14</v>
      </c>
      <c r="F47" t="s">
        <v>15</v>
      </c>
      <c r="G47" t="s">
        <v>15</v>
      </c>
      <c r="H47" t="s">
        <v>15</v>
      </c>
      <c r="I47" s="1">
        <v>21903400</v>
      </c>
    </row>
    <row r="48" spans="1:9" x14ac:dyDescent="0.25">
      <c r="A48" t="str">
        <f>"02026"</f>
        <v>02026</v>
      </c>
      <c r="B48" t="s">
        <v>11</v>
      </c>
      <c r="C48" t="s">
        <v>54</v>
      </c>
      <c r="D48" t="s">
        <v>13</v>
      </c>
      <c r="E48" t="s">
        <v>14</v>
      </c>
      <c r="F48" t="s">
        <v>15</v>
      </c>
      <c r="G48" t="s">
        <v>15</v>
      </c>
      <c r="H48" t="s">
        <v>15</v>
      </c>
      <c r="I48" s="1">
        <v>53424500</v>
      </c>
    </row>
    <row r="49" spans="1:9" x14ac:dyDescent="0.25">
      <c r="A49" t="s">
        <v>32</v>
      </c>
      <c r="B49" t="s">
        <v>33</v>
      </c>
      <c r="C49" t="s">
        <v>34</v>
      </c>
      <c r="D49" t="s">
        <v>13</v>
      </c>
      <c r="E49" t="s">
        <v>14</v>
      </c>
      <c r="F49" t="s">
        <v>15</v>
      </c>
      <c r="G49" t="s">
        <v>15</v>
      </c>
      <c r="H49" t="s">
        <v>15</v>
      </c>
      <c r="I49" s="1">
        <v>741780400</v>
      </c>
    </row>
    <row r="50" spans="1:9" x14ac:dyDescent="0.25">
      <c r="A50" t="str">
        <f>"02106"</f>
        <v>02106</v>
      </c>
      <c r="B50" t="s">
        <v>35</v>
      </c>
      <c r="C50" t="s">
        <v>55</v>
      </c>
      <c r="D50" t="s">
        <v>13</v>
      </c>
      <c r="E50" t="s">
        <v>14</v>
      </c>
      <c r="F50" t="s">
        <v>15</v>
      </c>
      <c r="G50" t="s">
        <v>15</v>
      </c>
      <c r="H50" t="s">
        <v>15</v>
      </c>
      <c r="I50" s="1">
        <v>9945400</v>
      </c>
    </row>
    <row r="51" spans="1:9" x14ac:dyDescent="0.25">
      <c r="A51" t="s">
        <v>32</v>
      </c>
      <c r="B51" t="s">
        <v>37</v>
      </c>
      <c r="C51" t="s">
        <v>34</v>
      </c>
      <c r="D51" t="s">
        <v>13</v>
      </c>
      <c r="E51" t="s">
        <v>14</v>
      </c>
      <c r="F51" t="s">
        <v>15</v>
      </c>
      <c r="G51" t="s">
        <v>15</v>
      </c>
      <c r="H51" t="s">
        <v>15</v>
      </c>
      <c r="I51" s="1">
        <v>9945400</v>
      </c>
    </row>
    <row r="52" spans="1:9" x14ac:dyDescent="0.25">
      <c r="A52" t="str">
        <f>"02201"</f>
        <v>02201</v>
      </c>
      <c r="B52" t="s">
        <v>38</v>
      </c>
      <c r="C52" t="s">
        <v>43</v>
      </c>
      <c r="D52" t="str">
        <f>"006"</f>
        <v>006</v>
      </c>
      <c r="E52">
        <v>1994</v>
      </c>
      <c r="F52">
        <v>5659600</v>
      </c>
      <c r="G52">
        <v>18859700</v>
      </c>
      <c r="H52">
        <v>13200100</v>
      </c>
    </row>
    <row r="53" spans="1:9" x14ac:dyDescent="0.25">
      <c r="A53" t="str">
        <f>"02201"</f>
        <v>02201</v>
      </c>
      <c r="B53" t="s">
        <v>38</v>
      </c>
      <c r="C53" t="s">
        <v>43</v>
      </c>
      <c r="D53" t="str">
        <f>"009"</f>
        <v>009</v>
      </c>
      <c r="E53">
        <v>2006</v>
      </c>
      <c r="F53">
        <v>2359600</v>
      </c>
      <c r="G53">
        <v>11934300</v>
      </c>
      <c r="H53">
        <v>9574700</v>
      </c>
    </row>
    <row r="54" spans="1:9" x14ac:dyDescent="0.25">
      <c r="A54" t="str">
        <f>"02201"</f>
        <v>02201</v>
      </c>
      <c r="B54" t="s">
        <v>38</v>
      </c>
      <c r="C54" t="s">
        <v>43</v>
      </c>
      <c r="D54" t="str">
        <f>"010"</f>
        <v>010</v>
      </c>
      <c r="E54">
        <v>2017</v>
      </c>
      <c r="F54">
        <v>2709200</v>
      </c>
      <c r="G54">
        <v>6782300</v>
      </c>
      <c r="H54">
        <v>4073100</v>
      </c>
    </row>
    <row r="55" spans="1:9" x14ac:dyDescent="0.25">
      <c r="A55" t="str">
        <f>"02201"</f>
        <v>02201</v>
      </c>
      <c r="B55" t="s">
        <v>38</v>
      </c>
      <c r="C55" t="s">
        <v>43</v>
      </c>
      <c r="D55" t="s">
        <v>13</v>
      </c>
      <c r="E55" t="s">
        <v>14</v>
      </c>
      <c r="F55" t="s">
        <v>15</v>
      </c>
      <c r="G55" t="s">
        <v>15</v>
      </c>
      <c r="H55" t="s">
        <v>15</v>
      </c>
      <c r="I55" s="1">
        <v>449170900</v>
      </c>
    </row>
    <row r="56" spans="1:9" x14ac:dyDescent="0.25">
      <c r="A56" t="str">
        <f>"02251"</f>
        <v>02251</v>
      </c>
      <c r="B56" t="s">
        <v>38</v>
      </c>
      <c r="C56" t="s">
        <v>56</v>
      </c>
      <c r="D56" t="s">
        <v>13</v>
      </c>
      <c r="E56" t="s">
        <v>14</v>
      </c>
      <c r="F56" t="s">
        <v>15</v>
      </c>
      <c r="G56" t="s">
        <v>15</v>
      </c>
      <c r="H56" t="s">
        <v>15</v>
      </c>
      <c r="I56" s="1">
        <v>24418800</v>
      </c>
    </row>
    <row r="57" spans="1:9" x14ac:dyDescent="0.25">
      <c r="A57" t="s">
        <v>32</v>
      </c>
      <c r="B57" t="s">
        <v>40</v>
      </c>
      <c r="C57" t="s">
        <v>34</v>
      </c>
      <c r="D57" t="s">
        <v>13</v>
      </c>
      <c r="E57" t="s">
        <v>14</v>
      </c>
      <c r="F57" t="s">
        <v>15</v>
      </c>
      <c r="G57" t="s">
        <v>15</v>
      </c>
      <c r="H57" t="s">
        <v>15</v>
      </c>
      <c r="I57" s="1">
        <v>473589700</v>
      </c>
    </row>
    <row r="58" spans="1:9" x14ac:dyDescent="0.25">
      <c r="A58" t="s">
        <v>32</v>
      </c>
      <c r="B58" t="s">
        <v>41</v>
      </c>
      <c r="C58" t="s">
        <v>43</v>
      </c>
      <c r="D58" t="s">
        <v>13</v>
      </c>
      <c r="E58" t="s">
        <v>14</v>
      </c>
      <c r="F58" t="s">
        <v>15</v>
      </c>
      <c r="G58" t="s">
        <v>15</v>
      </c>
      <c r="H58" t="s">
        <v>15</v>
      </c>
      <c r="I58" s="1">
        <v>1225315500</v>
      </c>
    </row>
    <row r="59" spans="1:9" x14ac:dyDescent="0.25">
      <c r="A59" t="str">
        <f>"03002"</f>
        <v>03002</v>
      </c>
      <c r="B59" t="s">
        <v>11</v>
      </c>
      <c r="C59" t="s">
        <v>57</v>
      </c>
      <c r="D59" t="s">
        <v>13</v>
      </c>
      <c r="E59" t="s">
        <v>14</v>
      </c>
      <c r="F59" t="s">
        <v>15</v>
      </c>
      <c r="G59" t="s">
        <v>15</v>
      </c>
      <c r="H59" t="s">
        <v>15</v>
      </c>
      <c r="I59" s="1">
        <v>168451600</v>
      </c>
    </row>
    <row r="60" spans="1:9" x14ac:dyDescent="0.25">
      <c r="A60" t="str">
        <f>"03004"</f>
        <v>03004</v>
      </c>
      <c r="B60" t="s">
        <v>11</v>
      </c>
      <c r="C60" t="s">
        <v>58</v>
      </c>
      <c r="D60" t="s">
        <v>13</v>
      </c>
      <c r="E60" t="s">
        <v>14</v>
      </c>
      <c r="F60" t="s">
        <v>15</v>
      </c>
      <c r="G60" t="s">
        <v>15</v>
      </c>
      <c r="H60" t="s">
        <v>15</v>
      </c>
      <c r="I60" s="1">
        <v>72394300</v>
      </c>
    </row>
    <row r="61" spans="1:9" x14ac:dyDescent="0.25">
      <c r="A61" t="str">
        <f>"03006"</f>
        <v>03006</v>
      </c>
      <c r="B61" t="s">
        <v>11</v>
      </c>
      <c r="C61" t="s">
        <v>59</v>
      </c>
      <c r="D61" t="s">
        <v>13</v>
      </c>
      <c r="E61" t="s">
        <v>14</v>
      </c>
      <c r="F61" t="s">
        <v>15</v>
      </c>
      <c r="G61" t="s">
        <v>15</v>
      </c>
      <c r="H61" t="s">
        <v>15</v>
      </c>
      <c r="I61" s="1">
        <v>58648500</v>
      </c>
    </row>
    <row r="62" spans="1:9" x14ac:dyDescent="0.25">
      <c r="A62" t="str">
        <f>"03008"</f>
        <v>03008</v>
      </c>
      <c r="B62" t="s">
        <v>11</v>
      </c>
      <c r="C62" t="s">
        <v>60</v>
      </c>
      <c r="D62" t="s">
        <v>13</v>
      </c>
      <c r="E62" t="s">
        <v>14</v>
      </c>
      <c r="F62" t="s">
        <v>15</v>
      </c>
      <c r="G62" t="s">
        <v>15</v>
      </c>
      <c r="H62" t="s">
        <v>15</v>
      </c>
      <c r="I62" s="1">
        <v>90260900</v>
      </c>
    </row>
    <row r="63" spans="1:9" x14ac:dyDescent="0.25">
      <c r="A63" t="str">
        <f>"03010"</f>
        <v>03010</v>
      </c>
      <c r="B63" t="s">
        <v>11</v>
      </c>
      <c r="C63" t="s">
        <v>61</v>
      </c>
      <c r="D63" t="s">
        <v>13</v>
      </c>
      <c r="E63" t="s">
        <v>14</v>
      </c>
      <c r="F63" t="s">
        <v>15</v>
      </c>
      <c r="G63" t="s">
        <v>15</v>
      </c>
      <c r="H63" t="s">
        <v>15</v>
      </c>
      <c r="I63" s="1">
        <v>290942600</v>
      </c>
    </row>
    <row r="64" spans="1:9" x14ac:dyDescent="0.25">
      <c r="A64" t="str">
        <f>"03012"</f>
        <v>03012</v>
      </c>
      <c r="B64" t="s">
        <v>11</v>
      </c>
      <c r="C64" t="s">
        <v>62</v>
      </c>
      <c r="D64" t="s">
        <v>13</v>
      </c>
      <c r="E64" t="s">
        <v>14</v>
      </c>
      <c r="F64" t="s">
        <v>15</v>
      </c>
      <c r="G64" t="s">
        <v>15</v>
      </c>
      <c r="H64" t="s">
        <v>15</v>
      </c>
      <c r="I64" s="1">
        <v>275642600</v>
      </c>
    </row>
    <row r="65" spans="1:9" x14ac:dyDescent="0.25">
      <c r="A65" t="str">
        <f>"03014"</f>
        <v>03014</v>
      </c>
      <c r="B65" t="s">
        <v>11</v>
      </c>
      <c r="C65" t="s">
        <v>63</v>
      </c>
      <c r="D65" t="s">
        <v>13</v>
      </c>
      <c r="E65" t="s">
        <v>14</v>
      </c>
      <c r="F65" t="s">
        <v>15</v>
      </c>
      <c r="G65" t="s">
        <v>15</v>
      </c>
      <c r="H65" t="s">
        <v>15</v>
      </c>
      <c r="I65" s="1">
        <v>91324000</v>
      </c>
    </row>
    <row r="66" spans="1:9" x14ac:dyDescent="0.25">
      <c r="A66" t="str">
        <f>"03016"</f>
        <v>03016</v>
      </c>
      <c r="B66" t="s">
        <v>11</v>
      </c>
      <c r="C66" t="s">
        <v>64</v>
      </c>
      <c r="D66" t="s">
        <v>13</v>
      </c>
      <c r="E66" t="s">
        <v>14</v>
      </c>
      <c r="F66" t="s">
        <v>15</v>
      </c>
      <c r="G66" t="s">
        <v>15</v>
      </c>
      <c r="H66" t="s">
        <v>15</v>
      </c>
      <c r="I66" s="1">
        <v>84297500</v>
      </c>
    </row>
    <row r="67" spans="1:9" x14ac:dyDescent="0.25">
      <c r="A67" t="str">
        <f>"03018"</f>
        <v>03018</v>
      </c>
      <c r="B67" t="s">
        <v>11</v>
      </c>
      <c r="C67" t="s">
        <v>65</v>
      </c>
      <c r="D67" t="s">
        <v>13</v>
      </c>
      <c r="E67" t="s">
        <v>14</v>
      </c>
      <c r="F67" t="s">
        <v>15</v>
      </c>
      <c r="G67" t="s">
        <v>15</v>
      </c>
      <c r="H67" t="s">
        <v>15</v>
      </c>
      <c r="I67" s="1">
        <v>85339700</v>
      </c>
    </row>
    <row r="68" spans="1:9" x14ac:dyDescent="0.25">
      <c r="A68" t="str">
        <f>"03020"</f>
        <v>03020</v>
      </c>
      <c r="B68" t="s">
        <v>11</v>
      </c>
      <c r="C68" t="s">
        <v>66</v>
      </c>
      <c r="D68" t="s">
        <v>13</v>
      </c>
      <c r="E68" t="s">
        <v>14</v>
      </c>
      <c r="F68" t="s">
        <v>15</v>
      </c>
      <c r="G68" t="s">
        <v>15</v>
      </c>
      <c r="H68" t="s">
        <v>15</v>
      </c>
      <c r="I68" s="1">
        <v>41339500</v>
      </c>
    </row>
    <row r="69" spans="1:9" x14ac:dyDescent="0.25">
      <c r="A69" t="str">
        <f>"03022"</f>
        <v>03022</v>
      </c>
      <c r="B69" t="s">
        <v>11</v>
      </c>
      <c r="C69" t="s">
        <v>67</v>
      </c>
      <c r="D69" t="s">
        <v>13</v>
      </c>
      <c r="E69" t="s">
        <v>14</v>
      </c>
      <c r="F69" t="s">
        <v>15</v>
      </c>
      <c r="G69" t="s">
        <v>15</v>
      </c>
      <c r="H69" t="s">
        <v>15</v>
      </c>
      <c r="I69" s="1">
        <v>135738400</v>
      </c>
    </row>
    <row r="70" spans="1:9" x14ac:dyDescent="0.25">
      <c r="A70" t="str">
        <f>"03024"</f>
        <v>03024</v>
      </c>
      <c r="B70" t="s">
        <v>11</v>
      </c>
      <c r="C70" t="s">
        <v>68</v>
      </c>
      <c r="D70" t="s">
        <v>13</v>
      </c>
      <c r="E70" t="s">
        <v>14</v>
      </c>
      <c r="F70" t="s">
        <v>15</v>
      </c>
      <c r="G70" t="s">
        <v>15</v>
      </c>
      <c r="H70" t="s">
        <v>15</v>
      </c>
      <c r="I70" s="1">
        <v>53299500</v>
      </c>
    </row>
    <row r="71" spans="1:9" x14ac:dyDescent="0.25">
      <c r="A71" t="str">
        <f>"03026"</f>
        <v>03026</v>
      </c>
      <c r="B71" t="s">
        <v>11</v>
      </c>
      <c r="C71" t="s">
        <v>69</v>
      </c>
      <c r="D71" t="s">
        <v>13</v>
      </c>
      <c r="E71" t="s">
        <v>14</v>
      </c>
      <c r="F71" t="s">
        <v>15</v>
      </c>
      <c r="G71" t="s">
        <v>15</v>
      </c>
      <c r="H71" t="s">
        <v>15</v>
      </c>
      <c r="I71" s="1">
        <v>156523000</v>
      </c>
    </row>
    <row r="72" spans="1:9" x14ac:dyDescent="0.25">
      <c r="A72" t="str">
        <f>"03028"</f>
        <v>03028</v>
      </c>
      <c r="B72" t="s">
        <v>11</v>
      </c>
      <c r="C72" t="s">
        <v>70</v>
      </c>
      <c r="D72" t="s">
        <v>13</v>
      </c>
      <c r="E72" t="s">
        <v>14</v>
      </c>
      <c r="F72" t="s">
        <v>15</v>
      </c>
      <c r="G72" t="s">
        <v>15</v>
      </c>
      <c r="H72" t="s">
        <v>15</v>
      </c>
      <c r="I72" s="1">
        <v>61946000</v>
      </c>
    </row>
    <row r="73" spans="1:9" x14ac:dyDescent="0.25">
      <c r="A73" t="str">
        <f>"03030"</f>
        <v>03030</v>
      </c>
      <c r="B73" t="s">
        <v>11</v>
      </c>
      <c r="C73" t="s">
        <v>71</v>
      </c>
      <c r="D73" t="s">
        <v>13</v>
      </c>
      <c r="E73" t="s">
        <v>14</v>
      </c>
      <c r="F73" t="s">
        <v>15</v>
      </c>
      <c r="G73" t="s">
        <v>15</v>
      </c>
      <c r="H73" t="s">
        <v>15</v>
      </c>
      <c r="I73" s="1">
        <v>203252900</v>
      </c>
    </row>
    <row r="74" spans="1:9" x14ac:dyDescent="0.25">
      <c r="A74" t="str">
        <f>"03032"</f>
        <v>03032</v>
      </c>
      <c r="B74" t="s">
        <v>11</v>
      </c>
      <c r="C74" t="s">
        <v>72</v>
      </c>
      <c r="D74" t="s">
        <v>13</v>
      </c>
      <c r="E74" t="s">
        <v>14</v>
      </c>
      <c r="F74" t="s">
        <v>15</v>
      </c>
      <c r="G74" t="s">
        <v>15</v>
      </c>
      <c r="H74" t="s">
        <v>15</v>
      </c>
      <c r="I74" s="1">
        <v>85311200</v>
      </c>
    </row>
    <row r="75" spans="1:9" x14ac:dyDescent="0.25">
      <c r="A75" t="str">
        <f>"03034"</f>
        <v>03034</v>
      </c>
      <c r="B75" t="s">
        <v>11</v>
      </c>
      <c r="C75" t="s">
        <v>73</v>
      </c>
      <c r="D75" t="s">
        <v>13</v>
      </c>
      <c r="E75" t="s">
        <v>14</v>
      </c>
      <c r="F75" t="s">
        <v>15</v>
      </c>
      <c r="G75" t="s">
        <v>15</v>
      </c>
      <c r="H75" t="s">
        <v>15</v>
      </c>
      <c r="I75" s="1">
        <v>38982700</v>
      </c>
    </row>
    <row r="76" spans="1:9" x14ac:dyDescent="0.25">
      <c r="A76" t="str">
        <f>"03036"</f>
        <v>03036</v>
      </c>
      <c r="B76" t="s">
        <v>11</v>
      </c>
      <c r="C76" t="s">
        <v>74</v>
      </c>
      <c r="D76" t="s">
        <v>13</v>
      </c>
      <c r="E76" t="s">
        <v>14</v>
      </c>
      <c r="F76" t="s">
        <v>15</v>
      </c>
      <c r="G76" t="s">
        <v>15</v>
      </c>
      <c r="H76" t="s">
        <v>15</v>
      </c>
      <c r="I76" s="1">
        <v>184931000</v>
      </c>
    </row>
    <row r="77" spans="1:9" x14ac:dyDescent="0.25">
      <c r="A77" t="str">
        <f>"03038"</f>
        <v>03038</v>
      </c>
      <c r="B77" t="s">
        <v>11</v>
      </c>
      <c r="C77" t="s">
        <v>75</v>
      </c>
      <c r="D77" t="s">
        <v>13</v>
      </c>
      <c r="E77" t="s">
        <v>14</v>
      </c>
      <c r="F77" t="s">
        <v>15</v>
      </c>
      <c r="G77" t="s">
        <v>15</v>
      </c>
      <c r="H77" t="s">
        <v>15</v>
      </c>
      <c r="I77" s="1">
        <v>248053800</v>
      </c>
    </row>
    <row r="78" spans="1:9" x14ac:dyDescent="0.25">
      <c r="A78" t="str">
        <f>"03040"</f>
        <v>03040</v>
      </c>
      <c r="B78" t="s">
        <v>11</v>
      </c>
      <c r="C78" t="s">
        <v>76</v>
      </c>
      <c r="D78" t="s">
        <v>13</v>
      </c>
      <c r="E78" t="s">
        <v>14</v>
      </c>
      <c r="F78" t="s">
        <v>15</v>
      </c>
      <c r="G78" t="s">
        <v>15</v>
      </c>
      <c r="H78" t="s">
        <v>15</v>
      </c>
      <c r="I78" s="1">
        <v>80197100</v>
      </c>
    </row>
    <row r="79" spans="1:9" x14ac:dyDescent="0.25">
      <c r="A79" t="str">
        <f>"03042"</f>
        <v>03042</v>
      </c>
      <c r="B79" t="s">
        <v>11</v>
      </c>
      <c r="C79" t="s">
        <v>77</v>
      </c>
      <c r="D79" t="s">
        <v>13</v>
      </c>
      <c r="E79" t="s">
        <v>14</v>
      </c>
      <c r="F79" t="s">
        <v>15</v>
      </c>
      <c r="G79" t="s">
        <v>15</v>
      </c>
      <c r="H79" t="s">
        <v>15</v>
      </c>
      <c r="I79" s="1">
        <v>63143400</v>
      </c>
    </row>
    <row r="80" spans="1:9" x14ac:dyDescent="0.25">
      <c r="A80" t="str">
        <f>"03044"</f>
        <v>03044</v>
      </c>
      <c r="B80" t="s">
        <v>11</v>
      </c>
      <c r="C80" t="s">
        <v>78</v>
      </c>
      <c r="D80" t="s">
        <v>13</v>
      </c>
      <c r="E80" t="s">
        <v>14</v>
      </c>
      <c r="F80" t="s">
        <v>15</v>
      </c>
      <c r="G80" t="s">
        <v>15</v>
      </c>
      <c r="H80" t="s">
        <v>15</v>
      </c>
      <c r="I80" s="1">
        <v>227439900</v>
      </c>
    </row>
    <row r="81" spans="1:9" x14ac:dyDescent="0.25">
      <c r="A81" t="str">
        <f>"03046"</f>
        <v>03046</v>
      </c>
      <c r="B81" t="s">
        <v>11</v>
      </c>
      <c r="C81" t="s">
        <v>79</v>
      </c>
      <c r="D81" t="s">
        <v>13</v>
      </c>
      <c r="E81" t="s">
        <v>14</v>
      </c>
      <c r="F81" t="s">
        <v>15</v>
      </c>
      <c r="G81" t="s">
        <v>15</v>
      </c>
      <c r="H81" t="s">
        <v>15</v>
      </c>
      <c r="I81" s="1">
        <v>71685600</v>
      </c>
    </row>
    <row r="82" spans="1:9" x14ac:dyDescent="0.25">
      <c r="A82" t="str">
        <f>"03048"</f>
        <v>03048</v>
      </c>
      <c r="B82" t="s">
        <v>11</v>
      </c>
      <c r="C82" t="s">
        <v>80</v>
      </c>
      <c r="D82" t="s">
        <v>13</v>
      </c>
      <c r="E82" t="s">
        <v>14</v>
      </c>
      <c r="F82" t="s">
        <v>15</v>
      </c>
      <c r="G82" t="s">
        <v>15</v>
      </c>
      <c r="H82" t="s">
        <v>15</v>
      </c>
      <c r="I82" s="1">
        <v>94826900</v>
      </c>
    </row>
    <row r="83" spans="1:9" x14ac:dyDescent="0.25">
      <c r="A83" t="str">
        <f>"03050"</f>
        <v>03050</v>
      </c>
      <c r="B83" t="s">
        <v>11</v>
      </c>
      <c r="C83" t="s">
        <v>81</v>
      </c>
      <c r="D83" t="s">
        <v>13</v>
      </c>
      <c r="E83" t="s">
        <v>14</v>
      </c>
      <c r="F83" t="s">
        <v>15</v>
      </c>
      <c r="G83" t="s">
        <v>15</v>
      </c>
      <c r="H83" t="s">
        <v>15</v>
      </c>
      <c r="I83" s="1">
        <v>42883000</v>
      </c>
    </row>
    <row r="84" spans="1:9" x14ac:dyDescent="0.25">
      <c r="A84" t="s">
        <v>32</v>
      </c>
      <c r="B84" t="s">
        <v>33</v>
      </c>
      <c r="C84" t="s">
        <v>34</v>
      </c>
      <c r="D84" t="s">
        <v>13</v>
      </c>
      <c r="E84" t="s">
        <v>14</v>
      </c>
      <c r="F84" t="s">
        <v>15</v>
      </c>
      <c r="G84" t="s">
        <v>15</v>
      </c>
      <c r="H84" t="s">
        <v>15</v>
      </c>
      <c r="I84" s="1">
        <v>3006855600</v>
      </c>
    </row>
    <row r="85" spans="1:9" x14ac:dyDescent="0.25">
      <c r="A85" t="str">
        <f>"03101"</f>
        <v>03101</v>
      </c>
      <c r="B85" t="s">
        <v>35</v>
      </c>
      <c r="C85" t="s">
        <v>57</v>
      </c>
      <c r="D85" t="str">
        <f>"001"</f>
        <v>001</v>
      </c>
      <c r="E85">
        <v>1990</v>
      </c>
      <c r="F85">
        <v>288300</v>
      </c>
      <c r="G85">
        <v>7026900</v>
      </c>
      <c r="H85">
        <v>6738600</v>
      </c>
    </row>
    <row r="86" spans="1:9" x14ac:dyDescent="0.25">
      <c r="A86" t="str">
        <f>"03101"</f>
        <v>03101</v>
      </c>
      <c r="B86" t="s">
        <v>35</v>
      </c>
      <c r="C86" t="s">
        <v>57</v>
      </c>
      <c r="D86" t="str">
        <f>"002"</f>
        <v>002</v>
      </c>
      <c r="E86">
        <v>1992</v>
      </c>
      <c r="F86">
        <v>146700</v>
      </c>
      <c r="G86">
        <v>1630300</v>
      </c>
      <c r="H86">
        <v>1483600</v>
      </c>
    </row>
    <row r="87" spans="1:9" x14ac:dyDescent="0.25">
      <c r="A87" t="str">
        <f>"03101"</f>
        <v>03101</v>
      </c>
      <c r="B87" t="s">
        <v>35</v>
      </c>
      <c r="C87" t="s">
        <v>57</v>
      </c>
      <c r="D87" t="s">
        <v>13</v>
      </c>
      <c r="E87" t="s">
        <v>14</v>
      </c>
      <c r="F87" t="s">
        <v>15</v>
      </c>
      <c r="G87" t="s">
        <v>15</v>
      </c>
      <c r="H87" t="s">
        <v>15</v>
      </c>
      <c r="I87" s="1">
        <v>22414800</v>
      </c>
    </row>
    <row r="88" spans="1:9" x14ac:dyDescent="0.25">
      <c r="A88" t="str">
        <f>"03111"</f>
        <v>03111</v>
      </c>
      <c r="B88" t="s">
        <v>35</v>
      </c>
      <c r="C88" t="s">
        <v>82</v>
      </c>
      <c r="D88" t="str">
        <f>"001"</f>
        <v>001</v>
      </c>
      <c r="E88">
        <v>2005</v>
      </c>
      <c r="F88">
        <v>2317500</v>
      </c>
      <c r="G88">
        <v>18043500</v>
      </c>
      <c r="H88">
        <v>15726000</v>
      </c>
    </row>
    <row r="89" spans="1:9" x14ac:dyDescent="0.25">
      <c r="A89" t="str">
        <f>"03111"</f>
        <v>03111</v>
      </c>
      <c r="B89" t="s">
        <v>35</v>
      </c>
      <c r="C89" t="s">
        <v>82</v>
      </c>
      <c r="D89" t="s">
        <v>13</v>
      </c>
      <c r="E89" t="s">
        <v>14</v>
      </c>
      <c r="F89" t="s">
        <v>15</v>
      </c>
      <c r="G89" t="s">
        <v>15</v>
      </c>
      <c r="H89" t="s">
        <v>15</v>
      </c>
      <c r="I89" s="1">
        <v>94493100</v>
      </c>
    </row>
    <row r="90" spans="1:9" x14ac:dyDescent="0.25">
      <c r="A90" t="str">
        <f>"03116"</f>
        <v>03116</v>
      </c>
      <c r="B90" t="s">
        <v>35</v>
      </c>
      <c r="C90" t="s">
        <v>66</v>
      </c>
      <c r="D90" t="str">
        <f>"002"</f>
        <v>002</v>
      </c>
      <c r="E90">
        <v>2001</v>
      </c>
      <c r="F90">
        <v>29900</v>
      </c>
      <c r="G90">
        <v>1235700</v>
      </c>
      <c r="H90">
        <v>1205800</v>
      </c>
    </row>
    <row r="91" spans="1:9" x14ac:dyDescent="0.25">
      <c r="A91" t="str">
        <f>"03116"</f>
        <v>03116</v>
      </c>
      <c r="B91" t="s">
        <v>35</v>
      </c>
      <c r="C91" t="s">
        <v>66</v>
      </c>
      <c r="D91" t="s">
        <v>13</v>
      </c>
      <c r="E91" t="s">
        <v>14</v>
      </c>
      <c r="F91" t="s">
        <v>15</v>
      </c>
      <c r="G91" t="s">
        <v>15</v>
      </c>
      <c r="H91" t="s">
        <v>15</v>
      </c>
      <c r="I91" s="1">
        <v>12543700</v>
      </c>
    </row>
    <row r="92" spans="1:9" x14ac:dyDescent="0.25">
      <c r="A92" t="str">
        <f>"03136"</f>
        <v>03136</v>
      </c>
      <c r="B92" t="s">
        <v>35</v>
      </c>
      <c r="C92" t="s">
        <v>83</v>
      </c>
      <c r="D92" t="s">
        <v>13</v>
      </c>
      <c r="E92" t="s">
        <v>14</v>
      </c>
      <c r="F92" t="s">
        <v>15</v>
      </c>
      <c r="G92" t="s">
        <v>15</v>
      </c>
      <c r="H92" t="s">
        <v>15</v>
      </c>
      <c r="I92" s="1">
        <v>15429900</v>
      </c>
    </row>
    <row r="93" spans="1:9" x14ac:dyDescent="0.25">
      <c r="A93" t="str">
        <f>"03151"</f>
        <v>03151</v>
      </c>
      <c r="B93" t="s">
        <v>35</v>
      </c>
      <c r="C93" t="s">
        <v>84</v>
      </c>
      <c r="D93" t="s">
        <v>13</v>
      </c>
      <c r="E93" t="s">
        <v>14</v>
      </c>
      <c r="F93" t="s">
        <v>15</v>
      </c>
      <c r="G93" t="s">
        <v>15</v>
      </c>
      <c r="H93" t="s">
        <v>15</v>
      </c>
      <c r="I93" s="1">
        <v>17197800</v>
      </c>
    </row>
    <row r="94" spans="1:9" x14ac:dyDescent="0.25">
      <c r="A94" t="str">
        <f>"03171"</f>
        <v>03171</v>
      </c>
      <c r="B94" t="s">
        <v>35</v>
      </c>
      <c r="C94" t="s">
        <v>73</v>
      </c>
      <c r="D94" t="str">
        <f>"001"</f>
        <v>001</v>
      </c>
      <c r="E94">
        <v>2002</v>
      </c>
      <c r="F94">
        <v>3258400</v>
      </c>
      <c r="G94">
        <v>4461200</v>
      </c>
      <c r="H94">
        <v>1202800</v>
      </c>
    </row>
    <row r="95" spans="1:9" x14ac:dyDescent="0.25">
      <c r="A95" t="str">
        <f>"03171"</f>
        <v>03171</v>
      </c>
      <c r="B95" t="s">
        <v>35</v>
      </c>
      <c r="C95" t="s">
        <v>73</v>
      </c>
      <c r="D95" t="s">
        <v>13</v>
      </c>
      <c r="E95" t="s">
        <v>14</v>
      </c>
      <c r="F95" t="s">
        <v>15</v>
      </c>
      <c r="G95" t="s">
        <v>15</v>
      </c>
      <c r="H95" t="s">
        <v>15</v>
      </c>
      <c r="I95" s="1">
        <v>17901400</v>
      </c>
    </row>
    <row r="96" spans="1:9" x14ac:dyDescent="0.25">
      <c r="A96" t="str">
        <f>"03186"</f>
        <v>03186</v>
      </c>
      <c r="B96" t="s">
        <v>35</v>
      </c>
      <c r="C96" t="s">
        <v>80</v>
      </c>
      <c r="D96" t="str">
        <f>"003"</f>
        <v>003</v>
      </c>
      <c r="E96">
        <v>2009</v>
      </c>
      <c r="F96">
        <v>102700</v>
      </c>
      <c r="G96">
        <v>121600</v>
      </c>
      <c r="H96">
        <v>18900</v>
      </c>
    </row>
    <row r="97" spans="1:9" x14ac:dyDescent="0.25">
      <c r="A97" t="str">
        <f>"03186"</f>
        <v>03186</v>
      </c>
      <c r="B97" t="s">
        <v>35</v>
      </c>
      <c r="C97" t="s">
        <v>80</v>
      </c>
      <c r="D97" t="s">
        <v>13</v>
      </c>
      <c r="E97" t="s">
        <v>14</v>
      </c>
      <c r="F97" t="s">
        <v>15</v>
      </c>
      <c r="G97" t="s">
        <v>15</v>
      </c>
      <c r="H97" t="s">
        <v>15</v>
      </c>
      <c r="I97" s="1">
        <v>61905800</v>
      </c>
    </row>
    <row r="98" spans="1:9" x14ac:dyDescent="0.25">
      <c r="A98" t="s">
        <v>32</v>
      </c>
      <c r="B98" t="s">
        <v>37</v>
      </c>
      <c r="C98" t="s">
        <v>34</v>
      </c>
      <c r="D98" t="s">
        <v>13</v>
      </c>
      <c r="E98" t="s">
        <v>14</v>
      </c>
      <c r="F98" t="s">
        <v>15</v>
      </c>
      <c r="G98" t="s">
        <v>15</v>
      </c>
      <c r="H98" t="s">
        <v>15</v>
      </c>
      <c r="I98" s="1">
        <v>241886500</v>
      </c>
    </row>
    <row r="99" spans="1:9" x14ac:dyDescent="0.25">
      <c r="A99" t="str">
        <f t="shared" ref="A99:A104" si="0">"03206"</f>
        <v>03206</v>
      </c>
      <c r="B99" t="s">
        <v>38</v>
      </c>
      <c r="C99" t="s">
        <v>59</v>
      </c>
      <c r="D99" t="str">
        <f>"002"</f>
        <v>002</v>
      </c>
      <c r="E99">
        <v>2000</v>
      </c>
      <c r="F99">
        <v>1991400</v>
      </c>
      <c r="G99">
        <v>3385900</v>
      </c>
      <c r="H99">
        <v>1394500</v>
      </c>
    </row>
    <row r="100" spans="1:9" x14ac:dyDescent="0.25">
      <c r="A100" t="str">
        <f t="shared" si="0"/>
        <v>03206</v>
      </c>
      <c r="B100" t="s">
        <v>38</v>
      </c>
      <c r="C100" t="s">
        <v>59</v>
      </c>
      <c r="D100" t="str">
        <f>"003"</f>
        <v>003</v>
      </c>
      <c r="E100">
        <v>2005</v>
      </c>
      <c r="F100">
        <v>9825400</v>
      </c>
      <c r="G100">
        <v>10988300</v>
      </c>
      <c r="H100">
        <v>1162900</v>
      </c>
    </row>
    <row r="101" spans="1:9" x14ac:dyDescent="0.25">
      <c r="A101" t="str">
        <f t="shared" si="0"/>
        <v>03206</v>
      </c>
      <c r="B101" t="s">
        <v>38</v>
      </c>
      <c r="C101" t="s">
        <v>59</v>
      </c>
      <c r="D101" t="str">
        <f>"004"</f>
        <v>004</v>
      </c>
      <c r="E101">
        <v>2007</v>
      </c>
      <c r="F101">
        <v>12527200</v>
      </c>
      <c r="G101">
        <v>14236600</v>
      </c>
      <c r="H101">
        <v>1709400</v>
      </c>
    </row>
    <row r="102" spans="1:9" x14ac:dyDescent="0.25">
      <c r="A102" t="str">
        <f t="shared" si="0"/>
        <v>03206</v>
      </c>
      <c r="B102" t="s">
        <v>38</v>
      </c>
      <c r="C102" t="s">
        <v>59</v>
      </c>
      <c r="D102" t="str">
        <f>"005"</f>
        <v>005</v>
      </c>
      <c r="E102">
        <v>2010</v>
      </c>
      <c r="F102">
        <v>5696200</v>
      </c>
      <c r="G102">
        <v>6623000</v>
      </c>
      <c r="H102">
        <v>926800</v>
      </c>
    </row>
    <row r="103" spans="1:9" x14ac:dyDescent="0.25">
      <c r="A103" t="str">
        <f t="shared" si="0"/>
        <v>03206</v>
      </c>
      <c r="B103" t="s">
        <v>38</v>
      </c>
      <c r="C103" t="s">
        <v>59</v>
      </c>
      <c r="D103" t="str">
        <f>"006"</f>
        <v>006</v>
      </c>
      <c r="E103">
        <v>2015</v>
      </c>
      <c r="F103">
        <v>4803300</v>
      </c>
      <c r="G103">
        <v>6840400</v>
      </c>
      <c r="H103">
        <v>2037100</v>
      </c>
    </row>
    <row r="104" spans="1:9" x14ac:dyDescent="0.25">
      <c r="A104" t="str">
        <f t="shared" si="0"/>
        <v>03206</v>
      </c>
      <c r="B104" t="s">
        <v>38</v>
      </c>
      <c r="C104" t="s">
        <v>59</v>
      </c>
      <c r="D104" t="s">
        <v>13</v>
      </c>
      <c r="E104" t="s">
        <v>14</v>
      </c>
      <c r="F104" t="s">
        <v>15</v>
      </c>
      <c r="G104" t="s">
        <v>15</v>
      </c>
      <c r="H104" t="s">
        <v>15</v>
      </c>
      <c r="I104" s="1">
        <v>132225900</v>
      </c>
    </row>
    <row r="105" spans="1:9" x14ac:dyDescent="0.25">
      <c r="A105" t="str">
        <f>"03211"</f>
        <v>03211</v>
      </c>
      <c r="B105" t="s">
        <v>38</v>
      </c>
      <c r="C105" t="s">
        <v>62</v>
      </c>
      <c r="D105" t="str">
        <f>"003"</f>
        <v>003</v>
      </c>
      <c r="E105">
        <v>2007</v>
      </c>
      <c r="F105">
        <v>222800</v>
      </c>
      <c r="G105">
        <v>0</v>
      </c>
      <c r="H105">
        <v>0</v>
      </c>
    </row>
    <row r="106" spans="1:9" x14ac:dyDescent="0.25">
      <c r="A106" t="str">
        <f>"03211"</f>
        <v>03211</v>
      </c>
      <c r="B106" t="s">
        <v>38</v>
      </c>
      <c r="C106" t="s">
        <v>62</v>
      </c>
      <c r="D106" t="s">
        <v>13</v>
      </c>
      <c r="E106" t="s">
        <v>14</v>
      </c>
      <c r="F106" t="s">
        <v>15</v>
      </c>
      <c r="G106" t="s">
        <v>15</v>
      </c>
      <c r="H106" t="s">
        <v>15</v>
      </c>
      <c r="I106" s="1">
        <v>164973600</v>
      </c>
    </row>
    <row r="107" spans="1:9" x14ac:dyDescent="0.25">
      <c r="A107" t="str">
        <f>"03212"</f>
        <v>03212</v>
      </c>
      <c r="B107" t="s">
        <v>38</v>
      </c>
      <c r="C107" t="s">
        <v>65</v>
      </c>
      <c r="D107" t="str">
        <f>"007"</f>
        <v>007</v>
      </c>
      <c r="E107">
        <v>1995</v>
      </c>
      <c r="F107">
        <v>1006400</v>
      </c>
      <c r="G107">
        <v>22459500</v>
      </c>
      <c r="H107">
        <v>21453100</v>
      </c>
    </row>
    <row r="108" spans="1:9" x14ac:dyDescent="0.25">
      <c r="A108" t="str">
        <f>"03212"</f>
        <v>03212</v>
      </c>
      <c r="B108" t="s">
        <v>38</v>
      </c>
      <c r="C108" t="s">
        <v>65</v>
      </c>
      <c r="D108" t="str">
        <f>"008"</f>
        <v>008</v>
      </c>
      <c r="E108">
        <v>2017</v>
      </c>
      <c r="F108">
        <v>477500</v>
      </c>
      <c r="G108">
        <v>1671800</v>
      </c>
      <c r="H108">
        <v>1194300</v>
      </c>
    </row>
    <row r="109" spans="1:9" x14ac:dyDescent="0.25">
      <c r="A109" t="str">
        <f>"03212"</f>
        <v>03212</v>
      </c>
      <c r="B109" t="s">
        <v>38</v>
      </c>
      <c r="C109" t="s">
        <v>65</v>
      </c>
      <c r="D109" t="str">
        <f>"009"</f>
        <v>009</v>
      </c>
      <c r="E109">
        <v>2018</v>
      </c>
      <c r="F109">
        <v>6412300</v>
      </c>
      <c r="G109">
        <v>6433800</v>
      </c>
      <c r="H109">
        <v>21500</v>
      </c>
    </row>
    <row r="110" spans="1:9" x14ac:dyDescent="0.25">
      <c r="A110" t="str">
        <f>"03212"</f>
        <v>03212</v>
      </c>
      <c r="B110" t="s">
        <v>38</v>
      </c>
      <c r="C110" t="s">
        <v>65</v>
      </c>
      <c r="D110" t="s">
        <v>13</v>
      </c>
      <c r="E110" t="s">
        <v>14</v>
      </c>
      <c r="F110" t="s">
        <v>15</v>
      </c>
      <c r="G110" t="s">
        <v>15</v>
      </c>
      <c r="H110" t="s">
        <v>15</v>
      </c>
      <c r="I110" s="1">
        <v>155584300</v>
      </c>
    </row>
    <row r="111" spans="1:9" x14ac:dyDescent="0.25">
      <c r="A111" t="str">
        <f>"03276"</f>
        <v>03276</v>
      </c>
      <c r="B111" t="s">
        <v>38</v>
      </c>
      <c r="C111" t="s">
        <v>75</v>
      </c>
      <c r="D111" t="str">
        <f>"003"</f>
        <v>003</v>
      </c>
      <c r="E111">
        <v>2001</v>
      </c>
      <c r="F111">
        <v>21358700</v>
      </c>
      <c r="G111">
        <v>38917000</v>
      </c>
      <c r="H111">
        <v>17558300</v>
      </c>
    </row>
    <row r="112" spans="1:9" x14ac:dyDescent="0.25">
      <c r="A112" t="str">
        <f>"03276"</f>
        <v>03276</v>
      </c>
      <c r="B112" t="s">
        <v>38</v>
      </c>
      <c r="C112" t="s">
        <v>75</v>
      </c>
      <c r="D112" t="str">
        <f>"004"</f>
        <v>004</v>
      </c>
      <c r="E112">
        <v>2007</v>
      </c>
      <c r="F112">
        <v>3937100</v>
      </c>
      <c r="G112">
        <v>28315100</v>
      </c>
      <c r="H112">
        <v>24378000</v>
      </c>
    </row>
    <row r="113" spans="1:9" x14ac:dyDescent="0.25">
      <c r="A113" t="str">
        <f>"03276"</f>
        <v>03276</v>
      </c>
      <c r="B113" t="s">
        <v>38</v>
      </c>
      <c r="C113" t="s">
        <v>75</v>
      </c>
      <c r="D113" t="s">
        <v>13</v>
      </c>
      <c r="E113" t="s">
        <v>14</v>
      </c>
      <c r="F113" t="s">
        <v>15</v>
      </c>
      <c r="G113" t="s">
        <v>15</v>
      </c>
      <c r="H113" t="s">
        <v>15</v>
      </c>
      <c r="I113" s="1">
        <v>702539600</v>
      </c>
    </row>
    <row r="114" spans="1:9" x14ac:dyDescent="0.25">
      <c r="A114" t="s">
        <v>32</v>
      </c>
      <c r="B114" t="s">
        <v>40</v>
      </c>
      <c r="C114" t="s">
        <v>34</v>
      </c>
      <c r="D114" t="s">
        <v>13</v>
      </c>
      <c r="E114" t="s">
        <v>14</v>
      </c>
      <c r="F114" t="s">
        <v>15</v>
      </c>
      <c r="G114" t="s">
        <v>15</v>
      </c>
      <c r="H114" t="s">
        <v>15</v>
      </c>
      <c r="I114" s="1">
        <v>1155323400</v>
      </c>
    </row>
    <row r="115" spans="1:9" x14ac:dyDescent="0.25">
      <c r="A115" t="s">
        <v>32</v>
      </c>
      <c r="B115" t="s">
        <v>41</v>
      </c>
      <c r="C115" t="s">
        <v>59</v>
      </c>
      <c r="D115" t="s">
        <v>13</v>
      </c>
      <c r="E115" t="s">
        <v>14</v>
      </c>
      <c r="F115" t="s">
        <v>15</v>
      </c>
      <c r="G115" t="s">
        <v>15</v>
      </c>
      <c r="H115" t="s">
        <v>15</v>
      </c>
      <c r="I115" s="1">
        <v>4404065500</v>
      </c>
    </row>
    <row r="116" spans="1:9" x14ac:dyDescent="0.25">
      <c r="A116" t="str">
        <f>"04002"</f>
        <v>04002</v>
      </c>
      <c r="B116" t="s">
        <v>11</v>
      </c>
      <c r="C116" t="s">
        <v>85</v>
      </c>
      <c r="D116" t="s">
        <v>13</v>
      </c>
      <c r="E116" t="s">
        <v>14</v>
      </c>
      <c r="F116" t="s">
        <v>15</v>
      </c>
      <c r="G116" t="s">
        <v>15</v>
      </c>
      <c r="H116" t="s">
        <v>15</v>
      </c>
      <c r="I116" s="1">
        <v>77571500</v>
      </c>
    </row>
    <row r="117" spans="1:9" x14ac:dyDescent="0.25">
      <c r="A117" t="str">
        <f>"04004"</f>
        <v>04004</v>
      </c>
      <c r="B117" t="s">
        <v>11</v>
      </c>
      <c r="C117" t="s">
        <v>86</v>
      </c>
      <c r="D117" t="s">
        <v>13</v>
      </c>
      <c r="E117" t="s">
        <v>14</v>
      </c>
      <c r="F117" t="s">
        <v>15</v>
      </c>
      <c r="G117" t="s">
        <v>15</v>
      </c>
      <c r="H117" t="s">
        <v>15</v>
      </c>
      <c r="I117" s="1">
        <v>347356600</v>
      </c>
    </row>
    <row r="118" spans="1:9" x14ac:dyDescent="0.25">
      <c r="A118" t="str">
        <f>"04006"</f>
        <v>04006</v>
      </c>
      <c r="B118" t="s">
        <v>11</v>
      </c>
      <c r="C118" t="s">
        <v>87</v>
      </c>
      <c r="D118" t="s">
        <v>13</v>
      </c>
      <c r="E118" t="s">
        <v>14</v>
      </c>
      <c r="F118" t="s">
        <v>15</v>
      </c>
      <c r="G118" t="s">
        <v>15</v>
      </c>
      <c r="H118" t="s">
        <v>15</v>
      </c>
      <c r="I118" s="1">
        <v>170901800</v>
      </c>
    </row>
    <row r="119" spans="1:9" x14ac:dyDescent="0.25">
      <c r="A119" t="str">
        <f>"04008"</f>
        <v>04008</v>
      </c>
      <c r="B119" t="s">
        <v>11</v>
      </c>
      <c r="C119" t="s">
        <v>88</v>
      </c>
      <c r="D119" t="s">
        <v>13</v>
      </c>
      <c r="E119" t="s">
        <v>14</v>
      </c>
      <c r="F119" t="s">
        <v>15</v>
      </c>
      <c r="G119" t="s">
        <v>15</v>
      </c>
      <c r="H119" t="s">
        <v>15</v>
      </c>
      <c r="I119" s="1">
        <v>81566800</v>
      </c>
    </row>
    <row r="120" spans="1:9" x14ac:dyDescent="0.25">
      <c r="A120" t="str">
        <f>"04010"</f>
        <v>04010</v>
      </c>
      <c r="B120" t="s">
        <v>11</v>
      </c>
      <c r="C120" t="s">
        <v>89</v>
      </c>
      <c r="D120" t="s">
        <v>13</v>
      </c>
      <c r="E120" t="s">
        <v>14</v>
      </c>
      <c r="F120" t="s">
        <v>15</v>
      </c>
      <c r="G120" t="s">
        <v>15</v>
      </c>
      <c r="H120" t="s">
        <v>15</v>
      </c>
      <c r="I120" s="1">
        <v>104151600</v>
      </c>
    </row>
    <row r="121" spans="1:9" x14ac:dyDescent="0.25">
      <c r="A121" t="str">
        <f>"04012"</f>
        <v>04012</v>
      </c>
      <c r="B121" t="s">
        <v>11</v>
      </c>
      <c r="C121" t="s">
        <v>90</v>
      </c>
      <c r="D121" t="s">
        <v>13</v>
      </c>
      <c r="E121" t="s">
        <v>14</v>
      </c>
      <c r="F121" t="s">
        <v>15</v>
      </c>
      <c r="G121" t="s">
        <v>15</v>
      </c>
      <c r="H121" t="s">
        <v>15</v>
      </c>
      <c r="I121" s="1">
        <v>187467600</v>
      </c>
    </row>
    <row r="122" spans="1:9" x14ac:dyDescent="0.25">
      <c r="A122" t="str">
        <f>"04014"</f>
        <v>04014</v>
      </c>
      <c r="B122" t="s">
        <v>11</v>
      </c>
      <c r="C122" t="s">
        <v>91</v>
      </c>
      <c r="D122" t="s">
        <v>13</v>
      </c>
      <c r="E122" t="s">
        <v>14</v>
      </c>
      <c r="F122" t="s">
        <v>15</v>
      </c>
      <c r="G122" t="s">
        <v>15</v>
      </c>
      <c r="H122" t="s">
        <v>15</v>
      </c>
      <c r="I122" s="1">
        <v>70785600</v>
      </c>
    </row>
    <row r="123" spans="1:9" x14ac:dyDescent="0.25">
      <c r="A123" t="str">
        <f>"04016"</f>
        <v>04016</v>
      </c>
      <c r="B123" t="s">
        <v>11</v>
      </c>
      <c r="C123" t="s">
        <v>92</v>
      </c>
      <c r="D123" t="s">
        <v>13</v>
      </c>
      <c r="E123" t="s">
        <v>14</v>
      </c>
      <c r="F123" t="s">
        <v>15</v>
      </c>
      <c r="G123" t="s">
        <v>15</v>
      </c>
      <c r="H123" t="s">
        <v>15</v>
      </c>
      <c r="I123" s="1">
        <v>91024600</v>
      </c>
    </row>
    <row r="124" spans="1:9" x14ac:dyDescent="0.25">
      <c r="A124" t="str">
        <f>"04018"</f>
        <v>04018</v>
      </c>
      <c r="B124" t="s">
        <v>11</v>
      </c>
      <c r="C124" t="s">
        <v>93</v>
      </c>
      <c r="D124" t="s">
        <v>13</v>
      </c>
      <c r="E124" t="s">
        <v>14</v>
      </c>
      <c r="F124" t="s">
        <v>15</v>
      </c>
      <c r="G124" t="s">
        <v>15</v>
      </c>
      <c r="H124" t="s">
        <v>15</v>
      </c>
      <c r="I124" s="1">
        <v>210897500</v>
      </c>
    </row>
    <row r="125" spans="1:9" x14ac:dyDescent="0.25">
      <c r="A125" t="str">
        <f>"04020"</f>
        <v>04020</v>
      </c>
      <c r="B125" t="s">
        <v>11</v>
      </c>
      <c r="C125" t="s">
        <v>94</v>
      </c>
      <c r="D125" t="s">
        <v>13</v>
      </c>
      <c r="E125" t="s">
        <v>14</v>
      </c>
      <c r="F125" t="s">
        <v>15</v>
      </c>
      <c r="G125" t="s">
        <v>15</v>
      </c>
      <c r="H125" t="s">
        <v>15</v>
      </c>
      <c r="I125" s="1">
        <v>68621300</v>
      </c>
    </row>
    <row r="126" spans="1:9" x14ac:dyDescent="0.25">
      <c r="A126" t="str">
        <f>"04021"</f>
        <v>04021</v>
      </c>
      <c r="B126" t="s">
        <v>11</v>
      </c>
      <c r="C126" t="s">
        <v>95</v>
      </c>
      <c r="D126" t="s">
        <v>13</v>
      </c>
      <c r="E126" t="s">
        <v>14</v>
      </c>
      <c r="F126" t="s">
        <v>15</v>
      </c>
      <c r="G126" t="s">
        <v>15</v>
      </c>
      <c r="H126" t="s">
        <v>15</v>
      </c>
      <c r="I126" s="1">
        <v>141835800</v>
      </c>
    </row>
    <row r="127" spans="1:9" x14ac:dyDescent="0.25">
      <c r="A127" t="str">
        <f>"04022"</f>
        <v>04022</v>
      </c>
      <c r="B127" t="s">
        <v>11</v>
      </c>
      <c r="C127" t="s">
        <v>96</v>
      </c>
      <c r="D127" t="s">
        <v>13</v>
      </c>
      <c r="E127" t="s">
        <v>14</v>
      </c>
      <c r="F127" t="s">
        <v>15</v>
      </c>
      <c r="G127" t="s">
        <v>15</v>
      </c>
      <c r="H127" t="s">
        <v>15</v>
      </c>
      <c r="I127" s="1">
        <v>73129000</v>
      </c>
    </row>
    <row r="128" spans="1:9" x14ac:dyDescent="0.25">
      <c r="A128" t="str">
        <f>"04024"</f>
        <v>04024</v>
      </c>
      <c r="B128" t="s">
        <v>11</v>
      </c>
      <c r="C128" t="s">
        <v>97</v>
      </c>
      <c r="D128" t="s">
        <v>13</v>
      </c>
      <c r="E128" t="s">
        <v>14</v>
      </c>
      <c r="F128" t="s">
        <v>15</v>
      </c>
      <c r="G128" t="s">
        <v>15</v>
      </c>
      <c r="H128" t="s">
        <v>15</v>
      </c>
      <c r="I128" s="1">
        <v>199516600</v>
      </c>
    </row>
    <row r="129" spans="1:9" x14ac:dyDescent="0.25">
      <c r="A129" t="str">
        <f>"04026"</f>
        <v>04026</v>
      </c>
      <c r="B129" t="s">
        <v>11</v>
      </c>
      <c r="C129" t="s">
        <v>98</v>
      </c>
      <c r="D129" t="s">
        <v>13</v>
      </c>
      <c r="E129" t="s">
        <v>14</v>
      </c>
      <c r="F129" t="s">
        <v>15</v>
      </c>
      <c r="G129" t="s">
        <v>15</v>
      </c>
      <c r="H129" t="s">
        <v>15</v>
      </c>
      <c r="I129" s="1">
        <v>37793000</v>
      </c>
    </row>
    <row r="130" spans="1:9" x14ac:dyDescent="0.25">
      <c r="A130" t="str">
        <f>"04028"</f>
        <v>04028</v>
      </c>
      <c r="B130" t="s">
        <v>11</v>
      </c>
      <c r="C130" t="s">
        <v>99</v>
      </c>
      <c r="D130" t="s">
        <v>13</v>
      </c>
      <c r="E130" t="s">
        <v>14</v>
      </c>
      <c r="F130" t="s">
        <v>15</v>
      </c>
      <c r="G130" t="s">
        <v>15</v>
      </c>
      <c r="H130" t="s">
        <v>15</v>
      </c>
      <c r="I130" s="1">
        <v>27641700</v>
      </c>
    </row>
    <row r="131" spans="1:9" x14ac:dyDescent="0.25">
      <c r="A131" t="str">
        <f>"04030"</f>
        <v>04030</v>
      </c>
      <c r="B131" t="s">
        <v>11</v>
      </c>
      <c r="C131" t="s">
        <v>22</v>
      </c>
      <c r="D131" t="s">
        <v>13</v>
      </c>
      <c r="E131" t="s">
        <v>14</v>
      </c>
      <c r="F131" t="s">
        <v>15</v>
      </c>
      <c r="G131" t="s">
        <v>15</v>
      </c>
      <c r="H131" t="s">
        <v>15</v>
      </c>
      <c r="I131" s="1">
        <v>35560600</v>
      </c>
    </row>
    <row r="132" spans="1:9" x14ac:dyDescent="0.25">
      <c r="A132" t="str">
        <f>"04032"</f>
        <v>04032</v>
      </c>
      <c r="B132" t="s">
        <v>11</v>
      </c>
      <c r="C132" t="s">
        <v>100</v>
      </c>
      <c r="D132" t="s">
        <v>13</v>
      </c>
      <c r="E132" t="s">
        <v>14</v>
      </c>
      <c r="F132" t="s">
        <v>15</v>
      </c>
      <c r="G132" t="s">
        <v>15</v>
      </c>
      <c r="H132" t="s">
        <v>15</v>
      </c>
      <c r="I132" s="1">
        <v>21940100</v>
      </c>
    </row>
    <row r="133" spans="1:9" x14ac:dyDescent="0.25">
      <c r="A133" t="str">
        <f>"04034"</f>
        <v>04034</v>
      </c>
      <c r="B133" t="s">
        <v>11</v>
      </c>
      <c r="C133" t="s">
        <v>101</v>
      </c>
      <c r="D133" t="s">
        <v>13</v>
      </c>
      <c r="E133" t="s">
        <v>14</v>
      </c>
      <c r="F133" t="s">
        <v>15</v>
      </c>
      <c r="G133" t="s">
        <v>15</v>
      </c>
      <c r="H133" t="s">
        <v>15</v>
      </c>
      <c r="I133" s="1">
        <v>248050600</v>
      </c>
    </row>
    <row r="134" spans="1:9" x14ac:dyDescent="0.25">
      <c r="A134" t="str">
        <f>"04036"</f>
        <v>04036</v>
      </c>
      <c r="B134" t="s">
        <v>11</v>
      </c>
      <c r="C134" t="s">
        <v>102</v>
      </c>
      <c r="D134" t="s">
        <v>13</v>
      </c>
      <c r="E134" t="s">
        <v>14</v>
      </c>
      <c r="F134" t="s">
        <v>15</v>
      </c>
      <c r="G134" t="s">
        <v>15</v>
      </c>
      <c r="H134" t="s">
        <v>15</v>
      </c>
      <c r="I134" s="1">
        <v>42940800</v>
      </c>
    </row>
    <row r="135" spans="1:9" x14ac:dyDescent="0.25">
      <c r="A135" t="str">
        <f>"04038"</f>
        <v>04038</v>
      </c>
      <c r="B135" t="s">
        <v>11</v>
      </c>
      <c r="C135" t="s">
        <v>103</v>
      </c>
      <c r="D135" t="s">
        <v>13</v>
      </c>
      <c r="E135" t="s">
        <v>14</v>
      </c>
      <c r="F135" t="s">
        <v>15</v>
      </c>
      <c r="G135" t="s">
        <v>15</v>
      </c>
      <c r="H135" t="s">
        <v>15</v>
      </c>
      <c r="I135" s="1">
        <v>40697500</v>
      </c>
    </row>
    <row r="136" spans="1:9" x14ac:dyDescent="0.25">
      <c r="A136" t="str">
        <f>"04040"</f>
        <v>04040</v>
      </c>
      <c r="B136" t="s">
        <v>11</v>
      </c>
      <c r="C136" t="s">
        <v>104</v>
      </c>
      <c r="D136" t="s">
        <v>13</v>
      </c>
      <c r="E136" t="s">
        <v>14</v>
      </c>
      <c r="F136" t="s">
        <v>15</v>
      </c>
      <c r="G136" t="s">
        <v>15</v>
      </c>
      <c r="H136" t="s">
        <v>15</v>
      </c>
      <c r="I136" s="1">
        <v>16817900</v>
      </c>
    </row>
    <row r="137" spans="1:9" x14ac:dyDescent="0.25">
      <c r="A137" t="str">
        <f>"04042"</f>
        <v>04042</v>
      </c>
      <c r="B137" t="s">
        <v>11</v>
      </c>
      <c r="C137" t="s">
        <v>105</v>
      </c>
      <c r="D137" t="s">
        <v>13</v>
      </c>
      <c r="E137" t="s">
        <v>14</v>
      </c>
      <c r="F137" t="s">
        <v>15</v>
      </c>
      <c r="G137" t="s">
        <v>15</v>
      </c>
      <c r="H137" t="s">
        <v>15</v>
      </c>
      <c r="I137" s="1">
        <v>55941200</v>
      </c>
    </row>
    <row r="138" spans="1:9" x14ac:dyDescent="0.25">
      <c r="A138" t="str">
        <f>"04046"</f>
        <v>04046</v>
      </c>
      <c r="B138" t="s">
        <v>11</v>
      </c>
      <c r="C138" t="s">
        <v>106</v>
      </c>
      <c r="D138" t="s">
        <v>13</v>
      </c>
      <c r="E138" t="s">
        <v>14</v>
      </c>
      <c r="F138" t="s">
        <v>15</v>
      </c>
      <c r="G138" t="s">
        <v>15</v>
      </c>
      <c r="H138" t="s">
        <v>15</v>
      </c>
      <c r="I138" s="1">
        <v>38231400</v>
      </c>
    </row>
    <row r="139" spans="1:9" x14ac:dyDescent="0.25">
      <c r="A139" t="str">
        <f>"04048"</f>
        <v>04048</v>
      </c>
      <c r="B139" t="s">
        <v>11</v>
      </c>
      <c r="C139" t="s">
        <v>107</v>
      </c>
      <c r="D139" t="s">
        <v>13</v>
      </c>
      <c r="E139" t="s">
        <v>14</v>
      </c>
      <c r="F139" t="s">
        <v>15</v>
      </c>
      <c r="G139" t="s">
        <v>15</v>
      </c>
      <c r="H139" t="s">
        <v>15</v>
      </c>
      <c r="I139" s="1">
        <v>24472500</v>
      </c>
    </row>
    <row r="140" spans="1:9" x14ac:dyDescent="0.25">
      <c r="A140" t="str">
        <f>"04050"</f>
        <v>04050</v>
      </c>
      <c r="B140" t="s">
        <v>11</v>
      </c>
      <c r="C140" t="s">
        <v>108</v>
      </c>
      <c r="D140" t="s">
        <v>13</v>
      </c>
      <c r="E140" t="s">
        <v>14</v>
      </c>
      <c r="F140" t="s">
        <v>15</v>
      </c>
      <c r="G140" t="s">
        <v>15</v>
      </c>
      <c r="H140" t="s">
        <v>15</v>
      </c>
      <c r="I140" s="1">
        <v>52540600</v>
      </c>
    </row>
    <row r="141" spans="1:9" x14ac:dyDescent="0.25">
      <c r="A141" t="s">
        <v>32</v>
      </c>
      <c r="B141" t="s">
        <v>33</v>
      </c>
      <c r="C141" t="s">
        <v>34</v>
      </c>
      <c r="D141" t="s">
        <v>13</v>
      </c>
      <c r="E141" t="s">
        <v>14</v>
      </c>
      <c r="F141" t="s">
        <v>15</v>
      </c>
      <c r="G141" t="s">
        <v>15</v>
      </c>
      <c r="H141" t="s">
        <v>15</v>
      </c>
      <c r="I141" s="1">
        <v>2467454200</v>
      </c>
    </row>
    <row r="142" spans="1:9" x14ac:dyDescent="0.25">
      <c r="A142" t="str">
        <f>"04151"</f>
        <v>04151</v>
      </c>
      <c r="B142" t="s">
        <v>35</v>
      </c>
      <c r="C142" t="s">
        <v>100</v>
      </c>
      <c r="D142" t="str">
        <f>"001"</f>
        <v>001</v>
      </c>
      <c r="E142">
        <v>1999</v>
      </c>
      <c r="F142">
        <v>159000</v>
      </c>
      <c r="G142">
        <v>1046000</v>
      </c>
      <c r="H142">
        <v>887000</v>
      </c>
    </row>
    <row r="143" spans="1:9" x14ac:dyDescent="0.25">
      <c r="A143" t="str">
        <f>"04151"</f>
        <v>04151</v>
      </c>
      <c r="B143" t="s">
        <v>35</v>
      </c>
      <c r="C143" t="s">
        <v>100</v>
      </c>
      <c r="D143" t="s">
        <v>13</v>
      </c>
      <c r="E143" t="s">
        <v>14</v>
      </c>
      <c r="F143" t="s">
        <v>15</v>
      </c>
      <c r="G143" t="s">
        <v>15</v>
      </c>
      <c r="H143" t="s">
        <v>15</v>
      </c>
      <c r="I143" s="1">
        <v>2763100</v>
      </c>
    </row>
    <row r="144" spans="1:9" x14ac:dyDescent="0.25">
      <c r="A144" t="s">
        <v>32</v>
      </c>
      <c r="B144" t="s">
        <v>37</v>
      </c>
      <c r="C144" t="s">
        <v>34</v>
      </c>
      <c r="D144" t="s">
        <v>13</v>
      </c>
      <c r="E144" t="s">
        <v>14</v>
      </c>
      <c r="F144" t="s">
        <v>15</v>
      </c>
      <c r="G144" t="s">
        <v>15</v>
      </c>
      <c r="H144" t="s">
        <v>15</v>
      </c>
      <c r="I144" s="1">
        <v>2763100</v>
      </c>
    </row>
    <row r="145" spans="1:9" x14ac:dyDescent="0.25">
      <c r="A145" t="str">
        <f>"04201"</f>
        <v>04201</v>
      </c>
      <c r="B145" t="s">
        <v>38</v>
      </c>
      <c r="C145" t="s">
        <v>43</v>
      </c>
      <c r="D145" t="s">
        <v>13</v>
      </c>
      <c r="E145" t="s">
        <v>14</v>
      </c>
      <c r="F145" t="s">
        <v>15</v>
      </c>
      <c r="G145" t="s">
        <v>15</v>
      </c>
      <c r="H145" t="s">
        <v>15</v>
      </c>
      <c r="I145" s="1">
        <v>0</v>
      </c>
    </row>
    <row r="146" spans="1:9" x14ac:dyDescent="0.25">
      <c r="A146" t="str">
        <f>"04206"</f>
        <v>04206</v>
      </c>
      <c r="B146" t="s">
        <v>38</v>
      </c>
      <c r="C146" t="s">
        <v>87</v>
      </c>
      <c r="D146" t="s">
        <v>13</v>
      </c>
      <c r="E146" t="s">
        <v>14</v>
      </c>
      <c r="F146" t="s">
        <v>15</v>
      </c>
      <c r="G146" t="s">
        <v>15</v>
      </c>
      <c r="H146" t="s">
        <v>15</v>
      </c>
      <c r="I146" s="1">
        <v>111673200</v>
      </c>
    </row>
    <row r="147" spans="1:9" x14ac:dyDescent="0.25">
      <c r="A147" t="str">
        <f>"04291"</f>
        <v>04291</v>
      </c>
      <c r="B147" t="s">
        <v>38</v>
      </c>
      <c r="C147" t="s">
        <v>108</v>
      </c>
      <c r="D147" t="str">
        <f>"002"</f>
        <v>002</v>
      </c>
      <c r="E147">
        <v>1995</v>
      </c>
      <c r="F147">
        <v>9141200</v>
      </c>
      <c r="G147">
        <v>18902900</v>
      </c>
      <c r="H147">
        <v>9761700</v>
      </c>
    </row>
    <row r="148" spans="1:9" x14ac:dyDescent="0.25">
      <c r="A148" t="str">
        <f>"04291"</f>
        <v>04291</v>
      </c>
      <c r="B148" t="s">
        <v>38</v>
      </c>
      <c r="C148" t="s">
        <v>108</v>
      </c>
      <c r="D148" t="str">
        <f>"003"</f>
        <v>003</v>
      </c>
      <c r="E148">
        <v>2015</v>
      </c>
      <c r="F148">
        <v>9747800</v>
      </c>
      <c r="G148">
        <v>10757900</v>
      </c>
      <c r="H148">
        <v>1010100</v>
      </c>
    </row>
    <row r="149" spans="1:9" x14ac:dyDescent="0.25">
      <c r="A149" t="str">
        <f>"04291"</f>
        <v>04291</v>
      </c>
      <c r="B149" t="s">
        <v>38</v>
      </c>
      <c r="C149" t="s">
        <v>108</v>
      </c>
      <c r="D149" t="s">
        <v>13</v>
      </c>
      <c r="E149" t="s">
        <v>14</v>
      </c>
      <c r="F149" t="s">
        <v>15</v>
      </c>
      <c r="G149" t="s">
        <v>15</v>
      </c>
      <c r="H149" t="s">
        <v>15</v>
      </c>
      <c r="I149" s="1">
        <v>121300000</v>
      </c>
    </row>
    <row r="150" spans="1:9" x14ac:dyDescent="0.25">
      <c r="A150" t="s">
        <v>32</v>
      </c>
      <c r="B150" t="s">
        <v>40</v>
      </c>
      <c r="C150" t="s">
        <v>34</v>
      </c>
      <c r="D150" t="s">
        <v>13</v>
      </c>
      <c r="E150" t="s">
        <v>14</v>
      </c>
      <c r="F150" t="s">
        <v>15</v>
      </c>
      <c r="G150" t="s">
        <v>15</v>
      </c>
      <c r="H150" t="s">
        <v>15</v>
      </c>
      <c r="I150" s="1">
        <v>232973200</v>
      </c>
    </row>
    <row r="151" spans="1:9" x14ac:dyDescent="0.25">
      <c r="A151" t="s">
        <v>32</v>
      </c>
      <c r="B151" t="s">
        <v>41</v>
      </c>
      <c r="C151" t="s">
        <v>87</v>
      </c>
      <c r="D151" t="s">
        <v>13</v>
      </c>
      <c r="E151" t="s">
        <v>14</v>
      </c>
      <c r="F151" t="s">
        <v>15</v>
      </c>
      <c r="G151" t="s">
        <v>15</v>
      </c>
      <c r="H151" t="s">
        <v>15</v>
      </c>
      <c r="I151" s="1">
        <v>2703190500</v>
      </c>
    </row>
    <row r="152" spans="1:9" x14ac:dyDescent="0.25">
      <c r="A152" t="str">
        <f>"05010"</f>
        <v>05010</v>
      </c>
      <c r="B152" t="s">
        <v>11</v>
      </c>
      <c r="C152" t="s">
        <v>109</v>
      </c>
      <c r="D152" t="s">
        <v>13</v>
      </c>
      <c r="E152" t="s">
        <v>14</v>
      </c>
      <c r="F152" t="s">
        <v>15</v>
      </c>
      <c r="G152" t="s">
        <v>15</v>
      </c>
      <c r="H152" t="s">
        <v>15</v>
      </c>
      <c r="I152" s="1">
        <v>152084000</v>
      </c>
    </row>
    <row r="153" spans="1:9" x14ac:dyDescent="0.25">
      <c r="A153" t="str">
        <f>"05012"</f>
        <v>05012</v>
      </c>
      <c r="B153" t="s">
        <v>11</v>
      </c>
      <c r="C153" t="s">
        <v>110</v>
      </c>
      <c r="D153" t="s">
        <v>13</v>
      </c>
      <c r="E153" t="s">
        <v>14</v>
      </c>
      <c r="F153" t="s">
        <v>15</v>
      </c>
      <c r="G153" t="s">
        <v>15</v>
      </c>
      <c r="H153" t="s">
        <v>15</v>
      </c>
      <c r="I153" s="1">
        <v>116245000</v>
      </c>
    </row>
    <row r="154" spans="1:9" x14ac:dyDescent="0.25">
      <c r="A154" t="str">
        <f>"05014"</f>
        <v>05014</v>
      </c>
      <c r="B154" t="s">
        <v>11</v>
      </c>
      <c r="C154" t="s">
        <v>111</v>
      </c>
      <c r="D154" t="s">
        <v>13</v>
      </c>
      <c r="E154" t="s">
        <v>14</v>
      </c>
      <c r="F154" t="s">
        <v>15</v>
      </c>
      <c r="G154" t="s">
        <v>15</v>
      </c>
      <c r="H154" t="s">
        <v>15</v>
      </c>
      <c r="I154" s="1">
        <v>262292400</v>
      </c>
    </row>
    <row r="155" spans="1:9" x14ac:dyDescent="0.25">
      <c r="A155" t="str">
        <f>"05018"</f>
        <v>05018</v>
      </c>
      <c r="B155" t="s">
        <v>11</v>
      </c>
      <c r="C155" t="s">
        <v>112</v>
      </c>
      <c r="D155" t="s">
        <v>13</v>
      </c>
      <c r="E155" t="s">
        <v>14</v>
      </c>
      <c r="F155" t="s">
        <v>15</v>
      </c>
      <c r="G155" t="s">
        <v>15</v>
      </c>
      <c r="H155" t="s">
        <v>15</v>
      </c>
      <c r="I155" s="1">
        <v>167240600</v>
      </c>
    </row>
    <row r="156" spans="1:9" x14ac:dyDescent="0.25">
      <c r="A156" t="str">
        <f>"05022"</f>
        <v>05022</v>
      </c>
      <c r="B156" t="s">
        <v>11</v>
      </c>
      <c r="C156" t="s">
        <v>113</v>
      </c>
      <c r="D156" t="s">
        <v>13</v>
      </c>
      <c r="E156" t="s">
        <v>14</v>
      </c>
      <c r="F156" t="s">
        <v>15</v>
      </c>
      <c r="G156" t="s">
        <v>15</v>
      </c>
      <c r="H156" t="s">
        <v>15</v>
      </c>
      <c r="I156" s="1">
        <v>115407500</v>
      </c>
    </row>
    <row r="157" spans="1:9" x14ac:dyDescent="0.25">
      <c r="A157" t="str">
        <f>"05024"</f>
        <v>05024</v>
      </c>
      <c r="B157" t="s">
        <v>11</v>
      </c>
      <c r="C157" t="s">
        <v>114</v>
      </c>
      <c r="D157" t="str">
        <f>"001A"</f>
        <v>001A</v>
      </c>
      <c r="E157">
        <v>2018</v>
      </c>
      <c r="F157">
        <v>212900</v>
      </c>
      <c r="G157">
        <v>983600</v>
      </c>
      <c r="H157">
        <v>770700</v>
      </c>
    </row>
    <row r="158" spans="1:9" x14ac:dyDescent="0.25">
      <c r="A158" t="str">
        <f>"05024"</f>
        <v>05024</v>
      </c>
      <c r="B158" t="s">
        <v>11</v>
      </c>
      <c r="C158" t="s">
        <v>114</v>
      </c>
      <c r="D158" t="str">
        <f>"002A"</f>
        <v>002A</v>
      </c>
      <c r="E158">
        <v>2018</v>
      </c>
      <c r="F158">
        <v>1218900</v>
      </c>
      <c r="G158">
        <v>5674600</v>
      </c>
      <c r="H158">
        <v>4455700</v>
      </c>
    </row>
    <row r="159" spans="1:9" x14ac:dyDescent="0.25">
      <c r="A159" t="str">
        <f>"05024"</f>
        <v>05024</v>
      </c>
      <c r="B159" t="s">
        <v>11</v>
      </c>
      <c r="C159" t="s">
        <v>114</v>
      </c>
      <c r="D159" t="s">
        <v>13</v>
      </c>
      <c r="E159" t="s">
        <v>14</v>
      </c>
      <c r="F159" t="s">
        <v>15</v>
      </c>
      <c r="G159" t="s">
        <v>15</v>
      </c>
      <c r="H159" t="s">
        <v>15</v>
      </c>
      <c r="I159" s="1">
        <v>706252100</v>
      </c>
    </row>
    <row r="160" spans="1:9" x14ac:dyDescent="0.25">
      <c r="A160" t="str">
        <f>"05025"</f>
        <v>05025</v>
      </c>
      <c r="B160" t="s">
        <v>11</v>
      </c>
      <c r="C160" t="s">
        <v>115</v>
      </c>
      <c r="D160" t="str">
        <f>"001A"</f>
        <v>001A</v>
      </c>
      <c r="E160">
        <v>2015</v>
      </c>
      <c r="F160">
        <v>27418500</v>
      </c>
      <c r="G160">
        <v>49279900</v>
      </c>
      <c r="H160">
        <v>21861400</v>
      </c>
    </row>
    <row r="161" spans="1:9" x14ac:dyDescent="0.25">
      <c r="A161" t="str">
        <f>"05025"</f>
        <v>05025</v>
      </c>
      <c r="B161" t="s">
        <v>11</v>
      </c>
      <c r="C161" t="s">
        <v>115</v>
      </c>
      <c r="D161" t="s">
        <v>13</v>
      </c>
      <c r="E161" t="s">
        <v>14</v>
      </c>
      <c r="F161" t="s">
        <v>15</v>
      </c>
      <c r="G161" t="s">
        <v>15</v>
      </c>
      <c r="H161" t="s">
        <v>15</v>
      </c>
      <c r="I161" s="1">
        <v>1015642500</v>
      </c>
    </row>
    <row r="162" spans="1:9" x14ac:dyDescent="0.25">
      <c r="A162" t="str">
        <f>"05026"</f>
        <v>05026</v>
      </c>
      <c r="B162" t="s">
        <v>11</v>
      </c>
      <c r="C162" t="s">
        <v>116</v>
      </c>
      <c r="D162" t="s">
        <v>13</v>
      </c>
      <c r="E162" t="s">
        <v>14</v>
      </c>
      <c r="F162" t="s">
        <v>15</v>
      </c>
      <c r="G162" t="s">
        <v>15</v>
      </c>
      <c r="H162" t="s">
        <v>15</v>
      </c>
      <c r="I162" s="1">
        <v>139213500</v>
      </c>
    </row>
    <row r="163" spans="1:9" x14ac:dyDescent="0.25">
      <c r="A163" t="str">
        <f>"05028"</f>
        <v>05028</v>
      </c>
      <c r="B163" t="s">
        <v>11</v>
      </c>
      <c r="C163" t="s">
        <v>117</v>
      </c>
      <c r="D163" t="s">
        <v>13</v>
      </c>
      <c r="E163" t="s">
        <v>14</v>
      </c>
      <c r="F163" t="s">
        <v>15</v>
      </c>
      <c r="G163" t="s">
        <v>15</v>
      </c>
      <c r="H163" t="s">
        <v>15</v>
      </c>
      <c r="I163" s="1">
        <v>172722400</v>
      </c>
    </row>
    <row r="164" spans="1:9" x14ac:dyDescent="0.25">
      <c r="A164" t="str">
        <f>"05030"</f>
        <v>05030</v>
      </c>
      <c r="B164" t="s">
        <v>11</v>
      </c>
      <c r="C164" t="s">
        <v>118</v>
      </c>
      <c r="D164" t="s">
        <v>13</v>
      </c>
      <c r="E164" t="s">
        <v>14</v>
      </c>
      <c r="F164" t="s">
        <v>15</v>
      </c>
      <c r="G164" t="s">
        <v>15</v>
      </c>
      <c r="H164" t="s">
        <v>15</v>
      </c>
      <c r="I164" s="1">
        <v>280311400</v>
      </c>
    </row>
    <row r="165" spans="1:9" x14ac:dyDescent="0.25">
      <c r="A165" t="str">
        <f>"05034"</f>
        <v>05034</v>
      </c>
      <c r="B165" t="s">
        <v>11</v>
      </c>
      <c r="C165" t="s">
        <v>119</v>
      </c>
      <c r="D165" t="s">
        <v>13</v>
      </c>
      <c r="E165" t="s">
        <v>14</v>
      </c>
      <c r="F165" t="s">
        <v>15</v>
      </c>
      <c r="G165" t="s">
        <v>15</v>
      </c>
      <c r="H165" t="s">
        <v>15</v>
      </c>
      <c r="I165" s="1">
        <v>217960000</v>
      </c>
    </row>
    <row r="166" spans="1:9" x14ac:dyDescent="0.25">
      <c r="A166" t="str">
        <f>"05036"</f>
        <v>05036</v>
      </c>
      <c r="B166" t="s">
        <v>11</v>
      </c>
      <c r="C166" t="s">
        <v>120</v>
      </c>
      <c r="D166" t="s">
        <v>13</v>
      </c>
      <c r="E166" t="s">
        <v>14</v>
      </c>
      <c r="F166" t="s">
        <v>15</v>
      </c>
      <c r="G166" t="s">
        <v>15</v>
      </c>
      <c r="H166" t="s">
        <v>15</v>
      </c>
      <c r="I166" s="1">
        <v>377971200</v>
      </c>
    </row>
    <row r="167" spans="1:9" x14ac:dyDescent="0.25">
      <c r="A167" t="str">
        <f>"05040"</f>
        <v>05040</v>
      </c>
      <c r="B167" t="s">
        <v>11</v>
      </c>
      <c r="C167" t="s">
        <v>121</v>
      </c>
      <c r="D167" t="s">
        <v>13</v>
      </c>
      <c r="E167" t="s">
        <v>14</v>
      </c>
      <c r="F167" t="s">
        <v>15</v>
      </c>
      <c r="G167" t="s">
        <v>15</v>
      </c>
      <c r="H167" t="s">
        <v>15</v>
      </c>
      <c r="I167" s="1">
        <v>229799100</v>
      </c>
    </row>
    <row r="168" spans="1:9" x14ac:dyDescent="0.25">
      <c r="A168" t="s">
        <v>32</v>
      </c>
      <c r="B168" t="s">
        <v>33</v>
      </c>
      <c r="C168" t="s">
        <v>34</v>
      </c>
      <c r="D168" t="s">
        <v>13</v>
      </c>
      <c r="E168" t="s">
        <v>14</v>
      </c>
      <c r="F168" t="s">
        <v>15</v>
      </c>
      <c r="G168" t="s">
        <v>15</v>
      </c>
      <c r="H168" t="s">
        <v>15</v>
      </c>
      <c r="I168" s="1">
        <v>3953141700</v>
      </c>
    </row>
    <row r="169" spans="1:9" x14ac:dyDescent="0.25">
      <c r="A169" t="str">
        <f>"05102"</f>
        <v>05102</v>
      </c>
      <c r="B169" t="s">
        <v>35</v>
      </c>
      <c r="C169" t="s">
        <v>122</v>
      </c>
      <c r="D169" t="str">
        <f>"001"</f>
        <v>001</v>
      </c>
      <c r="E169">
        <v>2012</v>
      </c>
      <c r="F169">
        <v>84407400</v>
      </c>
      <c r="G169">
        <v>117149400</v>
      </c>
      <c r="H169">
        <v>32742000</v>
      </c>
    </row>
    <row r="170" spans="1:9" x14ac:dyDescent="0.25">
      <c r="A170" t="str">
        <f>"05102"</f>
        <v>05102</v>
      </c>
      <c r="B170" t="s">
        <v>35</v>
      </c>
      <c r="C170" t="s">
        <v>122</v>
      </c>
      <c r="D170" t="s">
        <v>13</v>
      </c>
      <c r="E170" t="s">
        <v>14</v>
      </c>
      <c r="F170" t="s">
        <v>15</v>
      </c>
      <c r="G170" t="s">
        <v>15</v>
      </c>
      <c r="H170" t="s">
        <v>15</v>
      </c>
      <c r="I170" s="1">
        <v>1024593000</v>
      </c>
    </row>
    <row r="171" spans="1:9" x14ac:dyDescent="0.25">
      <c r="A171" t="str">
        <f>"05104"</f>
        <v>05104</v>
      </c>
      <c r="B171" t="s">
        <v>35</v>
      </c>
      <c r="C171" t="s">
        <v>123</v>
      </c>
      <c r="D171" t="str">
        <f>"003"</f>
        <v>003</v>
      </c>
      <c r="E171">
        <v>2008</v>
      </c>
      <c r="F171">
        <v>349253900</v>
      </c>
      <c r="G171">
        <v>526765400</v>
      </c>
      <c r="H171">
        <v>177511500</v>
      </c>
    </row>
    <row r="172" spans="1:9" x14ac:dyDescent="0.25">
      <c r="A172" t="str">
        <f>"05104"</f>
        <v>05104</v>
      </c>
      <c r="B172" t="s">
        <v>35</v>
      </c>
      <c r="C172" t="s">
        <v>123</v>
      </c>
      <c r="D172" t="str">
        <f>"004"</f>
        <v>004</v>
      </c>
      <c r="E172">
        <v>2008</v>
      </c>
      <c r="F172">
        <v>15987400</v>
      </c>
      <c r="G172">
        <v>78392100</v>
      </c>
      <c r="H172">
        <v>62404700</v>
      </c>
    </row>
    <row r="173" spans="1:9" x14ac:dyDescent="0.25">
      <c r="A173" t="str">
        <f>"05104"</f>
        <v>05104</v>
      </c>
      <c r="B173" t="s">
        <v>35</v>
      </c>
      <c r="C173" t="s">
        <v>123</v>
      </c>
      <c r="D173" t="str">
        <f>"005"</f>
        <v>005</v>
      </c>
      <c r="E173">
        <v>2014</v>
      </c>
      <c r="F173">
        <v>62012600</v>
      </c>
      <c r="G173">
        <v>77429600</v>
      </c>
      <c r="H173">
        <v>15417000</v>
      </c>
    </row>
    <row r="174" spans="1:9" x14ac:dyDescent="0.25">
      <c r="A174" t="str">
        <f>"05104"</f>
        <v>05104</v>
      </c>
      <c r="B174" t="s">
        <v>35</v>
      </c>
      <c r="C174" t="s">
        <v>123</v>
      </c>
      <c r="D174" t="s">
        <v>13</v>
      </c>
      <c r="E174" t="s">
        <v>14</v>
      </c>
      <c r="F174" t="s">
        <v>15</v>
      </c>
      <c r="G174" t="s">
        <v>15</v>
      </c>
      <c r="H174" t="s">
        <v>15</v>
      </c>
      <c r="I174" s="1">
        <v>2331266900</v>
      </c>
    </row>
    <row r="175" spans="1:9" x14ac:dyDescent="0.25">
      <c r="A175" t="str">
        <f>"05106"</f>
        <v>05106</v>
      </c>
      <c r="B175" t="s">
        <v>35</v>
      </c>
      <c r="C175" t="s">
        <v>124</v>
      </c>
      <c r="D175" t="str">
        <f>"001"</f>
        <v>001</v>
      </c>
      <c r="E175">
        <v>2013</v>
      </c>
      <c r="F175">
        <v>7198700</v>
      </c>
      <c r="G175">
        <v>33790200</v>
      </c>
      <c r="H175">
        <v>26591500</v>
      </c>
    </row>
    <row r="176" spans="1:9" x14ac:dyDescent="0.25">
      <c r="A176" t="str">
        <f>"05106"</f>
        <v>05106</v>
      </c>
      <c r="B176" t="s">
        <v>35</v>
      </c>
      <c r="C176" t="s">
        <v>124</v>
      </c>
      <c r="D176" t="str">
        <f>"002"</f>
        <v>002</v>
      </c>
      <c r="E176">
        <v>2016</v>
      </c>
      <c r="F176">
        <v>2391100</v>
      </c>
      <c r="G176">
        <v>9173400</v>
      </c>
      <c r="H176">
        <v>6782300</v>
      </c>
    </row>
    <row r="177" spans="1:9" x14ac:dyDescent="0.25">
      <c r="A177" t="str">
        <f>"05106"</f>
        <v>05106</v>
      </c>
      <c r="B177" t="s">
        <v>35</v>
      </c>
      <c r="C177" t="s">
        <v>124</v>
      </c>
      <c r="D177" t="s">
        <v>13</v>
      </c>
      <c r="E177" t="s">
        <v>14</v>
      </c>
      <c r="F177" t="s">
        <v>15</v>
      </c>
      <c r="G177" t="s">
        <v>15</v>
      </c>
      <c r="H177" t="s">
        <v>15</v>
      </c>
      <c r="I177" s="1">
        <v>1395128600</v>
      </c>
    </row>
    <row r="178" spans="1:9" x14ac:dyDescent="0.25">
      <c r="A178" t="str">
        <f>"05116"</f>
        <v>05116</v>
      </c>
      <c r="B178" t="s">
        <v>35</v>
      </c>
      <c r="C178" t="s">
        <v>125</v>
      </c>
      <c r="D178" t="s">
        <v>13</v>
      </c>
      <c r="E178" t="s">
        <v>14</v>
      </c>
      <c r="F178" t="s">
        <v>15</v>
      </c>
      <c r="G178" t="s">
        <v>15</v>
      </c>
      <c r="H178" t="s">
        <v>15</v>
      </c>
      <c r="I178" s="1">
        <v>174476900</v>
      </c>
    </row>
    <row r="179" spans="1:9" x14ac:dyDescent="0.25">
      <c r="A179" t="str">
        <f>"05126"</f>
        <v>05126</v>
      </c>
      <c r="B179" t="s">
        <v>35</v>
      </c>
      <c r="C179" t="s">
        <v>126</v>
      </c>
      <c r="D179" t="str">
        <f>"001"</f>
        <v>001</v>
      </c>
      <c r="E179">
        <v>2009</v>
      </c>
      <c r="F179">
        <v>20991900</v>
      </c>
      <c r="G179">
        <v>188278300</v>
      </c>
      <c r="H179">
        <v>167286400</v>
      </c>
    </row>
    <row r="180" spans="1:9" x14ac:dyDescent="0.25">
      <c r="A180" t="str">
        <f>"05126"</f>
        <v>05126</v>
      </c>
      <c r="B180" t="s">
        <v>35</v>
      </c>
      <c r="C180" t="s">
        <v>126</v>
      </c>
      <c r="D180" t="str">
        <f>"002"</f>
        <v>002</v>
      </c>
      <c r="E180">
        <v>2011</v>
      </c>
      <c r="F180">
        <v>3285500</v>
      </c>
      <c r="G180">
        <v>71643400</v>
      </c>
      <c r="H180">
        <v>68357900</v>
      </c>
    </row>
    <row r="181" spans="1:9" x14ac:dyDescent="0.25">
      <c r="A181" t="str">
        <f>"05126"</f>
        <v>05126</v>
      </c>
      <c r="B181" t="s">
        <v>35</v>
      </c>
      <c r="C181" t="s">
        <v>126</v>
      </c>
      <c r="D181" t="s">
        <v>13</v>
      </c>
      <c r="E181" t="s">
        <v>14</v>
      </c>
      <c r="F181" t="s">
        <v>15</v>
      </c>
      <c r="G181" t="s">
        <v>15</v>
      </c>
      <c r="H181" t="s">
        <v>15</v>
      </c>
      <c r="I181" s="1">
        <v>735865900</v>
      </c>
    </row>
    <row r="182" spans="1:9" x14ac:dyDescent="0.25">
      <c r="A182" t="str">
        <f t="shared" ref="A182:A188" si="1">"05136"</f>
        <v>05136</v>
      </c>
      <c r="B182" t="s">
        <v>35</v>
      </c>
      <c r="C182" t="s">
        <v>127</v>
      </c>
      <c r="D182" t="str">
        <f>"003"</f>
        <v>003</v>
      </c>
      <c r="E182">
        <v>2006</v>
      </c>
      <c r="F182">
        <v>16302800</v>
      </c>
      <c r="G182">
        <v>42146500</v>
      </c>
      <c r="H182">
        <v>25843700</v>
      </c>
    </row>
    <row r="183" spans="1:9" x14ac:dyDescent="0.25">
      <c r="A183" t="str">
        <f t="shared" si="1"/>
        <v>05136</v>
      </c>
      <c r="B183" t="s">
        <v>35</v>
      </c>
      <c r="C183" t="s">
        <v>127</v>
      </c>
      <c r="D183" t="str">
        <f>"004"</f>
        <v>004</v>
      </c>
      <c r="E183">
        <v>2007</v>
      </c>
      <c r="F183">
        <v>68155700</v>
      </c>
      <c r="G183">
        <v>105855300</v>
      </c>
      <c r="H183">
        <v>37699600</v>
      </c>
    </row>
    <row r="184" spans="1:9" x14ac:dyDescent="0.25">
      <c r="A184" t="str">
        <f t="shared" si="1"/>
        <v>05136</v>
      </c>
      <c r="B184" t="s">
        <v>35</v>
      </c>
      <c r="C184" t="s">
        <v>127</v>
      </c>
      <c r="D184" t="str">
        <f>"005"</f>
        <v>005</v>
      </c>
      <c r="E184">
        <v>2008</v>
      </c>
      <c r="F184">
        <v>9872400</v>
      </c>
      <c r="G184">
        <v>13599400</v>
      </c>
      <c r="H184">
        <v>3727000</v>
      </c>
    </row>
    <row r="185" spans="1:9" x14ac:dyDescent="0.25">
      <c r="A185" t="str">
        <f t="shared" si="1"/>
        <v>05136</v>
      </c>
      <c r="B185" t="s">
        <v>35</v>
      </c>
      <c r="C185" t="s">
        <v>127</v>
      </c>
      <c r="D185" t="str">
        <f>"006"</f>
        <v>006</v>
      </c>
      <c r="E185">
        <v>2008</v>
      </c>
      <c r="F185">
        <v>7930100</v>
      </c>
      <c r="G185">
        <v>35932400</v>
      </c>
      <c r="H185">
        <v>28002300</v>
      </c>
    </row>
    <row r="186" spans="1:9" x14ac:dyDescent="0.25">
      <c r="A186" t="str">
        <f t="shared" si="1"/>
        <v>05136</v>
      </c>
      <c r="B186" t="s">
        <v>35</v>
      </c>
      <c r="C186" t="s">
        <v>127</v>
      </c>
      <c r="D186" t="str">
        <f>"007"</f>
        <v>007</v>
      </c>
      <c r="E186">
        <v>2012</v>
      </c>
      <c r="F186">
        <v>18245700</v>
      </c>
      <c r="G186">
        <v>21650200</v>
      </c>
      <c r="H186">
        <v>3404500</v>
      </c>
    </row>
    <row r="187" spans="1:9" x14ac:dyDescent="0.25">
      <c r="A187" t="str">
        <f t="shared" si="1"/>
        <v>05136</v>
      </c>
      <c r="B187" t="s">
        <v>35</v>
      </c>
      <c r="C187" t="s">
        <v>127</v>
      </c>
      <c r="D187" t="str">
        <f>"008"</f>
        <v>008</v>
      </c>
      <c r="E187">
        <v>2015</v>
      </c>
      <c r="F187">
        <v>8378100</v>
      </c>
      <c r="G187">
        <v>31046500</v>
      </c>
      <c r="H187">
        <v>22668400</v>
      </c>
    </row>
    <row r="188" spans="1:9" x14ac:dyDescent="0.25">
      <c r="A188" t="str">
        <f t="shared" si="1"/>
        <v>05136</v>
      </c>
      <c r="B188" t="s">
        <v>35</v>
      </c>
      <c r="C188" t="s">
        <v>127</v>
      </c>
      <c r="D188" t="s">
        <v>13</v>
      </c>
      <c r="E188" t="s">
        <v>14</v>
      </c>
      <c r="F188" t="s">
        <v>15</v>
      </c>
      <c r="G188" t="s">
        <v>15</v>
      </c>
      <c r="H188" t="s">
        <v>15</v>
      </c>
      <c r="I188" s="1">
        <v>1796161700</v>
      </c>
    </row>
    <row r="189" spans="1:9" x14ac:dyDescent="0.25">
      <c r="A189" t="str">
        <f>"05171"</f>
        <v>05171</v>
      </c>
      <c r="B189" t="s">
        <v>35</v>
      </c>
      <c r="C189" t="s">
        <v>128</v>
      </c>
      <c r="D189" t="str">
        <f>"002"</f>
        <v>002</v>
      </c>
      <c r="E189">
        <v>2005</v>
      </c>
      <c r="F189">
        <v>10361100</v>
      </c>
      <c r="G189">
        <v>20813400</v>
      </c>
      <c r="H189">
        <v>10452300</v>
      </c>
    </row>
    <row r="190" spans="1:9" x14ac:dyDescent="0.25">
      <c r="A190" t="str">
        <f>"05171"</f>
        <v>05171</v>
      </c>
      <c r="B190" t="s">
        <v>35</v>
      </c>
      <c r="C190" t="s">
        <v>128</v>
      </c>
      <c r="D190" t="str">
        <f>"003"</f>
        <v>003</v>
      </c>
      <c r="E190">
        <v>2014</v>
      </c>
      <c r="F190">
        <v>6000000</v>
      </c>
      <c r="G190">
        <v>5692300</v>
      </c>
      <c r="H190">
        <v>0</v>
      </c>
    </row>
    <row r="191" spans="1:9" x14ac:dyDescent="0.25">
      <c r="A191" t="str">
        <f>"05171"</f>
        <v>05171</v>
      </c>
      <c r="B191" t="s">
        <v>35</v>
      </c>
      <c r="C191" t="s">
        <v>128</v>
      </c>
      <c r="D191" t="str">
        <f>"004"</f>
        <v>004</v>
      </c>
      <c r="E191">
        <v>2015</v>
      </c>
      <c r="F191">
        <v>1902300</v>
      </c>
      <c r="G191">
        <v>14608100</v>
      </c>
      <c r="H191">
        <v>12705800</v>
      </c>
    </row>
    <row r="192" spans="1:9" x14ac:dyDescent="0.25">
      <c r="A192" t="str">
        <f>"05171"</f>
        <v>05171</v>
      </c>
      <c r="B192" t="s">
        <v>35</v>
      </c>
      <c r="C192" t="s">
        <v>128</v>
      </c>
      <c r="D192" t="s">
        <v>13</v>
      </c>
      <c r="E192" t="s">
        <v>14</v>
      </c>
      <c r="F192" t="s">
        <v>15</v>
      </c>
      <c r="G192" t="s">
        <v>15</v>
      </c>
      <c r="H192" t="s">
        <v>15</v>
      </c>
      <c r="I192" s="1">
        <v>202698900</v>
      </c>
    </row>
    <row r="193" spans="1:9" x14ac:dyDescent="0.25">
      <c r="A193" t="str">
        <f>"05178"</f>
        <v>05178</v>
      </c>
      <c r="B193" t="s">
        <v>35</v>
      </c>
      <c r="C193" t="s">
        <v>129</v>
      </c>
      <c r="D193" t="str">
        <f>"001"</f>
        <v>001</v>
      </c>
      <c r="E193">
        <v>2004</v>
      </c>
      <c r="F193">
        <v>10470700</v>
      </c>
      <c r="G193">
        <v>56761000</v>
      </c>
      <c r="H193">
        <v>46290300</v>
      </c>
    </row>
    <row r="194" spans="1:9" x14ac:dyDescent="0.25">
      <c r="A194" t="str">
        <f>"05178"</f>
        <v>05178</v>
      </c>
      <c r="B194" t="s">
        <v>35</v>
      </c>
      <c r="C194" t="s">
        <v>129</v>
      </c>
      <c r="D194" t="str">
        <f>"002"</f>
        <v>002</v>
      </c>
      <c r="E194">
        <v>2006</v>
      </c>
      <c r="F194">
        <v>10526200</v>
      </c>
      <c r="G194">
        <v>25701300</v>
      </c>
      <c r="H194">
        <v>15175100</v>
      </c>
    </row>
    <row r="195" spans="1:9" x14ac:dyDescent="0.25">
      <c r="A195" t="str">
        <f>"05178"</f>
        <v>05178</v>
      </c>
      <c r="B195" t="s">
        <v>35</v>
      </c>
      <c r="C195" t="s">
        <v>129</v>
      </c>
      <c r="D195" t="str">
        <f>"004"</f>
        <v>004</v>
      </c>
      <c r="E195">
        <v>2014</v>
      </c>
      <c r="F195">
        <v>34008700</v>
      </c>
      <c r="G195">
        <v>68607800</v>
      </c>
      <c r="H195">
        <v>34599100</v>
      </c>
    </row>
    <row r="196" spans="1:9" x14ac:dyDescent="0.25">
      <c r="A196" t="str">
        <f>"05178"</f>
        <v>05178</v>
      </c>
      <c r="B196" t="s">
        <v>35</v>
      </c>
      <c r="C196" t="s">
        <v>129</v>
      </c>
      <c r="D196" t="s">
        <v>13</v>
      </c>
      <c r="E196" t="s">
        <v>14</v>
      </c>
      <c r="F196" t="s">
        <v>15</v>
      </c>
      <c r="G196" t="s">
        <v>15</v>
      </c>
      <c r="H196" t="s">
        <v>15</v>
      </c>
      <c r="I196" s="1">
        <v>1319981700</v>
      </c>
    </row>
    <row r="197" spans="1:9" x14ac:dyDescent="0.25">
      <c r="A197" t="str">
        <f>"05191"</f>
        <v>05191</v>
      </c>
      <c r="B197" t="s">
        <v>35</v>
      </c>
      <c r="C197" t="s">
        <v>121</v>
      </c>
      <c r="D197" t="str">
        <f>"003"</f>
        <v>003</v>
      </c>
      <c r="E197">
        <v>2015</v>
      </c>
      <c r="F197">
        <v>8774500</v>
      </c>
      <c r="G197">
        <v>8332200</v>
      </c>
      <c r="H197">
        <v>0</v>
      </c>
    </row>
    <row r="198" spans="1:9" x14ac:dyDescent="0.25">
      <c r="A198" t="str">
        <f>"05191"</f>
        <v>05191</v>
      </c>
      <c r="B198" t="s">
        <v>35</v>
      </c>
      <c r="C198" t="s">
        <v>121</v>
      </c>
      <c r="D198" t="str">
        <f>"004"</f>
        <v>004</v>
      </c>
      <c r="E198">
        <v>2016</v>
      </c>
      <c r="F198">
        <v>8400</v>
      </c>
      <c r="G198">
        <v>13638700</v>
      </c>
      <c r="H198">
        <v>13630300</v>
      </c>
    </row>
    <row r="199" spans="1:9" x14ac:dyDescent="0.25">
      <c r="A199" t="str">
        <f>"05191"</f>
        <v>05191</v>
      </c>
      <c r="B199" t="s">
        <v>35</v>
      </c>
      <c r="C199" t="s">
        <v>121</v>
      </c>
      <c r="D199" t="str">
        <f>"005"</f>
        <v>005</v>
      </c>
      <c r="E199">
        <v>2018</v>
      </c>
      <c r="F199">
        <v>5315100</v>
      </c>
      <c r="G199">
        <v>5430100</v>
      </c>
      <c r="H199">
        <v>115000</v>
      </c>
    </row>
    <row r="200" spans="1:9" x14ac:dyDescent="0.25">
      <c r="A200" t="str">
        <f>"05191"</f>
        <v>05191</v>
      </c>
      <c r="B200" t="s">
        <v>35</v>
      </c>
      <c r="C200" t="s">
        <v>121</v>
      </c>
      <c r="D200" t="s">
        <v>13</v>
      </c>
      <c r="E200" t="s">
        <v>14</v>
      </c>
      <c r="F200" t="s">
        <v>15</v>
      </c>
      <c r="G200" t="s">
        <v>15</v>
      </c>
      <c r="H200" t="s">
        <v>15</v>
      </c>
      <c r="I200" s="1">
        <v>232859300</v>
      </c>
    </row>
    <row r="201" spans="1:9" x14ac:dyDescent="0.25">
      <c r="A201" t="s">
        <v>32</v>
      </c>
      <c r="B201" t="s">
        <v>37</v>
      </c>
      <c r="C201" t="s">
        <v>34</v>
      </c>
      <c r="D201" t="s">
        <v>13</v>
      </c>
      <c r="E201" t="s">
        <v>14</v>
      </c>
      <c r="F201" t="s">
        <v>15</v>
      </c>
      <c r="G201" t="s">
        <v>15</v>
      </c>
      <c r="H201" t="s">
        <v>15</v>
      </c>
      <c r="I201" s="1">
        <v>9213032900</v>
      </c>
    </row>
    <row r="202" spans="1:9" x14ac:dyDescent="0.25">
      <c r="A202" t="str">
        <f t="shared" ref="A202:A211" si="2">"05216"</f>
        <v>05216</v>
      </c>
      <c r="B202" t="s">
        <v>38</v>
      </c>
      <c r="C202" t="s">
        <v>130</v>
      </c>
      <c r="D202" t="str">
        <f>"005"</f>
        <v>005</v>
      </c>
      <c r="E202">
        <v>1996</v>
      </c>
      <c r="F202">
        <v>11540700</v>
      </c>
      <c r="G202">
        <v>46212000</v>
      </c>
      <c r="H202">
        <v>34671300</v>
      </c>
    </row>
    <row r="203" spans="1:9" x14ac:dyDescent="0.25">
      <c r="A203" t="str">
        <f t="shared" si="2"/>
        <v>05216</v>
      </c>
      <c r="B203" t="s">
        <v>38</v>
      </c>
      <c r="C203" t="s">
        <v>130</v>
      </c>
      <c r="D203" t="str">
        <f>"006"</f>
        <v>006</v>
      </c>
      <c r="E203">
        <v>1998</v>
      </c>
      <c r="F203">
        <v>7042900</v>
      </c>
      <c r="G203">
        <v>94872200</v>
      </c>
      <c r="H203">
        <v>87829300</v>
      </c>
    </row>
    <row r="204" spans="1:9" x14ac:dyDescent="0.25">
      <c r="A204" t="str">
        <f t="shared" si="2"/>
        <v>05216</v>
      </c>
      <c r="B204" t="s">
        <v>38</v>
      </c>
      <c r="C204" t="s">
        <v>130</v>
      </c>
      <c r="D204" t="str">
        <f>"007"</f>
        <v>007</v>
      </c>
      <c r="E204">
        <v>2007</v>
      </c>
      <c r="F204">
        <v>12056000</v>
      </c>
      <c r="G204">
        <v>18486400</v>
      </c>
      <c r="H204">
        <v>6430400</v>
      </c>
    </row>
    <row r="205" spans="1:9" x14ac:dyDescent="0.25">
      <c r="A205" t="str">
        <f t="shared" si="2"/>
        <v>05216</v>
      </c>
      <c r="B205" t="s">
        <v>38</v>
      </c>
      <c r="C205" t="s">
        <v>130</v>
      </c>
      <c r="D205" t="str">
        <f>"008"</f>
        <v>008</v>
      </c>
      <c r="E205">
        <v>2007</v>
      </c>
      <c r="F205">
        <v>36633200</v>
      </c>
      <c r="G205">
        <v>50891500</v>
      </c>
      <c r="H205">
        <v>14258300</v>
      </c>
    </row>
    <row r="206" spans="1:9" x14ac:dyDescent="0.25">
      <c r="A206" t="str">
        <f t="shared" si="2"/>
        <v>05216</v>
      </c>
      <c r="B206" t="s">
        <v>38</v>
      </c>
      <c r="C206" t="s">
        <v>130</v>
      </c>
      <c r="D206" t="str">
        <f>"009"</f>
        <v>009</v>
      </c>
      <c r="E206">
        <v>2012</v>
      </c>
      <c r="F206">
        <v>14776100</v>
      </c>
      <c r="G206">
        <v>16681800</v>
      </c>
      <c r="H206">
        <v>1905700</v>
      </c>
    </row>
    <row r="207" spans="1:9" x14ac:dyDescent="0.25">
      <c r="A207" t="str">
        <f t="shared" si="2"/>
        <v>05216</v>
      </c>
      <c r="B207" t="s">
        <v>38</v>
      </c>
      <c r="C207" t="s">
        <v>130</v>
      </c>
      <c r="D207" t="str">
        <f>"010"</f>
        <v>010</v>
      </c>
      <c r="E207">
        <v>2012</v>
      </c>
      <c r="F207">
        <v>24811900</v>
      </c>
      <c r="G207">
        <v>35169900</v>
      </c>
      <c r="H207">
        <v>10358000</v>
      </c>
    </row>
    <row r="208" spans="1:9" x14ac:dyDescent="0.25">
      <c r="A208" t="str">
        <f t="shared" si="2"/>
        <v>05216</v>
      </c>
      <c r="B208" t="s">
        <v>38</v>
      </c>
      <c r="C208" t="s">
        <v>130</v>
      </c>
      <c r="D208" t="str">
        <f>"011"</f>
        <v>011</v>
      </c>
      <c r="E208">
        <v>2015</v>
      </c>
      <c r="F208">
        <v>6079500</v>
      </c>
      <c r="G208">
        <v>12511300</v>
      </c>
      <c r="H208">
        <v>6431800</v>
      </c>
    </row>
    <row r="209" spans="1:9" x14ac:dyDescent="0.25">
      <c r="A209" t="str">
        <f t="shared" si="2"/>
        <v>05216</v>
      </c>
      <c r="B209" t="s">
        <v>38</v>
      </c>
      <c r="C209" t="s">
        <v>130</v>
      </c>
      <c r="D209" t="str">
        <f>"012"</f>
        <v>012</v>
      </c>
      <c r="E209">
        <v>2015</v>
      </c>
      <c r="F209">
        <v>129100</v>
      </c>
      <c r="G209">
        <v>123100</v>
      </c>
      <c r="H209">
        <v>0</v>
      </c>
    </row>
    <row r="210" spans="1:9" x14ac:dyDescent="0.25">
      <c r="A210" t="str">
        <f t="shared" si="2"/>
        <v>05216</v>
      </c>
      <c r="B210" t="s">
        <v>38</v>
      </c>
      <c r="C210" t="s">
        <v>130</v>
      </c>
      <c r="D210" t="str">
        <f>"013"</f>
        <v>013</v>
      </c>
      <c r="E210">
        <v>2017</v>
      </c>
      <c r="F210">
        <v>53361100</v>
      </c>
      <c r="G210">
        <v>54405400</v>
      </c>
      <c r="H210">
        <v>1044300</v>
      </c>
    </row>
    <row r="211" spans="1:9" x14ac:dyDescent="0.25">
      <c r="A211" t="str">
        <f t="shared" si="2"/>
        <v>05216</v>
      </c>
      <c r="B211" t="s">
        <v>38</v>
      </c>
      <c r="C211" t="s">
        <v>130</v>
      </c>
      <c r="D211" t="s">
        <v>13</v>
      </c>
      <c r="E211" t="s">
        <v>14</v>
      </c>
      <c r="F211" t="s">
        <v>15</v>
      </c>
      <c r="G211" t="s">
        <v>15</v>
      </c>
      <c r="H211" t="s">
        <v>15</v>
      </c>
      <c r="I211" s="1">
        <v>2046886300</v>
      </c>
    </row>
    <row r="212" spans="1:9" x14ac:dyDescent="0.25">
      <c r="A212" t="str">
        <f t="shared" ref="A212:A227" si="3">"05231"</f>
        <v>05231</v>
      </c>
      <c r="B212" t="s">
        <v>38</v>
      </c>
      <c r="C212" t="s">
        <v>111</v>
      </c>
      <c r="D212" t="str">
        <f>"004"</f>
        <v>004</v>
      </c>
      <c r="E212">
        <v>1998</v>
      </c>
      <c r="F212">
        <v>26954000</v>
      </c>
      <c r="G212">
        <v>49634500</v>
      </c>
      <c r="H212">
        <v>22680500</v>
      </c>
    </row>
    <row r="213" spans="1:9" x14ac:dyDescent="0.25">
      <c r="A213" t="str">
        <f t="shared" si="3"/>
        <v>05231</v>
      </c>
      <c r="B213" t="s">
        <v>38</v>
      </c>
      <c r="C213" t="s">
        <v>111</v>
      </c>
      <c r="D213" t="str">
        <f>"005"</f>
        <v>005</v>
      </c>
      <c r="E213">
        <v>2000</v>
      </c>
      <c r="F213">
        <v>60076800</v>
      </c>
      <c r="G213">
        <v>139263100</v>
      </c>
      <c r="H213">
        <v>79186300</v>
      </c>
    </row>
    <row r="214" spans="1:9" x14ac:dyDescent="0.25">
      <c r="A214" t="str">
        <f t="shared" si="3"/>
        <v>05231</v>
      </c>
      <c r="B214" t="s">
        <v>38</v>
      </c>
      <c r="C214" t="s">
        <v>111</v>
      </c>
      <c r="D214" t="str">
        <f>"007"</f>
        <v>007</v>
      </c>
      <c r="E214">
        <v>2002</v>
      </c>
      <c r="F214">
        <v>14369500</v>
      </c>
      <c r="G214">
        <v>47146300</v>
      </c>
      <c r="H214">
        <v>32776800</v>
      </c>
    </row>
    <row r="215" spans="1:9" x14ac:dyDescent="0.25">
      <c r="A215" t="str">
        <f t="shared" si="3"/>
        <v>05231</v>
      </c>
      <c r="B215" t="s">
        <v>38</v>
      </c>
      <c r="C215" t="s">
        <v>111</v>
      </c>
      <c r="D215" t="str">
        <f>"008"</f>
        <v>008</v>
      </c>
      <c r="E215">
        <v>2002</v>
      </c>
      <c r="F215">
        <v>6338700</v>
      </c>
      <c r="G215">
        <v>19387600</v>
      </c>
      <c r="H215">
        <v>13048900</v>
      </c>
    </row>
    <row r="216" spans="1:9" x14ac:dyDescent="0.25">
      <c r="A216" t="str">
        <f t="shared" si="3"/>
        <v>05231</v>
      </c>
      <c r="B216" t="s">
        <v>38</v>
      </c>
      <c r="C216" t="s">
        <v>111</v>
      </c>
      <c r="D216" t="str">
        <f>"009"</f>
        <v>009</v>
      </c>
      <c r="E216">
        <v>2004</v>
      </c>
      <c r="F216">
        <v>3792300</v>
      </c>
      <c r="G216">
        <v>11521600</v>
      </c>
      <c r="H216">
        <v>7729300</v>
      </c>
    </row>
    <row r="217" spans="1:9" x14ac:dyDescent="0.25">
      <c r="A217" t="str">
        <f t="shared" si="3"/>
        <v>05231</v>
      </c>
      <c r="B217" t="s">
        <v>38</v>
      </c>
      <c r="C217" t="s">
        <v>111</v>
      </c>
      <c r="D217" t="str">
        <f>"010"</f>
        <v>010</v>
      </c>
      <c r="E217">
        <v>2004</v>
      </c>
      <c r="F217">
        <v>24402500</v>
      </c>
      <c r="G217">
        <v>33838300</v>
      </c>
      <c r="H217">
        <v>9435800</v>
      </c>
    </row>
    <row r="218" spans="1:9" x14ac:dyDescent="0.25">
      <c r="A218" t="str">
        <f t="shared" si="3"/>
        <v>05231</v>
      </c>
      <c r="B218" t="s">
        <v>38</v>
      </c>
      <c r="C218" t="s">
        <v>111</v>
      </c>
      <c r="D218" t="str">
        <f>"012"</f>
        <v>012</v>
      </c>
      <c r="E218">
        <v>2005</v>
      </c>
      <c r="F218">
        <v>196591800</v>
      </c>
      <c r="G218">
        <v>286604600</v>
      </c>
      <c r="H218">
        <v>90012800</v>
      </c>
    </row>
    <row r="219" spans="1:9" x14ac:dyDescent="0.25">
      <c r="A219" t="str">
        <f t="shared" si="3"/>
        <v>05231</v>
      </c>
      <c r="B219" t="s">
        <v>38</v>
      </c>
      <c r="C219" t="s">
        <v>111</v>
      </c>
      <c r="D219" t="str">
        <f>"013"</f>
        <v>013</v>
      </c>
      <c r="E219">
        <v>2005</v>
      </c>
      <c r="F219">
        <v>46360500</v>
      </c>
      <c r="G219">
        <v>149063200</v>
      </c>
      <c r="H219">
        <v>102702700</v>
      </c>
    </row>
    <row r="220" spans="1:9" x14ac:dyDescent="0.25">
      <c r="A220" t="str">
        <f t="shared" si="3"/>
        <v>05231</v>
      </c>
      <c r="B220" t="s">
        <v>38</v>
      </c>
      <c r="C220" t="s">
        <v>111</v>
      </c>
      <c r="D220" t="str">
        <f>"014"</f>
        <v>014</v>
      </c>
      <c r="E220">
        <v>2006</v>
      </c>
      <c r="F220">
        <v>6102200</v>
      </c>
      <c r="G220">
        <v>21452700</v>
      </c>
      <c r="H220">
        <v>15350500</v>
      </c>
    </row>
    <row r="221" spans="1:9" x14ac:dyDescent="0.25">
      <c r="A221" t="str">
        <f t="shared" si="3"/>
        <v>05231</v>
      </c>
      <c r="B221" t="s">
        <v>38</v>
      </c>
      <c r="C221" t="s">
        <v>111</v>
      </c>
      <c r="D221" t="str">
        <f>"016"</f>
        <v>016</v>
      </c>
      <c r="E221">
        <v>2007</v>
      </c>
      <c r="F221">
        <v>82363200</v>
      </c>
      <c r="G221">
        <v>98492500</v>
      </c>
      <c r="H221">
        <v>16129300</v>
      </c>
    </row>
    <row r="222" spans="1:9" x14ac:dyDescent="0.25">
      <c r="A222" t="str">
        <f t="shared" si="3"/>
        <v>05231</v>
      </c>
      <c r="B222" t="s">
        <v>38</v>
      </c>
      <c r="C222" t="s">
        <v>111</v>
      </c>
      <c r="D222" t="str">
        <f>"017"</f>
        <v>017</v>
      </c>
      <c r="E222">
        <v>2008</v>
      </c>
      <c r="F222">
        <v>183900</v>
      </c>
      <c r="G222">
        <v>494300</v>
      </c>
      <c r="H222">
        <v>310400</v>
      </c>
    </row>
    <row r="223" spans="1:9" x14ac:dyDescent="0.25">
      <c r="A223" t="str">
        <f t="shared" si="3"/>
        <v>05231</v>
      </c>
      <c r="B223" t="s">
        <v>38</v>
      </c>
      <c r="C223" t="s">
        <v>111</v>
      </c>
      <c r="D223" t="str">
        <f>"018"</f>
        <v>018</v>
      </c>
      <c r="E223">
        <v>2016</v>
      </c>
      <c r="F223">
        <v>29760700</v>
      </c>
      <c r="G223">
        <v>45292200</v>
      </c>
      <c r="H223">
        <v>15531500</v>
      </c>
    </row>
    <row r="224" spans="1:9" x14ac:dyDescent="0.25">
      <c r="A224" t="str">
        <f t="shared" si="3"/>
        <v>05231</v>
      </c>
      <c r="B224" t="s">
        <v>38</v>
      </c>
      <c r="C224" t="s">
        <v>111</v>
      </c>
      <c r="D224" t="str">
        <f>"019"</f>
        <v>019</v>
      </c>
      <c r="E224">
        <v>2017</v>
      </c>
      <c r="F224">
        <v>27027500</v>
      </c>
      <c r="G224">
        <v>35915200</v>
      </c>
      <c r="H224">
        <v>8887700</v>
      </c>
    </row>
    <row r="225" spans="1:9" x14ac:dyDescent="0.25">
      <c r="A225" t="str">
        <f t="shared" si="3"/>
        <v>05231</v>
      </c>
      <c r="B225" t="s">
        <v>38</v>
      </c>
      <c r="C225" t="s">
        <v>111</v>
      </c>
      <c r="D225" t="str">
        <f>"020"</f>
        <v>020</v>
      </c>
      <c r="E225">
        <v>2018</v>
      </c>
      <c r="F225">
        <v>5285100</v>
      </c>
      <c r="G225">
        <v>5579200</v>
      </c>
      <c r="H225">
        <v>294100</v>
      </c>
    </row>
    <row r="226" spans="1:9" x14ac:dyDescent="0.25">
      <c r="A226" t="str">
        <f t="shared" si="3"/>
        <v>05231</v>
      </c>
      <c r="B226" t="s">
        <v>38</v>
      </c>
      <c r="C226" t="s">
        <v>111</v>
      </c>
      <c r="D226" t="str">
        <f>"021"</f>
        <v>021</v>
      </c>
      <c r="E226">
        <v>2018</v>
      </c>
      <c r="F226">
        <v>25446300</v>
      </c>
      <c r="G226">
        <v>26992800</v>
      </c>
      <c r="H226">
        <v>1546500</v>
      </c>
    </row>
    <row r="227" spans="1:9" x14ac:dyDescent="0.25">
      <c r="A227" t="str">
        <f t="shared" si="3"/>
        <v>05231</v>
      </c>
      <c r="B227" t="s">
        <v>38</v>
      </c>
      <c r="C227" t="s">
        <v>111</v>
      </c>
      <c r="D227" t="s">
        <v>13</v>
      </c>
      <c r="E227" t="s">
        <v>14</v>
      </c>
      <c r="F227" t="s">
        <v>15</v>
      </c>
      <c r="G227" t="s">
        <v>15</v>
      </c>
      <c r="H227" t="s">
        <v>15</v>
      </c>
      <c r="I227" s="1">
        <v>6551309700</v>
      </c>
    </row>
    <row r="228" spans="1:9" x14ac:dyDescent="0.25">
      <c r="A228" t="s">
        <v>32</v>
      </c>
      <c r="B228" t="s">
        <v>40</v>
      </c>
      <c r="C228" t="s">
        <v>34</v>
      </c>
      <c r="D228" t="s">
        <v>13</v>
      </c>
      <c r="E228" t="s">
        <v>14</v>
      </c>
      <c r="F228" t="s">
        <v>15</v>
      </c>
      <c r="G228" t="s">
        <v>15</v>
      </c>
      <c r="H228" t="s">
        <v>15</v>
      </c>
      <c r="I228" s="1">
        <v>8598196000</v>
      </c>
    </row>
    <row r="229" spans="1:9" x14ac:dyDescent="0.25">
      <c r="A229" t="s">
        <v>32</v>
      </c>
      <c r="B229" t="s">
        <v>41</v>
      </c>
      <c r="C229" t="s">
        <v>131</v>
      </c>
      <c r="D229" t="s">
        <v>13</v>
      </c>
      <c r="E229" t="s">
        <v>14</v>
      </c>
      <c r="F229" t="s">
        <v>15</v>
      </c>
      <c r="G229" t="s">
        <v>15</v>
      </c>
      <c r="H229" t="s">
        <v>15</v>
      </c>
      <c r="I229" s="1">
        <v>21764370600</v>
      </c>
    </row>
    <row r="230" spans="1:9" x14ac:dyDescent="0.25">
      <c r="A230" t="str">
        <f>"06002"</f>
        <v>06002</v>
      </c>
      <c r="B230" t="s">
        <v>11</v>
      </c>
      <c r="C230" t="s">
        <v>132</v>
      </c>
      <c r="D230" t="s">
        <v>13</v>
      </c>
      <c r="E230" t="s">
        <v>14</v>
      </c>
      <c r="F230" t="s">
        <v>15</v>
      </c>
      <c r="G230" t="s">
        <v>15</v>
      </c>
      <c r="H230" t="s">
        <v>15</v>
      </c>
      <c r="I230" s="1">
        <v>43156600</v>
      </c>
    </row>
    <row r="231" spans="1:9" x14ac:dyDescent="0.25">
      <c r="A231" t="str">
        <f>"06004"</f>
        <v>06004</v>
      </c>
      <c r="B231" t="s">
        <v>11</v>
      </c>
      <c r="C231" t="s">
        <v>133</v>
      </c>
      <c r="D231" t="s">
        <v>13</v>
      </c>
      <c r="E231" t="s">
        <v>14</v>
      </c>
      <c r="F231" t="s">
        <v>15</v>
      </c>
      <c r="G231" t="s">
        <v>15</v>
      </c>
      <c r="H231" t="s">
        <v>15</v>
      </c>
      <c r="I231" s="1">
        <v>63736400</v>
      </c>
    </row>
    <row r="232" spans="1:9" x14ac:dyDescent="0.25">
      <c r="A232" t="str">
        <f>"06006"</f>
        <v>06006</v>
      </c>
      <c r="B232" t="s">
        <v>11</v>
      </c>
      <c r="C232" t="s">
        <v>134</v>
      </c>
      <c r="D232" t="s">
        <v>13</v>
      </c>
      <c r="E232" t="s">
        <v>14</v>
      </c>
      <c r="F232" t="s">
        <v>15</v>
      </c>
      <c r="G232" t="s">
        <v>15</v>
      </c>
      <c r="H232" t="s">
        <v>15</v>
      </c>
      <c r="I232" s="1">
        <v>75544200</v>
      </c>
    </row>
    <row r="233" spans="1:9" x14ac:dyDescent="0.25">
      <c r="A233" t="str">
        <f>"06008"</f>
        <v>06008</v>
      </c>
      <c r="B233" t="s">
        <v>11</v>
      </c>
      <c r="C233" t="s">
        <v>135</v>
      </c>
      <c r="D233" t="s">
        <v>13</v>
      </c>
      <c r="E233" t="s">
        <v>14</v>
      </c>
      <c r="F233" t="s">
        <v>15</v>
      </c>
      <c r="G233" t="s">
        <v>15</v>
      </c>
      <c r="H233" t="s">
        <v>15</v>
      </c>
      <c r="I233" s="1">
        <v>31785900</v>
      </c>
    </row>
    <row r="234" spans="1:9" x14ac:dyDescent="0.25">
      <c r="A234" t="str">
        <f>"06010"</f>
        <v>06010</v>
      </c>
      <c r="B234" t="s">
        <v>11</v>
      </c>
      <c r="C234" t="s">
        <v>136</v>
      </c>
      <c r="D234" t="s">
        <v>13</v>
      </c>
      <c r="E234" t="s">
        <v>14</v>
      </c>
      <c r="F234" t="s">
        <v>15</v>
      </c>
      <c r="G234" t="s">
        <v>15</v>
      </c>
      <c r="H234" t="s">
        <v>15</v>
      </c>
      <c r="I234" s="1">
        <v>43557400</v>
      </c>
    </row>
    <row r="235" spans="1:9" x14ac:dyDescent="0.25">
      <c r="A235" t="str">
        <f>"06012"</f>
        <v>06012</v>
      </c>
      <c r="B235" t="s">
        <v>11</v>
      </c>
      <c r="C235" t="s">
        <v>137</v>
      </c>
      <c r="D235" t="s">
        <v>13</v>
      </c>
      <c r="E235" t="s">
        <v>14</v>
      </c>
      <c r="F235" t="s">
        <v>15</v>
      </c>
      <c r="G235" t="s">
        <v>15</v>
      </c>
      <c r="H235" t="s">
        <v>15</v>
      </c>
      <c r="I235" s="1">
        <v>38568400</v>
      </c>
    </row>
    <row r="236" spans="1:9" x14ac:dyDescent="0.25">
      <c r="A236" t="str">
        <f>"06014"</f>
        <v>06014</v>
      </c>
      <c r="B236" t="s">
        <v>11</v>
      </c>
      <c r="C236" t="s">
        <v>138</v>
      </c>
      <c r="D236" t="s">
        <v>13</v>
      </c>
      <c r="E236" t="s">
        <v>14</v>
      </c>
      <c r="F236" t="s">
        <v>15</v>
      </c>
      <c r="G236" t="s">
        <v>15</v>
      </c>
      <c r="H236" t="s">
        <v>15</v>
      </c>
      <c r="I236" s="1">
        <v>44339800</v>
      </c>
    </row>
    <row r="237" spans="1:9" x14ac:dyDescent="0.25">
      <c r="A237" t="str">
        <f>"06016"</f>
        <v>06016</v>
      </c>
      <c r="B237" t="s">
        <v>11</v>
      </c>
      <c r="C237" t="s">
        <v>139</v>
      </c>
      <c r="D237" t="s">
        <v>13</v>
      </c>
      <c r="E237" t="s">
        <v>14</v>
      </c>
      <c r="F237" t="s">
        <v>15</v>
      </c>
      <c r="G237" t="s">
        <v>15</v>
      </c>
      <c r="H237" t="s">
        <v>15</v>
      </c>
      <c r="I237" s="1">
        <v>41949700</v>
      </c>
    </row>
    <row r="238" spans="1:9" x14ac:dyDescent="0.25">
      <c r="A238" t="str">
        <f>"06018"</f>
        <v>06018</v>
      </c>
      <c r="B238" t="s">
        <v>11</v>
      </c>
      <c r="C238" t="s">
        <v>22</v>
      </c>
      <c r="D238" t="s">
        <v>13</v>
      </c>
      <c r="E238" t="s">
        <v>14</v>
      </c>
      <c r="F238" t="s">
        <v>15</v>
      </c>
      <c r="G238" t="s">
        <v>15</v>
      </c>
      <c r="H238" t="s">
        <v>15</v>
      </c>
      <c r="I238" s="1">
        <v>32470000</v>
      </c>
    </row>
    <row r="239" spans="1:9" x14ac:dyDescent="0.25">
      <c r="A239" t="str">
        <f>"06020"</f>
        <v>06020</v>
      </c>
      <c r="B239" t="s">
        <v>11</v>
      </c>
      <c r="C239" t="s">
        <v>140</v>
      </c>
      <c r="D239" t="s">
        <v>13</v>
      </c>
      <c r="E239" t="s">
        <v>14</v>
      </c>
      <c r="F239" t="s">
        <v>15</v>
      </c>
      <c r="G239" t="s">
        <v>15</v>
      </c>
      <c r="H239" t="s">
        <v>15</v>
      </c>
      <c r="I239" s="1">
        <v>40772900</v>
      </c>
    </row>
    <row r="240" spans="1:9" x14ac:dyDescent="0.25">
      <c r="A240" t="str">
        <f>"06022"</f>
        <v>06022</v>
      </c>
      <c r="B240" t="s">
        <v>11</v>
      </c>
      <c r="C240" t="s">
        <v>141</v>
      </c>
      <c r="D240" t="s">
        <v>13</v>
      </c>
      <c r="E240" t="s">
        <v>14</v>
      </c>
      <c r="F240" t="s">
        <v>15</v>
      </c>
      <c r="G240" t="s">
        <v>15</v>
      </c>
      <c r="H240" t="s">
        <v>15</v>
      </c>
      <c r="I240" s="1">
        <v>58346900</v>
      </c>
    </row>
    <row r="241" spans="1:9" x14ac:dyDescent="0.25">
      <c r="A241" t="str">
        <f>"06024"</f>
        <v>06024</v>
      </c>
      <c r="B241" t="s">
        <v>11</v>
      </c>
      <c r="C241" t="s">
        <v>142</v>
      </c>
      <c r="D241" t="s">
        <v>13</v>
      </c>
      <c r="E241" t="s">
        <v>14</v>
      </c>
      <c r="F241" t="s">
        <v>15</v>
      </c>
      <c r="G241" t="s">
        <v>15</v>
      </c>
      <c r="H241" t="s">
        <v>15</v>
      </c>
      <c r="I241" s="1">
        <v>35874400</v>
      </c>
    </row>
    <row r="242" spans="1:9" x14ac:dyDescent="0.25">
      <c r="A242" t="str">
        <f>"06026"</f>
        <v>06026</v>
      </c>
      <c r="B242" t="s">
        <v>11</v>
      </c>
      <c r="C242" t="s">
        <v>143</v>
      </c>
      <c r="D242" t="s">
        <v>13</v>
      </c>
      <c r="E242" t="s">
        <v>14</v>
      </c>
      <c r="F242" t="s">
        <v>15</v>
      </c>
      <c r="G242" t="s">
        <v>15</v>
      </c>
      <c r="H242" t="s">
        <v>15</v>
      </c>
      <c r="I242" s="1">
        <v>42892300</v>
      </c>
    </row>
    <row r="243" spans="1:9" x14ac:dyDescent="0.25">
      <c r="A243" t="str">
        <f>"06028"</f>
        <v>06028</v>
      </c>
      <c r="B243" t="s">
        <v>11</v>
      </c>
      <c r="C243" t="s">
        <v>144</v>
      </c>
      <c r="D243" t="s">
        <v>13</v>
      </c>
      <c r="E243" t="s">
        <v>14</v>
      </c>
      <c r="F243" t="s">
        <v>15</v>
      </c>
      <c r="G243" t="s">
        <v>15</v>
      </c>
      <c r="H243" t="s">
        <v>15</v>
      </c>
      <c r="I243" s="1">
        <v>40103400</v>
      </c>
    </row>
    <row r="244" spans="1:9" x14ac:dyDescent="0.25">
      <c r="A244" t="str">
        <f>"06030"</f>
        <v>06030</v>
      </c>
      <c r="B244" t="s">
        <v>11</v>
      </c>
      <c r="C244" t="s">
        <v>145</v>
      </c>
      <c r="D244" t="s">
        <v>13</v>
      </c>
      <c r="E244" t="s">
        <v>14</v>
      </c>
      <c r="F244" t="s">
        <v>15</v>
      </c>
      <c r="G244" t="s">
        <v>15</v>
      </c>
      <c r="H244" t="s">
        <v>15</v>
      </c>
      <c r="I244" s="1">
        <v>57992100</v>
      </c>
    </row>
    <row r="245" spans="1:9" x14ac:dyDescent="0.25">
      <c r="A245" t="str">
        <f>"06032"</f>
        <v>06032</v>
      </c>
      <c r="B245" t="s">
        <v>11</v>
      </c>
      <c r="C245" t="s">
        <v>146</v>
      </c>
      <c r="D245" t="s">
        <v>13</v>
      </c>
      <c r="E245" t="s">
        <v>14</v>
      </c>
      <c r="F245" t="s">
        <v>15</v>
      </c>
      <c r="G245" t="s">
        <v>15</v>
      </c>
      <c r="H245" t="s">
        <v>15</v>
      </c>
      <c r="I245" s="1">
        <v>75794800</v>
      </c>
    </row>
    <row r="246" spans="1:9" x14ac:dyDescent="0.25">
      <c r="A246" t="str">
        <f>"06034"</f>
        <v>06034</v>
      </c>
      <c r="B246" t="s">
        <v>11</v>
      </c>
      <c r="C246" t="s">
        <v>147</v>
      </c>
      <c r="D246" t="s">
        <v>13</v>
      </c>
      <c r="E246" t="s">
        <v>14</v>
      </c>
      <c r="F246" t="s">
        <v>15</v>
      </c>
      <c r="G246" t="s">
        <v>15</v>
      </c>
      <c r="H246" t="s">
        <v>15</v>
      </c>
      <c r="I246" s="1">
        <v>52183400</v>
      </c>
    </row>
    <row r="247" spans="1:9" x14ac:dyDescent="0.25">
      <c r="A247" t="s">
        <v>32</v>
      </c>
      <c r="B247" t="s">
        <v>33</v>
      </c>
      <c r="C247" t="s">
        <v>34</v>
      </c>
      <c r="D247" t="s">
        <v>13</v>
      </c>
      <c r="E247" t="s">
        <v>14</v>
      </c>
      <c r="F247" t="s">
        <v>15</v>
      </c>
      <c r="G247" t="s">
        <v>15</v>
      </c>
      <c r="H247" t="s">
        <v>15</v>
      </c>
      <c r="I247" s="1">
        <v>819068600</v>
      </c>
    </row>
    <row r="248" spans="1:9" x14ac:dyDescent="0.25">
      <c r="A248" t="str">
        <f>"06111"</f>
        <v>06111</v>
      </c>
      <c r="B248" t="s">
        <v>35</v>
      </c>
      <c r="C248" t="s">
        <v>148</v>
      </c>
      <c r="D248" t="s">
        <v>13</v>
      </c>
      <c r="E248" t="s">
        <v>14</v>
      </c>
      <c r="F248" t="s">
        <v>15</v>
      </c>
      <c r="G248" t="s">
        <v>15</v>
      </c>
      <c r="H248" t="s">
        <v>15</v>
      </c>
      <c r="I248" s="1">
        <v>26911000</v>
      </c>
    </row>
    <row r="249" spans="1:9" x14ac:dyDescent="0.25">
      <c r="A249" t="str">
        <f>"06154"</f>
        <v>06154</v>
      </c>
      <c r="B249" t="s">
        <v>35</v>
      </c>
      <c r="C249" t="s">
        <v>146</v>
      </c>
      <c r="D249" t="s">
        <v>13</v>
      </c>
      <c r="E249" t="s">
        <v>14</v>
      </c>
      <c r="F249" t="s">
        <v>15</v>
      </c>
      <c r="G249" t="s">
        <v>15</v>
      </c>
      <c r="H249" t="s">
        <v>15</v>
      </c>
      <c r="I249" s="1">
        <v>18966100</v>
      </c>
    </row>
    <row r="250" spans="1:9" x14ac:dyDescent="0.25">
      <c r="A250" t="s">
        <v>32</v>
      </c>
      <c r="B250" t="s">
        <v>37</v>
      </c>
      <c r="C250" t="s">
        <v>34</v>
      </c>
      <c r="D250" t="s">
        <v>13</v>
      </c>
      <c r="E250" t="s">
        <v>14</v>
      </c>
      <c r="F250" t="s">
        <v>15</v>
      </c>
      <c r="G250" t="s">
        <v>15</v>
      </c>
      <c r="H250" t="s">
        <v>15</v>
      </c>
      <c r="I250" s="1">
        <v>45877100</v>
      </c>
    </row>
    <row r="251" spans="1:9" x14ac:dyDescent="0.25">
      <c r="A251" t="str">
        <f>"06201"</f>
        <v>06201</v>
      </c>
      <c r="B251" t="s">
        <v>38</v>
      </c>
      <c r="C251" t="s">
        <v>132</v>
      </c>
      <c r="D251" t="str">
        <f>"001"</f>
        <v>001</v>
      </c>
      <c r="E251">
        <v>1994</v>
      </c>
      <c r="F251">
        <v>769100</v>
      </c>
      <c r="G251">
        <v>4215300</v>
      </c>
      <c r="H251">
        <v>3446200</v>
      </c>
    </row>
    <row r="252" spans="1:9" x14ac:dyDescent="0.25">
      <c r="A252" t="str">
        <f>"06201"</f>
        <v>06201</v>
      </c>
      <c r="B252" t="s">
        <v>38</v>
      </c>
      <c r="C252" t="s">
        <v>132</v>
      </c>
      <c r="D252" t="s">
        <v>13</v>
      </c>
      <c r="E252" t="s">
        <v>14</v>
      </c>
      <c r="F252" t="s">
        <v>15</v>
      </c>
      <c r="G252" t="s">
        <v>15</v>
      </c>
      <c r="H252" t="s">
        <v>15</v>
      </c>
      <c r="I252" s="1">
        <v>53750700</v>
      </c>
    </row>
    <row r="253" spans="1:9" x14ac:dyDescent="0.25">
      <c r="A253" t="str">
        <f>"06206"</f>
        <v>06206</v>
      </c>
      <c r="B253" t="s">
        <v>38</v>
      </c>
      <c r="C253" t="s">
        <v>149</v>
      </c>
      <c r="D253" t="s">
        <v>13</v>
      </c>
      <c r="E253" t="s">
        <v>14</v>
      </c>
      <c r="F253" t="s">
        <v>15</v>
      </c>
      <c r="G253" t="s">
        <v>15</v>
      </c>
      <c r="H253" t="s">
        <v>15</v>
      </c>
      <c r="I253" s="1">
        <v>77807200</v>
      </c>
    </row>
    <row r="254" spans="1:9" x14ac:dyDescent="0.25">
      <c r="A254" t="str">
        <f>"06226"</f>
        <v>06226</v>
      </c>
      <c r="B254" t="s">
        <v>38</v>
      </c>
      <c r="C254" t="s">
        <v>150</v>
      </c>
      <c r="D254" t="s">
        <v>13</v>
      </c>
      <c r="E254" t="s">
        <v>14</v>
      </c>
      <c r="F254" t="s">
        <v>15</v>
      </c>
      <c r="G254" t="s">
        <v>15</v>
      </c>
      <c r="H254" t="s">
        <v>15</v>
      </c>
      <c r="I254" s="1">
        <v>55570500</v>
      </c>
    </row>
    <row r="255" spans="1:9" x14ac:dyDescent="0.25">
      <c r="A255" t="str">
        <f>"06251"</f>
        <v>06251</v>
      </c>
      <c r="B255" t="s">
        <v>38</v>
      </c>
      <c r="C255" t="s">
        <v>143</v>
      </c>
      <c r="D255" t="str">
        <f>"001"</f>
        <v>001</v>
      </c>
      <c r="E255">
        <v>1989</v>
      </c>
      <c r="F255">
        <v>116300</v>
      </c>
      <c r="G255">
        <v>13383700</v>
      </c>
      <c r="H255">
        <v>13267400</v>
      </c>
    </row>
    <row r="256" spans="1:9" x14ac:dyDescent="0.25">
      <c r="A256" t="str">
        <f>"06251"</f>
        <v>06251</v>
      </c>
      <c r="B256" t="s">
        <v>38</v>
      </c>
      <c r="C256" t="s">
        <v>143</v>
      </c>
      <c r="D256" t="str">
        <f>"002"</f>
        <v>002</v>
      </c>
      <c r="E256">
        <v>2005</v>
      </c>
      <c r="F256">
        <v>19900</v>
      </c>
      <c r="G256">
        <v>10882200</v>
      </c>
      <c r="H256">
        <v>10862300</v>
      </c>
    </row>
    <row r="257" spans="1:9" x14ac:dyDescent="0.25">
      <c r="A257" t="str">
        <f>"06251"</f>
        <v>06251</v>
      </c>
      <c r="B257" t="s">
        <v>38</v>
      </c>
      <c r="C257" t="s">
        <v>143</v>
      </c>
      <c r="D257" t="s">
        <v>13</v>
      </c>
      <c r="E257" t="s">
        <v>14</v>
      </c>
      <c r="F257" t="s">
        <v>15</v>
      </c>
      <c r="G257" t="s">
        <v>15</v>
      </c>
      <c r="H257" t="s">
        <v>15</v>
      </c>
      <c r="I257" s="1">
        <v>148533300</v>
      </c>
    </row>
    <row r="258" spans="1:9" x14ac:dyDescent="0.25">
      <c r="A258" t="s">
        <v>32</v>
      </c>
      <c r="B258" t="s">
        <v>40</v>
      </c>
      <c r="C258" t="s">
        <v>34</v>
      </c>
      <c r="D258" t="s">
        <v>13</v>
      </c>
      <c r="E258" t="s">
        <v>14</v>
      </c>
      <c r="F258" t="s">
        <v>15</v>
      </c>
      <c r="G258" t="s">
        <v>15</v>
      </c>
      <c r="H258" t="s">
        <v>15</v>
      </c>
      <c r="I258" s="1">
        <v>335661700</v>
      </c>
    </row>
    <row r="259" spans="1:9" x14ac:dyDescent="0.25">
      <c r="A259" t="s">
        <v>32</v>
      </c>
      <c r="B259" t="s">
        <v>41</v>
      </c>
      <c r="C259" t="s">
        <v>134</v>
      </c>
      <c r="D259" t="s">
        <v>13</v>
      </c>
      <c r="E259" t="s">
        <v>14</v>
      </c>
      <c r="F259" t="s">
        <v>15</v>
      </c>
      <c r="G259" t="s">
        <v>15</v>
      </c>
      <c r="H259" t="s">
        <v>15</v>
      </c>
      <c r="I259" s="1">
        <v>1200607400</v>
      </c>
    </row>
    <row r="260" spans="1:9" x14ac:dyDescent="0.25">
      <c r="A260" t="str">
        <f>"07002"</f>
        <v>07002</v>
      </c>
      <c r="B260" t="s">
        <v>11</v>
      </c>
      <c r="C260" t="s">
        <v>151</v>
      </c>
      <c r="D260" t="s">
        <v>13</v>
      </c>
      <c r="E260" t="s">
        <v>14</v>
      </c>
      <c r="F260" t="s">
        <v>15</v>
      </c>
      <c r="G260" t="s">
        <v>15</v>
      </c>
      <c r="H260" t="s">
        <v>15</v>
      </c>
      <c r="I260" s="1">
        <v>36729300</v>
      </c>
    </row>
    <row r="261" spans="1:9" x14ac:dyDescent="0.25">
      <c r="A261" t="str">
        <f>"07004"</f>
        <v>07004</v>
      </c>
      <c r="B261" t="s">
        <v>11</v>
      </c>
      <c r="C261" t="s">
        <v>152</v>
      </c>
      <c r="D261" t="s">
        <v>13</v>
      </c>
      <c r="E261" t="s">
        <v>14</v>
      </c>
      <c r="F261" t="s">
        <v>15</v>
      </c>
      <c r="G261" t="s">
        <v>15</v>
      </c>
      <c r="H261" t="s">
        <v>15</v>
      </c>
      <c r="I261" s="1">
        <v>40687800</v>
      </c>
    </row>
    <row r="262" spans="1:9" x14ac:dyDescent="0.25">
      <c r="A262" t="str">
        <f>"07006"</f>
        <v>07006</v>
      </c>
      <c r="B262" t="s">
        <v>11</v>
      </c>
      <c r="C262" t="s">
        <v>153</v>
      </c>
      <c r="D262" t="s">
        <v>13</v>
      </c>
      <c r="E262" t="s">
        <v>14</v>
      </c>
      <c r="F262" t="s">
        <v>15</v>
      </c>
      <c r="G262" t="s">
        <v>15</v>
      </c>
      <c r="H262" t="s">
        <v>15</v>
      </c>
      <c r="I262" s="1">
        <v>94976800</v>
      </c>
    </row>
    <row r="263" spans="1:9" x14ac:dyDescent="0.25">
      <c r="A263" t="str">
        <f>"07008"</f>
        <v>07008</v>
      </c>
      <c r="B263" t="s">
        <v>11</v>
      </c>
      <c r="C263" t="s">
        <v>154</v>
      </c>
      <c r="D263" t="s">
        <v>13</v>
      </c>
      <c r="E263" t="s">
        <v>14</v>
      </c>
      <c r="F263" t="s">
        <v>15</v>
      </c>
      <c r="G263" t="s">
        <v>15</v>
      </c>
      <c r="H263" t="s">
        <v>15</v>
      </c>
      <c r="I263" s="1">
        <v>51800700</v>
      </c>
    </row>
    <row r="264" spans="1:9" x14ac:dyDescent="0.25">
      <c r="A264" t="str">
        <f>"07010"</f>
        <v>07010</v>
      </c>
      <c r="B264" t="s">
        <v>11</v>
      </c>
      <c r="C264" t="s">
        <v>155</v>
      </c>
      <c r="D264" t="s">
        <v>13</v>
      </c>
      <c r="E264" t="s">
        <v>14</v>
      </c>
      <c r="F264" t="s">
        <v>15</v>
      </c>
      <c r="G264" t="s">
        <v>15</v>
      </c>
      <c r="H264" t="s">
        <v>15</v>
      </c>
      <c r="I264" s="1">
        <v>78099800</v>
      </c>
    </row>
    <row r="265" spans="1:9" x14ac:dyDescent="0.25">
      <c r="A265" t="str">
        <f>"07012"</f>
        <v>07012</v>
      </c>
      <c r="B265" t="s">
        <v>11</v>
      </c>
      <c r="C265" t="s">
        <v>20</v>
      </c>
      <c r="D265" t="s">
        <v>13</v>
      </c>
      <c r="E265" t="s">
        <v>14</v>
      </c>
      <c r="F265" t="s">
        <v>15</v>
      </c>
      <c r="G265" t="s">
        <v>15</v>
      </c>
      <c r="H265" t="s">
        <v>15</v>
      </c>
      <c r="I265" s="1">
        <v>273350000</v>
      </c>
    </row>
    <row r="266" spans="1:9" x14ac:dyDescent="0.25">
      <c r="A266" t="str">
        <f>"07014"</f>
        <v>07014</v>
      </c>
      <c r="B266" t="s">
        <v>11</v>
      </c>
      <c r="C266" t="s">
        <v>156</v>
      </c>
      <c r="D266" t="s">
        <v>13</v>
      </c>
      <c r="E266" t="s">
        <v>14</v>
      </c>
      <c r="F266" t="s">
        <v>15</v>
      </c>
      <c r="G266" t="s">
        <v>15</v>
      </c>
      <c r="H266" t="s">
        <v>15</v>
      </c>
      <c r="I266" s="1">
        <v>111952700</v>
      </c>
    </row>
    <row r="267" spans="1:9" x14ac:dyDescent="0.25">
      <c r="A267" t="str">
        <f>"07016"</f>
        <v>07016</v>
      </c>
      <c r="B267" t="s">
        <v>11</v>
      </c>
      <c r="C267" t="s">
        <v>22</v>
      </c>
      <c r="D267" t="s">
        <v>13</v>
      </c>
      <c r="E267" t="s">
        <v>14</v>
      </c>
      <c r="F267" t="s">
        <v>15</v>
      </c>
      <c r="G267" t="s">
        <v>15</v>
      </c>
      <c r="H267" t="s">
        <v>15</v>
      </c>
      <c r="I267" s="1">
        <v>37053600</v>
      </c>
    </row>
    <row r="268" spans="1:9" x14ac:dyDescent="0.25">
      <c r="A268" t="str">
        <f>"07018"</f>
        <v>07018</v>
      </c>
      <c r="B268" t="s">
        <v>11</v>
      </c>
      <c r="C268" t="s">
        <v>157</v>
      </c>
      <c r="D268" t="s">
        <v>13</v>
      </c>
      <c r="E268" t="s">
        <v>14</v>
      </c>
      <c r="F268" t="s">
        <v>15</v>
      </c>
      <c r="G268" t="s">
        <v>15</v>
      </c>
      <c r="H268" t="s">
        <v>15</v>
      </c>
      <c r="I268" s="1">
        <v>162046500</v>
      </c>
    </row>
    <row r="269" spans="1:9" x14ac:dyDescent="0.25">
      <c r="A269" t="str">
        <f>"07020"</f>
        <v>07020</v>
      </c>
      <c r="B269" t="s">
        <v>11</v>
      </c>
      <c r="C269" t="s">
        <v>158</v>
      </c>
      <c r="D269" t="s">
        <v>13</v>
      </c>
      <c r="E269" t="s">
        <v>14</v>
      </c>
      <c r="F269" t="s">
        <v>15</v>
      </c>
      <c r="G269" t="s">
        <v>15</v>
      </c>
      <c r="H269" t="s">
        <v>15</v>
      </c>
      <c r="I269" s="1">
        <v>263876700</v>
      </c>
    </row>
    <row r="270" spans="1:9" x14ac:dyDescent="0.25">
      <c r="A270" t="str">
        <f>"07022"</f>
        <v>07022</v>
      </c>
      <c r="B270" t="s">
        <v>11</v>
      </c>
      <c r="C270" t="s">
        <v>159</v>
      </c>
      <c r="D270" t="s">
        <v>13</v>
      </c>
      <c r="E270" t="s">
        <v>14</v>
      </c>
      <c r="F270" t="s">
        <v>15</v>
      </c>
      <c r="G270" t="s">
        <v>15</v>
      </c>
      <c r="H270" t="s">
        <v>15</v>
      </c>
      <c r="I270" s="1">
        <v>27216600</v>
      </c>
    </row>
    <row r="271" spans="1:9" x14ac:dyDescent="0.25">
      <c r="A271" t="str">
        <f>"07024"</f>
        <v>07024</v>
      </c>
      <c r="B271" t="s">
        <v>11</v>
      </c>
      <c r="C271" t="s">
        <v>160</v>
      </c>
      <c r="D271" t="s">
        <v>13</v>
      </c>
      <c r="E271" t="s">
        <v>14</v>
      </c>
      <c r="F271" t="s">
        <v>15</v>
      </c>
      <c r="G271" t="s">
        <v>15</v>
      </c>
      <c r="H271" t="s">
        <v>15</v>
      </c>
      <c r="I271" s="1">
        <v>90896100</v>
      </c>
    </row>
    <row r="272" spans="1:9" x14ac:dyDescent="0.25">
      <c r="A272" t="str">
        <f>"07026"</f>
        <v>07026</v>
      </c>
      <c r="B272" t="s">
        <v>11</v>
      </c>
      <c r="C272" t="s">
        <v>161</v>
      </c>
      <c r="D272" t="s">
        <v>13</v>
      </c>
      <c r="E272" t="s">
        <v>14</v>
      </c>
      <c r="F272" t="s">
        <v>15</v>
      </c>
      <c r="G272" t="s">
        <v>15</v>
      </c>
      <c r="H272" t="s">
        <v>15</v>
      </c>
      <c r="I272" s="1">
        <v>107336800</v>
      </c>
    </row>
    <row r="273" spans="1:9" x14ac:dyDescent="0.25">
      <c r="A273" t="str">
        <f>"07028"</f>
        <v>07028</v>
      </c>
      <c r="B273" t="s">
        <v>11</v>
      </c>
      <c r="C273" t="s">
        <v>120</v>
      </c>
      <c r="D273" t="s">
        <v>13</v>
      </c>
      <c r="E273" t="s">
        <v>14</v>
      </c>
      <c r="F273" t="s">
        <v>15</v>
      </c>
      <c r="G273" t="s">
        <v>15</v>
      </c>
      <c r="H273" t="s">
        <v>15</v>
      </c>
      <c r="I273" s="1">
        <v>267710100</v>
      </c>
    </row>
    <row r="274" spans="1:9" x14ac:dyDescent="0.25">
      <c r="A274" t="str">
        <f>"07030"</f>
        <v>07030</v>
      </c>
      <c r="B274" t="s">
        <v>11</v>
      </c>
      <c r="C274" t="s">
        <v>162</v>
      </c>
      <c r="D274" t="s">
        <v>13</v>
      </c>
      <c r="E274" t="s">
        <v>14</v>
      </c>
      <c r="F274" t="s">
        <v>15</v>
      </c>
      <c r="G274" t="s">
        <v>15</v>
      </c>
      <c r="H274" t="s">
        <v>15</v>
      </c>
      <c r="I274" s="1">
        <v>195608700</v>
      </c>
    </row>
    <row r="275" spans="1:9" x14ac:dyDescent="0.25">
      <c r="A275" t="str">
        <f>"07032"</f>
        <v>07032</v>
      </c>
      <c r="B275" t="s">
        <v>11</v>
      </c>
      <c r="C275" t="s">
        <v>163</v>
      </c>
      <c r="D275" t="s">
        <v>13</v>
      </c>
      <c r="E275" t="s">
        <v>14</v>
      </c>
      <c r="F275" t="s">
        <v>15</v>
      </c>
      <c r="G275" t="s">
        <v>15</v>
      </c>
      <c r="H275" t="s">
        <v>15</v>
      </c>
      <c r="I275" s="1">
        <v>185206500</v>
      </c>
    </row>
    <row r="276" spans="1:9" x14ac:dyDescent="0.25">
      <c r="A276" t="str">
        <f>"07034"</f>
        <v>07034</v>
      </c>
      <c r="B276" t="s">
        <v>11</v>
      </c>
      <c r="C276" t="s">
        <v>164</v>
      </c>
      <c r="D276" t="s">
        <v>13</v>
      </c>
      <c r="E276" t="s">
        <v>14</v>
      </c>
      <c r="F276" t="s">
        <v>15</v>
      </c>
      <c r="G276" t="s">
        <v>15</v>
      </c>
      <c r="H276" t="s">
        <v>15</v>
      </c>
      <c r="I276" s="1">
        <v>129005800</v>
      </c>
    </row>
    <row r="277" spans="1:9" x14ac:dyDescent="0.25">
      <c r="A277" t="str">
        <f>"07036"</f>
        <v>07036</v>
      </c>
      <c r="B277" t="s">
        <v>11</v>
      </c>
      <c r="C277" t="s">
        <v>165</v>
      </c>
      <c r="D277" t="s">
        <v>13</v>
      </c>
      <c r="E277" t="s">
        <v>14</v>
      </c>
      <c r="F277" t="s">
        <v>15</v>
      </c>
      <c r="G277" t="s">
        <v>15</v>
      </c>
      <c r="H277" t="s">
        <v>15</v>
      </c>
      <c r="I277" s="1">
        <v>106120400</v>
      </c>
    </row>
    <row r="278" spans="1:9" x14ac:dyDescent="0.25">
      <c r="A278" t="str">
        <f>"07038"</f>
        <v>07038</v>
      </c>
      <c r="B278" t="s">
        <v>11</v>
      </c>
      <c r="C278" t="s">
        <v>166</v>
      </c>
      <c r="D278" t="s">
        <v>13</v>
      </c>
      <c r="E278" t="s">
        <v>14</v>
      </c>
      <c r="F278" t="s">
        <v>15</v>
      </c>
      <c r="G278" t="s">
        <v>15</v>
      </c>
      <c r="H278" t="s">
        <v>15</v>
      </c>
      <c r="I278" s="1">
        <v>247603500</v>
      </c>
    </row>
    <row r="279" spans="1:9" x14ac:dyDescent="0.25">
      <c r="A279" t="str">
        <f>"07040"</f>
        <v>07040</v>
      </c>
      <c r="B279" t="s">
        <v>11</v>
      </c>
      <c r="C279" t="s">
        <v>167</v>
      </c>
      <c r="D279" t="s">
        <v>13</v>
      </c>
      <c r="E279" t="s">
        <v>14</v>
      </c>
      <c r="F279" t="s">
        <v>15</v>
      </c>
      <c r="G279" t="s">
        <v>15</v>
      </c>
      <c r="H279" t="s">
        <v>15</v>
      </c>
      <c r="I279" s="1">
        <v>32832900</v>
      </c>
    </row>
    <row r="280" spans="1:9" x14ac:dyDescent="0.25">
      <c r="A280" t="str">
        <f>"07042"</f>
        <v>07042</v>
      </c>
      <c r="B280" t="s">
        <v>11</v>
      </c>
      <c r="C280" t="s">
        <v>168</v>
      </c>
      <c r="D280" t="s">
        <v>13</v>
      </c>
      <c r="E280" t="s">
        <v>14</v>
      </c>
      <c r="F280" t="s">
        <v>15</v>
      </c>
      <c r="G280" t="s">
        <v>15</v>
      </c>
      <c r="H280" t="s">
        <v>15</v>
      </c>
      <c r="I280" s="1">
        <v>126418100</v>
      </c>
    </row>
    <row r="281" spans="1:9" x14ac:dyDescent="0.25">
      <c r="A281" t="s">
        <v>32</v>
      </c>
      <c r="B281" t="s">
        <v>33</v>
      </c>
      <c r="C281" t="s">
        <v>34</v>
      </c>
      <c r="D281" t="s">
        <v>13</v>
      </c>
      <c r="E281" t="s">
        <v>14</v>
      </c>
      <c r="F281" t="s">
        <v>15</v>
      </c>
      <c r="G281" t="s">
        <v>15</v>
      </c>
      <c r="H281" t="s">
        <v>15</v>
      </c>
      <c r="I281" s="1">
        <v>2666529400</v>
      </c>
    </row>
    <row r="282" spans="1:9" x14ac:dyDescent="0.25">
      <c r="A282" t="str">
        <f>"07131"</f>
        <v>07131</v>
      </c>
      <c r="B282" t="s">
        <v>35</v>
      </c>
      <c r="C282" t="s">
        <v>155</v>
      </c>
      <c r="D282" t="str">
        <f>"003"</f>
        <v>003</v>
      </c>
      <c r="E282">
        <v>1994</v>
      </c>
      <c r="F282">
        <v>1157300</v>
      </c>
      <c r="G282">
        <v>9283900</v>
      </c>
      <c r="H282">
        <v>8126600</v>
      </c>
    </row>
    <row r="283" spans="1:9" x14ac:dyDescent="0.25">
      <c r="A283" t="str">
        <f>"07131"</f>
        <v>07131</v>
      </c>
      <c r="B283" t="s">
        <v>35</v>
      </c>
      <c r="C283" t="s">
        <v>155</v>
      </c>
      <c r="D283" t="str">
        <f>"004"</f>
        <v>004</v>
      </c>
      <c r="E283">
        <v>2005</v>
      </c>
      <c r="F283">
        <v>1091000</v>
      </c>
      <c r="G283">
        <v>4261100</v>
      </c>
      <c r="H283">
        <v>3170100</v>
      </c>
    </row>
    <row r="284" spans="1:9" x14ac:dyDescent="0.25">
      <c r="A284" t="str">
        <f>"07131"</f>
        <v>07131</v>
      </c>
      <c r="B284" t="s">
        <v>35</v>
      </c>
      <c r="C284" t="s">
        <v>155</v>
      </c>
      <c r="D284" t="str">
        <f>"005"</f>
        <v>005</v>
      </c>
      <c r="E284">
        <v>2008</v>
      </c>
      <c r="F284">
        <v>212600</v>
      </c>
      <c r="G284">
        <v>67800</v>
      </c>
      <c r="H284">
        <v>0</v>
      </c>
    </row>
    <row r="285" spans="1:9" x14ac:dyDescent="0.25">
      <c r="A285" t="str">
        <f>"07131"</f>
        <v>07131</v>
      </c>
      <c r="B285" t="s">
        <v>35</v>
      </c>
      <c r="C285" t="s">
        <v>155</v>
      </c>
      <c r="D285" t="s">
        <v>13</v>
      </c>
      <c r="E285" t="s">
        <v>14</v>
      </c>
      <c r="F285" t="s">
        <v>15</v>
      </c>
      <c r="G285" t="s">
        <v>15</v>
      </c>
      <c r="H285" t="s">
        <v>15</v>
      </c>
      <c r="I285" s="1">
        <v>60667600</v>
      </c>
    </row>
    <row r="286" spans="1:9" x14ac:dyDescent="0.25">
      <c r="A286" t="str">
        <f>"07181"</f>
        <v>07181</v>
      </c>
      <c r="B286" t="s">
        <v>35</v>
      </c>
      <c r="C286" t="s">
        <v>162</v>
      </c>
      <c r="D286" t="str">
        <f>"001"</f>
        <v>001</v>
      </c>
      <c r="E286">
        <v>1994</v>
      </c>
      <c r="F286">
        <v>58700</v>
      </c>
      <c r="G286">
        <v>1384700</v>
      </c>
      <c r="H286">
        <v>1326000</v>
      </c>
    </row>
    <row r="287" spans="1:9" x14ac:dyDescent="0.25">
      <c r="A287" t="str">
        <f>"07181"</f>
        <v>07181</v>
      </c>
      <c r="B287" t="s">
        <v>35</v>
      </c>
      <c r="C287" t="s">
        <v>162</v>
      </c>
      <c r="D287" t="str">
        <f>"002"</f>
        <v>002</v>
      </c>
      <c r="E287">
        <v>2003</v>
      </c>
      <c r="F287">
        <v>18762600</v>
      </c>
      <c r="G287">
        <v>25503800</v>
      </c>
      <c r="H287">
        <v>6741200</v>
      </c>
    </row>
    <row r="288" spans="1:9" x14ac:dyDescent="0.25">
      <c r="A288" t="str">
        <f>"07181"</f>
        <v>07181</v>
      </c>
      <c r="B288" t="s">
        <v>35</v>
      </c>
      <c r="C288" t="s">
        <v>162</v>
      </c>
      <c r="D288" t="s">
        <v>13</v>
      </c>
      <c r="E288" t="s">
        <v>14</v>
      </c>
      <c r="F288" t="s">
        <v>15</v>
      </c>
      <c r="G288" t="s">
        <v>15</v>
      </c>
      <c r="H288" t="s">
        <v>15</v>
      </c>
      <c r="I288" s="1">
        <v>66728800</v>
      </c>
    </row>
    <row r="289" spans="1:9" x14ac:dyDescent="0.25">
      <c r="A289" t="str">
        <f>"07191"</f>
        <v>07191</v>
      </c>
      <c r="B289" t="s">
        <v>35</v>
      </c>
      <c r="C289" t="s">
        <v>169</v>
      </c>
      <c r="D289" t="str">
        <f>"002"</f>
        <v>002</v>
      </c>
      <c r="E289">
        <v>2005</v>
      </c>
      <c r="F289">
        <v>3223200</v>
      </c>
      <c r="G289">
        <v>3863100</v>
      </c>
      <c r="H289">
        <v>639900</v>
      </c>
    </row>
    <row r="290" spans="1:9" x14ac:dyDescent="0.25">
      <c r="A290" t="str">
        <f>"07191"</f>
        <v>07191</v>
      </c>
      <c r="B290" t="s">
        <v>35</v>
      </c>
      <c r="C290" t="s">
        <v>169</v>
      </c>
      <c r="D290" t="s">
        <v>13</v>
      </c>
      <c r="E290" t="s">
        <v>14</v>
      </c>
      <c r="F290" t="s">
        <v>15</v>
      </c>
      <c r="G290" t="s">
        <v>15</v>
      </c>
      <c r="H290" t="s">
        <v>15</v>
      </c>
      <c r="I290" s="1">
        <v>31780400</v>
      </c>
    </row>
    <row r="291" spans="1:9" x14ac:dyDescent="0.25">
      <c r="A291" t="s">
        <v>32</v>
      </c>
      <c r="B291" t="s">
        <v>37</v>
      </c>
      <c r="C291" t="s">
        <v>34</v>
      </c>
      <c r="D291" t="s">
        <v>13</v>
      </c>
      <c r="E291" t="s">
        <v>14</v>
      </c>
      <c r="F291" t="s">
        <v>15</v>
      </c>
      <c r="G291" t="s">
        <v>15</v>
      </c>
      <c r="H291" t="s">
        <v>15</v>
      </c>
      <c r="I291" s="1">
        <v>159176800</v>
      </c>
    </row>
    <row r="292" spans="1:9" x14ac:dyDescent="0.25">
      <c r="A292" t="s">
        <v>32</v>
      </c>
      <c r="B292" t="s">
        <v>41</v>
      </c>
      <c r="C292" t="s">
        <v>170</v>
      </c>
      <c r="D292" t="s">
        <v>13</v>
      </c>
      <c r="E292" t="s">
        <v>14</v>
      </c>
      <c r="F292" t="s">
        <v>15</v>
      </c>
      <c r="G292" t="s">
        <v>15</v>
      </c>
      <c r="H292" t="s">
        <v>15</v>
      </c>
      <c r="I292" s="1">
        <v>2825706200</v>
      </c>
    </row>
    <row r="293" spans="1:9" x14ac:dyDescent="0.25">
      <c r="A293" t="str">
        <f>"08002"</f>
        <v>08002</v>
      </c>
      <c r="B293" t="s">
        <v>11</v>
      </c>
      <c r="C293" t="s">
        <v>171</v>
      </c>
      <c r="D293" t="s">
        <v>13</v>
      </c>
      <c r="E293" t="s">
        <v>14</v>
      </c>
      <c r="F293" t="s">
        <v>15</v>
      </c>
      <c r="G293" t="s">
        <v>15</v>
      </c>
      <c r="H293" t="s">
        <v>15</v>
      </c>
      <c r="I293" s="1">
        <v>114957700</v>
      </c>
    </row>
    <row r="294" spans="1:9" x14ac:dyDescent="0.25">
      <c r="A294" t="str">
        <f>"08004"</f>
        <v>08004</v>
      </c>
      <c r="B294" t="s">
        <v>11</v>
      </c>
      <c r="C294" t="s">
        <v>172</v>
      </c>
      <c r="D294" t="s">
        <v>13</v>
      </c>
      <c r="E294" t="s">
        <v>14</v>
      </c>
      <c r="F294" t="s">
        <v>15</v>
      </c>
      <c r="G294" t="s">
        <v>15</v>
      </c>
      <c r="H294" t="s">
        <v>15</v>
      </c>
      <c r="I294" s="1">
        <v>153898700</v>
      </c>
    </row>
    <row r="295" spans="1:9" x14ac:dyDescent="0.25">
      <c r="A295" t="str">
        <f>"08006"</f>
        <v>08006</v>
      </c>
      <c r="B295" t="s">
        <v>11</v>
      </c>
      <c r="C295" t="s">
        <v>173</v>
      </c>
      <c r="D295" t="s">
        <v>13</v>
      </c>
      <c r="E295" t="s">
        <v>14</v>
      </c>
      <c r="F295" t="s">
        <v>15</v>
      </c>
      <c r="G295" t="s">
        <v>15</v>
      </c>
      <c r="H295" t="s">
        <v>15</v>
      </c>
      <c r="I295" s="1">
        <v>73472000</v>
      </c>
    </row>
    <row r="296" spans="1:9" x14ac:dyDescent="0.25">
      <c r="A296" t="str">
        <f>"08008"</f>
        <v>08008</v>
      </c>
      <c r="B296" t="s">
        <v>11</v>
      </c>
      <c r="C296" t="s">
        <v>174</v>
      </c>
      <c r="D296" t="s">
        <v>13</v>
      </c>
      <c r="E296" t="s">
        <v>14</v>
      </c>
      <c r="F296" t="s">
        <v>15</v>
      </c>
      <c r="G296" t="s">
        <v>15</v>
      </c>
      <c r="H296" t="s">
        <v>15</v>
      </c>
      <c r="I296" s="1">
        <v>112071300</v>
      </c>
    </row>
    <row r="297" spans="1:9" x14ac:dyDescent="0.25">
      <c r="A297" t="str">
        <f>"08010"</f>
        <v>08010</v>
      </c>
      <c r="B297" t="s">
        <v>11</v>
      </c>
      <c r="C297" t="s">
        <v>175</v>
      </c>
      <c r="D297" t="s">
        <v>13</v>
      </c>
      <c r="E297" t="s">
        <v>14</v>
      </c>
      <c r="F297" t="s">
        <v>15</v>
      </c>
      <c r="G297" t="s">
        <v>15</v>
      </c>
      <c r="H297" t="s">
        <v>15</v>
      </c>
      <c r="I297" s="1">
        <v>0</v>
      </c>
    </row>
    <row r="298" spans="1:9" x14ac:dyDescent="0.25">
      <c r="A298" t="str">
        <f>"08012"</f>
        <v>08012</v>
      </c>
      <c r="B298" t="s">
        <v>11</v>
      </c>
      <c r="C298" t="s">
        <v>176</v>
      </c>
      <c r="D298" t="s">
        <v>13</v>
      </c>
      <c r="E298" t="s">
        <v>14</v>
      </c>
      <c r="F298" t="s">
        <v>15</v>
      </c>
      <c r="G298" t="s">
        <v>15</v>
      </c>
      <c r="H298" t="s">
        <v>15</v>
      </c>
      <c r="I298" s="1">
        <v>128563900</v>
      </c>
    </row>
    <row r="299" spans="1:9" x14ac:dyDescent="0.25">
      <c r="A299" t="str">
        <f>"08014"</f>
        <v>08014</v>
      </c>
      <c r="B299" t="s">
        <v>11</v>
      </c>
      <c r="C299" t="s">
        <v>177</v>
      </c>
      <c r="D299" t="s">
        <v>13</v>
      </c>
      <c r="E299" t="s">
        <v>14</v>
      </c>
      <c r="F299" t="s">
        <v>15</v>
      </c>
      <c r="G299" t="s">
        <v>15</v>
      </c>
      <c r="H299" t="s">
        <v>15</v>
      </c>
      <c r="I299" s="1">
        <v>78469700</v>
      </c>
    </row>
    <row r="300" spans="1:9" x14ac:dyDescent="0.25">
      <c r="A300" t="str">
        <f>"08016"</f>
        <v>08016</v>
      </c>
      <c r="B300" t="s">
        <v>11</v>
      </c>
      <c r="C300" t="s">
        <v>178</v>
      </c>
      <c r="D300" t="s">
        <v>13</v>
      </c>
      <c r="E300" t="s">
        <v>14</v>
      </c>
      <c r="F300" t="s">
        <v>15</v>
      </c>
      <c r="G300" t="s">
        <v>15</v>
      </c>
      <c r="H300" t="s">
        <v>15</v>
      </c>
      <c r="I300" s="1">
        <v>173495200</v>
      </c>
    </row>
    <row r="301" spans="1:9" x14ac:dyDescent="0.25">
      <c r="A301" t="str">
        <f>"08018"</f>
        <v>08018</v>
      </c>
      <c r="B301" t="s">
        <v>11</v>
      </c>
      <c r="C301" t="s">
        <v>179</v>
      </c>
      <c r="D301" t="s">
        <v>13</v>
      </c>
      <c r="E301" t="s">
        <v>14</v>
      </c>
      <c r="F301" t="s">
        <v>15</v>
      </c>
      <c r="G301" t="s">
        <v>15</v>
      </c>
      <c r="H301" t="s">
        <v>15</v>
      </c>
      <c r="I301" s="1">
        <v>83353300</v>
      </c>
    </row>
    <row r="302" spans="1:9" x14ac:dyDescent="0.25">
      <c r="A302" t="s">
        <v>32</v>
      </c>
      <c r="B302" t="s">
        <v>33</v>
      </c>
      <c r="C302" t="s">
        <v>34</v>
      </c>
      <c r="D302" t="s">
        <v>13</v>
      </c>
      <c r="E302" t="s">
        <v>14</v>
      </c>
      <c r="F302" t="s">
        <v>15</v>
      </c>
      <c r="G302" t="s">
        <v>15</v>
      </c>
      <c r="H302" t="s">
        <v>15</v>
      </c>
      <c r="I302" s="1">
        <v>918281800</v>
      </c>
    </row>
    <row r="303" spans="1:9" x14ac:dyDescent="0.25">
      <c r="A303" t="str">
        <f>"08131"</f>
        <v>08131</v>
      </c>
      <c r="B303" t="s">
        <v>35</v>
      </c>
      <c r="C303" t="s">
        <v>175</v>
      </c>
      <c r="D303" t="str">
        <f>"001"</f>
        <v>001</v>
      </c>
      <c r="E303">
        <v>2013</v>
      </c>
      <c r="F303">
        <v>785100</v>
      </c>
      <c r="G303">
        <v>46285100</v>
      </c>
      <c r="H303">
        <v>45500000</v>
      </c>
    </row>
    <row r="304" spans="1:9" x14ac:dyDescent="0.25">
      <c r="A304" t="str">
        <f>"08131"</f>
        <v>08131</v>
      </c>
      <c r="B304" t="s">
        <v>35</v>
      </c>
      <c r="C304" t="s">
        <v>175</v>
      </c>
      <c r="D304" t="s">
        <v>13</v>
      </c>
      <c r="E304" t="s">
        <v>14</v>
      </c>
      <c r="F304" t="s">
        <v>15</v>
      </c>
      <c r="G304" t="s">
        <v>15</v>
      </c>
      <c r="H304" t="s">
        <v>15</v>
      </c>
      <c r="I304" s="1">
        <v>1167680500</v>
      </c>
    </row>
    <row r="305" spans="1:9" x14ac:dyDescent="0.25">
      <c r="A305" t="str">
        <f>"08136"</f>
        <v>08136</v>
      </c>
      <c r="B305" t="s">
        <v>35</v>
      </c>
      <c r="C305" t="s">
        <v>180</v>
      </c>
      <c r="D305" t="str">
        <f>"001"</f>
        <v>001</v>
      </c>
      <c r="E305">
        <v>1996</v>
      </c>
      <c r="F305">
        <v>1772900</v>
      </c>
      <c r="G305">
        <v>6431500</v>
      </c>
      <c r="H305">
        <v>4658600</v>
      </c>
    </row>
    <row r="306" spans="1:9" x14ac:dyDescent="0.25">
      <c r="A306" t="str">
        <f>"08136"</f>
        <v>08136</v>
      </c>
      <c r="B306" t="s">
        <v>35</v>
      </c>
      <c r="C306" t="s">
        <v>180</v>
      </c>
      <c r="D306" t="str">
        <f>"002"</f>
        <v>002</v>
      </c>
      <c r="E306">
        <v>2007</v>
      </c>
      <c r="F306">
        <v>2371700</v>
      </c>
      <c r="G306">
        <v>21599300</v>
      </c>
      <c r="H306">
        <v>19227600</v>
      </c>
    </row>
    <row r="307" spans="1:9" x14ac:dyDescent="0.25">
      <c r="A307" t="str">
        <f>"08136"</f>
        <v>08136</v>
      </c>
      <c r="B307" t="s">
        <v>35</v>
      </c>
      <c r="C307" t="s">
        <v>180</v>
      </c>
      <c r="D307" t="s">
        <v>13</v>
      </c>
      <c r="E307" t="s">
        <v>14</v>
      </c>
      <c r="F307" t="s">
        <v>15</v>
      </c>
      <c r="G307" t="s">
        <v>15</v>
      </c>
      <c r="H307" t="s">
        <v>15</v>
      </c>
      <c r="I307" s="1">
        <v>57818500</v>
      </c>
    </row>
    <row r="308" spans="1:9" x14ac:dyDescent="0.25">
      <c r="A308" t="str">
        <f>"08160"</f>
        <v>08160</v>
      </c>
      <c r="B308" t="s">
        <v>35</v>
      </c>
      <c r="C308" t="s">
        <v>181</v>
      </c>
      <c r="D308" t="s">
        <v>13</v>
      </c>
      <c r="E308" t="s">
        <v>14</v>
      </c>
      <c r="F308" t="s">
        <v>15</v>
      </c>
      <c r="G308" t="s">
        <v>15</v>
      </c>
      <c r="H308" t="s">
        <v>15</v>
      </c>
      <c r="I308" s="1">
        <v>14012200</v>
      </c>
    </row>
    <row r="309" spans="1:9" x14ac:dyDescent="0.25">
      <c r="A309" t="str">
        <f>"08179"</f>
        <v>08179</v>
      </c>
      <c r="B309" t="s">
        <v>35</v>
      </c>
      <c r="C309" t="s">
        <v>182</v>
      </c>
      <c r="D309" t="str">
        <f>"001"</f>
        <v>001</v>
      </c>
      <c r="E309">
        <v>1992</v>
      </c>
      <c r="F309">
        <v>81600</v>
      </c>
      <c r="G309">
        <v>13726700</v>
      </c>
      <c r="H309">
        <v>13645100</v>
      </c>
    </row>
    <row r="310" spans="1:9" x14ac:dyDescent="0.25">
      <c r="A310" t="str">
        <f>"08179"</f>
        <v>08179</v>
      </c>
      <c r="B310" t="s">
        <v>35</v>
      </c>
      <c r="C310" t="s">
        <v>182</v>
      </c>
      <c r="D310" t="str">
        <f>"002"</f>
        <v>002</v>
      </c>
      <c r="E310">
        <v>2013</v>
      </c>
      <c r="F310">
        <v>2827500</v>
      </c>
      <c r="G310">
        <v>4680700</v>
      </c>
      <c r="H310">
        <v>1853200</v>
      </c>
    </row>
    <row r="311" spans="1:9" x14ac:dyDescent="0.25">
      <c r="A311" t="str">
        <f>"08179"</f>
        <v>08179</v>
      </c>
      <c r="B311" t="s">
        <v>35</v>
      </c>
      <c r="C311" t="s">
        <v>182</v>
      </c>
      <c r="D311" t="str">
        <f>"003"</f>
        <v>003</v>
      </c>
      <c r="E311">
        <v>2013</v>
      </c>
      <c r="F311">
        <v>8668600</v>
      </c>
      <c r="G311">
        <v>9843000</v>
      </c>
      <c r="H311">
        <v>1174400</v>
      </c>
    </row>
    <row r="312" spans="1:9" x14ac:dyDescent="0.25">
      <c r="A312" t="str">
        <f>"08179"</f>
        <v>08179</v>
      </c>
      <c r="B312" t="s">
        <v>35</v>
      </c>
      <c r="C312" t="s">
        <v>182</v>
      </c>
      <c r="D312" t="s">
        <v>13</v>
      </c>
      <c r="E312" t="s">
        <v>14</v>
      </c>
      <c r="F312" t="s">
        <v>15</v>
      </c>
      <c r="G312" t="s">
        <v>15</v>
      </c>
      <c r="H312" t="s">
        <v>15</v>
      </c>
      <c r="I312" s="1">
        <v>304432800</v>
      </c>
    </row>
    <row r="313" spans="1:9" x14ac:dyDescent="0.25">
      <c r="A313" t="str">
        <f>"08181"</f>
        <v>08181</v>
      </c>
      <c r="B313" t="s">
        <v>35</v>
      </c>
      <c r="C313" t="s">
        <v>178</v>
      </c>
      <c r="D313" t="s">
        <v>13</v>
      </c>
      <c r="E313" t="s">
        <v>14</v>
      </c>
      <c r="F313" t="s">
        <v>15</v>
      </c>
      <c r="G313" t="s">
        <v>15</v>
      </c>
      <c r="H313" t="s">
        <v>15</v>
      </c>
      <c r="I313" s="1">
        <v>73150600</v>
      </c>
    </row>
    <row r="314" spans="1:9" x14ac:dyDescent="0.25">
      <c r="A314" t="s">
        <v>32</v>
      </c>
      <c r="B314" t="s">
        <v>37</v>
      </c>
      <c r="C314" t="s">
        <v>34</v>
      </c>
      <c r="D314" t="s">
        <v>13</v>
      </c>
      <c r="E314" t="s">
        <v>14</v>
      </c>
      <c r="F314" t="s">
        <v>15</v>
      </c>
      <c r="G314" t="s">
        <v>15</v>
      </c>
      <c r="H314" t="s">
        <v>15</v>
      </c>
      <c r="I314" s="1">
        <v>1617094600</v>
      </c>
    </row>
    <row r="315" spans="1:9" x14ac:dyDescent="0.25">
      <c r="A315" t="str">
        <f>"08201"</f>
        <v>08201</v>
      </c>
      <c r="B315" t="s">
        <v>38</v>
      </c>
      <c r="C315" t="s">
        <v>183</v>
      </c>
      <c r="D315" t="str">
        <f>"006"</f>
        <v>006</v>
      </c>
      <c r="E315">
        <v>2000</v>
      </c>
      <c r="F315">
        <v>12141600</v>
      </c>
      <c r="G315">
        <v>129019600</v>
      </c>
      <c r="H315">
        <v>116878000</v>
      </c>
    </row>
    <row r="316" spans="1:9" x14ac:dyDescent="0.25">
      <c r="A316" t="str">
        <f>"08201"</f>
        <v>08201</v>
      </c>
      <c r="B316" t="s">
        <v>38</v>
      </c>
      <c r="C316" t="s">
        <v>183</v>
      </c>
      <c r="D316" t="s">
        <v>13</v>
      </c>
      <c r="E316" t="s">
        <v>14</v>
      </c>
      <c r="F316" t="s">
        <v>15</v>
      </c>
      <c r="G316" t="s">
        <v>15</v>
      </c>
      <c r="H316" t="s">
        <v>15</v>
      </c>
      <c r="I316" s="1">
        <v>712854600</v>
      </c>
    </row>
    <row r="317" spans="1:9" x14ac:dyDescent="0.25">
      <c r="A317" t="str">
        <f>"08206"</f>
        <v>08206</v>
      </c>
      <c r="B317" t="s">
        <v>38</v>
      </c>
      <c r="C317" t="s">
        <v>171</v>
      </c>
      <c r="D317" t="str">
        <f>"002"</f>
        <v>002</v>
      </c>
      <c r="E317">
        <v>2006</v>
      </c>
      <c r="F317">
        <v>997500</v>
      </c>
      <c r="G317">
        <v>5808700</v>
      </c>
      <c r="H317">
        <v>4811200</v>
      </c>
    </row>
    <row r="318" spans="1:9" x14ac:dyDescent="0.25">
      <c r="A318" t="str">
        <f>"08206"</f>
        <v>08206</v>
      </c>
      <c r="B318" t="s">
        <v>38</v>
      </c>
      <c r="C318" t="s">
        <v>171</v>
      </c>
      <c r="D318" t="str">
        <f>"003"</f>
        <v>003</v>
      </c>
      <c r="E318">
        <v>2007</v>
      </c>
      <c r="F318">
        <v>127200</v>
      </c>
      <c r="G318">
        <v>10353300</v>
      </c>
      <c r="H318">
        <v>10226100</v>
      </c>
    </row>
    <row r="319" spans="1:9" x14ac:dyDescent="0.25">
      <c r="A319" t="str">
        <f>"08206"</f>
        <v>08206</v>
      </c>
      <c r="B319" t="s">
        <v>38</v>
      </c>
      <c r="C319" t="s">
        <v>171</v>
      </c>
      <c r="D319" t="str">
        <f>"004"</f>
        <v>004</v>
      </c>
      <c r="E319">
        <v>2007</v>
      </c>
      <c r="F319">
        <v>5412400</v>
      </c>
      <c r="G319">
        <v>18370900</v>
      </c>
      <c r="H319">
        <v>12958500</v>
      </c>
    </row>
    <row r="320" spans="1:9" x14ac:dyDescent="0.25">
      <c r="A320" t="str">
        <f>"08206"</f>
        <v>08206</v>
      </c>
      <c r="B320" t="s">
        <v>38</v>
      </c>
      <c r="C320" t="s">
        <v>171</v>
      </c>
      <c r="D320" t="str">
        <f>"005E"</f>
        <v>005E</v>
      </c>
      <c r="E320">
        <v>2018</v>
      </c>
      <c r="F320">
        <v>1</v>
      </c>
      <c r="G320">
        <v>5415500</v>
      </c>
      <c r="H320">
        <v>5415499</v>
      </c>
    </row>
    <row r="321" spans="1:9" x14ac:dyDescent="0.25">
      <c r="A321" t="str">
        <f>"08206"</f>
        <v>08206</v>
      </c>
      <c r="B321" t="s">
        <v>38</v>
      </c>
      <c r="C321" t="s">
        <v>171</v>
      </c>
      <c r="D321" t="s">
        <v>13</v>
      </c>
      <c r="E321" t="s">
        <v>14</v>
      </c>
      <c r="F321" t="s">
        <v>15</v>
      </c>
      <c r="G321" t="s">
        <v>15</v>
      </c>
      <c r="H321" t="s">
        <v>15</v>
      </c>
      <c r="I321" s="1">
        <v>194238801</v>
      </c>
    </row>
    <row r="322" spans="1:9" x14ac:dyDescent="0.25">
      <c r="A322" t="str">
        <f>"08211"</f>
        <v>08211</v>
      </c>
      <c r="B322" t="s">
        <v>38</v>
      </c>
      <c r="C322" t="s">
        <v>174</v>
      </c>
      <c r="D322" t="str">
        <f>"004"</f>
        <v>004</v>
      </c>
      <c r="E322">
        <v>2005</v>
      </c>
      <c r="F322">
        <v>2156300</v>
      </c>
      <c r="G322">
        <v>4912300</v>
      </c>
      <c r="H322">
        <v>2756000</v>
      </c>
    </row>
    <row r="323" spans="1:9" x14ac:dyDescent="0.25">
      <c r="A323" t="str">
        <f>"08211"</f>
        <v>08211</v>
      </c>
      <c r="B323" t="s">
        <v>38</v>
      </c>
      <c r="C323" t="s">
        <v>174</v>
      </c>
      <c r="D323" t="str">
        <f>"006"</f>
        <v>006</v>
      </c>
      <c r="E323">
        <v>2017</v>
      </c>
      <c r="F323">
        <v>815900</v>
      </c>
      <c r="G323">
        <v>4047900</v>
      </c>
      <c r="H323">
        <v>3232000</v>
      </c>
    </row>
    <row r="324" spans="1:9" x14ac:dyDescent="0.25">
      <c r="A324" t="str">
        <f>"08211"</f>
        <v>08211</v>
      </c>
      <c r="B324" t="s">
        <v>38</v>
      </c>
      <c r="C324" t="s">
        <v>174</v>
      </c>
      <c r="D324" t="str">
        <f>"007"</f>
        <v>007</v>
      </c>
      <c r="E324">
        <v>2017</v>
      </c>
      <c r="F324">
        <v>45800</v>
      </c>
      <c r="G324">
        <v>66600</v>
      </c>
      <c r="H324">
        <v>20800</v>
      </c>
    </row>
    <row r="325" spans="1:9" x14ac:dyDescent="0.25">
      <c r="A325" t="str">
        <f>"08211"</f>
        <v>08211</v>
      </c>
      <c r="B325" t="s">
        <v>38</v>
      </c>
      <c r="C325" t="s">
        <v>174</v>
      </c>
      <c r="D325" t="s">
        <v>13</v>
      </c>
      <c r="E325" t="s">
        <v>14</v>
      </c>
      <c r="F325" t="s">
        <v>15</v>
      </c>
      <c r="G325" t="s">
        <v>15</v>
      </c>
      <c r="H325" t="s">
        <v>15</v>
      </c>
      <c r="I325" s="1">
        <v>275727200</v>
      </c>
    </row>
    <row r="326" spans="1:9" x14ac:dyDescent="0.25">
      <c r="A326" t="str">
        <f>"08231"</f>
        <v>08231</v>
      </c>
      <c r="B326" t="s">
        <v>38</v>
      </c>
      <c r="C326" t="s">
        <v>184</v>
      </c>
      <c r="D326" t="s">
        <v>13</v>
      </c>
      <c r="E326" t="s">
        <v>14</v>
      </c>
      <c r="F326" t="s">
        <v>15</v>
      </c>
      <c r="G326" t="s">
        <v>15</v>
      </c>
      <c r="H326" t="s">
        <v>15</v>
      </c>
      <c r="I326" s="1">
        <v>46600</v>
      </c>
    </row>
    <row r="327" spans="1:9" x14ac:dyDescent="0.25">
      <c r="A327" t="str">
        <f>"08241"</f>
        <v>08241</v>
      </c>
      <c r="B327" t="s">
        <v>38</v>
      </c>
      <c r="C327" t="s">
        <v>185</v>
      </c>
      <c r="D327" t="str">
        <f>"005"</f>
        <v>005</v>
      </c>
      <c r="E327">
        <v>2014</v>
      </c>
      <c r="F327">
        <v>10935000</v>
      </c>
      <c r="G327">
        <v>30727900</v>
      </c>
      <c r="H327">
        <v>19792900</v>
      </c>
    </row>
    <row r="328" spans="1:9" x14ac:dyDescent="0.25">
      <c r="A328" t="str">
        <f>"08241"</f>
        <v>08241</v>
      </c>
      <c r="B328" t="s">
        <v>38</v>
      </c>
      <c r="C328" t="s">
        <v>185</v>
      </c>
      <c r="D328" t="s">
        <v>13</v>
      </c>
      <c r="E328" t="s">
        <v>14</v>
      </c>
      <c r="F328" t="s">
        <v>15</v>
      </c>
      <c r="G328" t="s">
        <v>15</v>
      </c>
      <c r="H328" t="s">
        <v>15</v>
      </c>
      <c r="I328" s="1">
        <v>25000400</v>
      </c>
    </row>
    <row r="329" spans="1:9" x14ac:dyDescent="0.25">
      <c r="A329" t="str">
        <f>"08251"</f>
        <v>08251</v>
      </c>
      <c r="B329" t="s">
        <v>38</v>
      </c>
      <c r="C329" t="s">
        <v>186</v>
      </c>
      <c r="D329" t="str">
        <f>"009"</f>
        <v>009</v>
      </c>
      <c r="E329">
        <v>2005</v>
      </c>
      <c r="F329">
        <v>3458400</v>
      </c>
      <c r="G329">
        <v>39545800</v>
      </c>
      <c r="H329">
        <v>36087400</v>
      </c>
    </row>
    <row r="330" spans="1:9" x14ac:dyDescent="0.25">
      <c r="A330" t="str">
        <f>"08251"</f>
        <v>08251</v>
      </c>
      <c r="B330" t="s">
        <v>38</v>
      </c>
      <c r="C330" t="s">
        <v>186</v>
      </c>
      <c r="D330" t="str">
        <f>"012"</f>
        <v>012</v>
      </c>
      <c r="E330">
        <v>2011</v>
      </c>
      <c r="F330">
        <v>21715600</v>
      </c>
      <c r="G330">
        <v>62258300</v>
      </c>
      <c r="H330">
        <v>40542700</v>
      </c>
    </row>
    <row r="331" spans="1:9" x14ac:dyDescent="0.25">
      <c r="A331" t="str">
        <f>"08251"</f>
        <v>08251</v>
      </c>
      <c r="B331" t="s">
        <v>38</v>
      </c>
      <c r="C331" t="s">
        <v>186</v>
      </c>
      <c r="D331" t="s">
        <v>13</v>
      </c>
      <c r="E331" t="s">
        <v>14</v>
      </c>
      <c r="F331" t="s">
        <v>15</v>
      </c>
      <c r="G331" t="s">
        <v>15</v>
      </c>
      <c r="H331" t="s">
        <v>15</v>
      </c>
      <c r="I331" s="1">
        <v>216322000</v>
      </c>
    </row>
    <row r="332" spans="1:9" x14ac:dyDescent="0.25">
      <c r="A332" t="str">
        <f>"08261"</f>
        <v>08261</v>
      </c>
      <c r="B332" t="s">
        <v>38</v>
      </c>
      <c r="C332" t="s">
        <v>176</v>
      </c>
      <c r="D332" t="str">
        <f>"001"</f>
        <v>001</v>
      </c>
      <c r="E332">
        <v>1994</v>
      </c>
      <c r="F332">
        <v>3331300</v>
      </c>
      <c r="G332">
        <v>14170600</v>
      </c>
      <c r="H332">
        <v>10839300</v>
      </c>
    </row>
    <row r="333" spans="1:9" x14ac:dyDescent="0.25">
      <c r="A333" t="str">
        <f>"08261"</f>
        <v>08261</v>
      </c>
      <c r="B333" t="s">
        <v>38</v>
      </c>
      <c r="C333" t="s">
        <v>176</v>
      </c>
      <c r="D333" t="str">
        <f>"003"</f>
        <v>003</v>
      </c>
      <c r="E333">
        <v>2007</v>
      </c>
      <c r="F333">
        <v>2958300</v>
      </c>
      <c r="G333">
        <v>275400</v>
      </c>
      <c r="H333">
        <v>0</v>
      </c>
    </row>
    <row r="334" spans="1:9" x14ac:dyDescent="0.25">
      <c r="A334" t="str">
        <f>"08261"</f>
        <v>08261</v>
      </c>
      <c r="B334" t="s">
        <v>38</v>
      </c>
      <c r="C334" t="s">
        <v>176</v>
      </c>
      <c r="D334" t="str">
        <f>"004"</f>
        <v>004</v>
      </c>
      <c r="E334">
        <v>2018</v>
      </c>
      <c r="F334">
        <v>9565200</v>
      </c>
      <c r="G334">
        <v>12114700</v>
      </c>
      <c r="H334">
        <v>2549500</v>
      </c>
    </row>
    <row r="335" spans="1:9" x14ac:dyDescent="0.25">
      <c r="A335" t="str">
        <f>"08261"</f>
        <v>08261</v>
      </c>
      <c r="B335" t="s">
        <v>38</v>
      </c>
      <c r="C335" t="s">
        <v>176</v>
      </c>
      <c r="D335" t="str">
        <f>"005"</f>
        <v>005</v>
      </c>
      <c r="E335">
        <v>2018</v>
      </c>
      <c r="F335">
        <v>1286900</v>
      </c>
      <c r="G335">
        <v>1437700</v>
      </c>
      <c r="H335">
        <v>150800</v>
      </c>
    </row>
    <row r="336" spans="1:9" x14ac:dyDescent="0.25">
      <c r="A336" t="str">
        <f>"08261"</f>
        <v>08261</v>
      </c>
      <c r="B336" t="s">
        <v>38</v>
      </c>
      <c r="C336" t="s">
        <v>176</v>
      </c>
      <c r="D336" t="s">
        <v>13</v>
      </c>
      <c r="E336" t="s">
        <v>14</v>
      </c>
      <c r="F336" t="s">
        <v>15</v>
      </c>
      <c r="G336" t="s">
        <v>15</v>
      </c>
      <c r="H336" t="s">
        <v>15</v>
      </c>
      <c r="I336" s="1">
        <v>178254400</v>
      </c>
    </row>
    <row r="337" spans="1:9" x14ac:dyDescent="0.25">
      <c r="A337" t="s">
        <v>32</v>
      </c>
      <c r="B337" t="s">
        <v>40</v>
      </c>
      <c r="C337" t="s">
        <v>34</v>
      </c>
      <c r="D337" t="s">
        <v>13</v>
      </c>
      <c r="E337" t="s">
        <v>14</v>
      </c>
      <c r="F337" t="s">
        <v>15</v>
      </c>
      <c r="G337" t="s">
        <v>15</v>
      </c>
      <c r="H337" t="s">
        <v>15</v>
      </c>
      <c r="I337" s="1">
        <v>1602444001</v>
      </c>
    </row>
    <row r="338" spans="1:9" x14ac:dyDescent="0.25">
      <c r="A338" t="s">
        <v>32</v>
      </c>
      <c r="B338" t="s">
        <v>41</v>
      </c>
      <c r="C338" t="s">
        <v>187</v>
      </c>
      <c r="D338" t="s">
        <v>13</v>
      </c>
      <c r="E338" t="s">
        <v>14</v>
      </c>
      <c r="F338" t="s">
        <v>15</v>
      </c>
      <c r="G338" t="s">
        <v>15</v>
      </c>
      <c r="H338" t="s">
        <v>15</v>
      </c>
      <c r="I338" s="1">
        <v>4137820401</v>
      </c>
    </row>
    <row r="339" spans="1:9" x14ac:dyDescent="0.25">
      <c r="A339" t="str">
        <f>"09002"</f>
        <v>09002</v>
      </c>
      <c r="B339" t="s">
        <v>11</v>
      </c>
      <c r="C339" t="s">
        <v>188</v>
      </c>
      <c r="D339" t="s">
        <v>13</v>
      </c>
      <c r="E339" t="s">
        <v>14</v>
      </c>
      <c r="F339" t="s">
        <v>15</v>
      </c>
      <c r="G339" t="s">
        <v>15</v>
      </c>
      <c r="H339" t="s">
        <v>15</v>
      </c>
      <c r="I339" s="1">
        <v>264318700</v>
      </c>
    </row>
    <row r="340" spans="1:9" x14ac:dyDescent="0.25">
      <c r="A340" t="str">
        <f>"09004"</f>
        <v>09004</v>
      </c>
      <c r="B340" t="s">
        <v>11</v>
      </c>
      <c r="C340" t="s">
        <v>189</v>
      </c>
      <c r="D340" t="s">
        <v>13</v>
      </c>
      <c r="E340" t="s">
        <v>14</v>
      </c>
      <c r="F340" t="s">
        <v>15</v>
      </c>
      <c r="G340" t="s">
        <v>15</v>
      </c>
      <c r="H340" t="s">
        <v>15</v>
      </c>
      <c r="I340" s="1">
        <v>67275700</v>
      </c>
    </row>
    <row r="341" spans="1:9" x14ac:dyDescent="0.25">
      <c r="A341" t="str">
        <f>"09006"</f>
        <v>09006</v>
      </c>
      <c r="B341" t="s">
        <v>11</v>
      </c>
      <c r="C341" t="s">
        <v>190</v>
      </c>
      <c r="D341" t="s">
        <v>13</v>
      </c>
      <c r="E341" t="s">
        <v>14</v>
      </c>
      <c r="F341" t="s">
        <v>15</v>
      </c>
      <c r="G341" t="s">
        <v>15</v>
      </c>
      <c r="H341" t="s">
        <v>15</v>
      </c>
      <c r="I341" s="1">
        <v>66789800</v>
      </c>
    </row>
    <row r="342" spans="1:9" x14ac:dyDescent="0.25">
      <c r="A342" t="str">
        <f>"09008"</f>
        <v>09008</v>
      </c>
      <c r="B342" t="s">
        <v>11</v>
      </c>
      <c r="C342" t="s">
        <v>191</v>
      </c>
      <c r="D342" t="s">
        <v>13</v>
      </c>
      <c r="E342" t="s">
        <v>14</v>
      </c>
      <c r="F342" t="s">
        <v>15</v>
      </c>
      <c r="G342" t="s">
        <v>15</v>
      </c>
      <c r="H342" t="s">
        <v>15</v>
      </c>
      <c r="I342" s="1">
        <v>116127000</v>
      </c>
    </row>
    <row r="343" spans="1:9" x14ac:dyDescent="0.25">
      <c r="A343" t="str">
        <f>"09010"</f>
        <v>09010</v>
      </c>
      <c r="B343" t="s">
        <v>11</v>
      </c>
      <c r="C343" t="s">
        <v>192</v>
      </c>
      <c r="D343" t="s">
        <v>13</v>
      </c>
      <c r="E343" t="s">
        <v>14</v>
      </c>
      <c r="F343" t="s">
        <v>15</v>
      </c>
      <c r="G343" t="s">
        <v>15</v>
      </c>
      <c r="H343" t="s">
        <v>15</v>
      </c>
      <c r="I343" s="1">
        <v>102636000</v>
      </c>
    </row>
    <row r="344" spans="1:9" x14ac:dyDescent="0.25">
      <c r="A344" t="str">
        <f>"09012"</f>
        <v>09012</v>
      </c>
      <c r="B344" t="s">
        <v>11</v>
      </c>
      <c r="C344" t="s">
        <v>193</v>
      </c>
      <c r="D344" t="s">
        <v>13</v>
      </c>
      <c r="E344" t="s">
        <v>14</v>
      </c>
      <c r="F344" t="s">
        <v>15</v>
      </c>
      <c r="G344" t="s">
        <v>15</v>
      </c>
      <c r="H344" t="s">
        <v>15</v>
      </c>
      <c r="I344" s="1">
        <v>84552400</v>
      </c>
    </row>
    <row r="345" spans="1:9" x14ac:dyDescent="0.25">
      <c r="A345" t="str">
        <f>"09014"</f>
        <v>09014</v>
      </c>
      <c r="B345" t="s">
        <v>11</v>
      </c>
      <c r="C345" t="s">
        <v>17</v>
      </c>
      <c r="D345" t="s">
        <v>13</v>
      </c>
      <c r="E345" t="s">
        <v>14</v>
      </c>
      <c r="F345" t="s">
        <v>15</v>
      </c>
      <c r="G345" t="s">
        <v>15</v>
      </c>
      <c r="H345" t="s">
        <v>15</v>
      </c>
      <c r="I345" s="1">
        <v>94106500</v>
      </c>
    </row>
    <row r="346" spans="1:9" x14ac:dyDescent="0.25">
      <c r="A346" t="str">
        <f>"09016"</f>
        <v>09016</v>
      </c>
      <c r="B346" t="s">
        <v>11</v>
      </c>
      <c r="C346" t="s">
        <v>194</v>
      </c>
      <c r="D346" t="s">
        <v>13</v>
      </c>
      <c r="E346" t="s">
        <v>14</v>
      </c>
      <c r="F346" t="s">
        <v>15</v>
      </c>
      <c r="G346" t="s">
        <v>15</v>
      </c>
      <c r="H346" t="s">
        <v>15</v>
      </c>
      <c r="I346" s="1">
        <v>72849900</v>
      </c>
    </row>
    <row r="347" spans="1:9" x14ac:dyDescent="0.25">
      <c r="A347" t="str">
        <f>"09018"</f>
        <v>09018</v>
      </c>
      <c r="B347" t="s">
        <v>11</v>
      </c>
      <c r="C347" t="s">
        <v>195</v>
      </c>
      <c r="D347" t="s">
        <v>13</v>
      </c>
      <c r="E347" t="s">
        <v>14</v>
      </c>
      <c r="F347" t="s">
        <v>15</v>
      </c>
      <c r="G347" t="s">
        <v>15</v>
      </c>
      <c r="H347" t="s">
        <v>15</v>
      </c>
      <c r="I347" s="1">
        <v>62795600</v>
      </c>
    </row>
    <row r="348" spans="1:9" x14ac:dyDescent="0.25">
      <c r="A348" t="str">
        <f>"09020"</f>
        <v>09020</v>
      </c>
      <c r="B348" t="s">
        <v>11</v>
      </c>
      <c r="C348" t="s">
        <v>196</v>
      </c>
      <c r="D348" t="s">
        <v>13</v>
      </c>
      <c r="E348" t="s">
        <v>14</v>
      </c>
      <c r="F348" t="s">
        <v>15</v>
      </c>
      <c r="G348" t="s">
        <v>15</v>
      </c>
      <c r="H348" t="s">
        <v>15</v>
      </c>
      <c r="I348" s="1">
        <v>409903800</v>
      </c>
    </row>
    <row r="349" spans="1:9" x14ac:dyDescent="0.25">
      <c r="A349" t="str">
        <f>"09022"</f>
        <v>09022</v>
      </c>
      <c r="B349" t="s">
        <v>11</v>
      </c>
      <c r="C349" t="s">
        <v>197</v>
      </c>
      <c r="D349" t="s">
        <v>13</v>
      </c>
      <c r="E349" t="s">
        <v>14</v>
      </c>
      <c r="F349" t="s">
        <v>15</v>
      </c>
      <c r="G349" t="s">
        <v>15</v>
      </c>
      <c r="H349" t="s">
        <v>15</v>
      </c>
      <c r="I349" s="1">
        <v>77598500</v>
      </c>
    </row>
    <row r="350" spans="1:9" x14ac:dyDescent="0.25">
      <c r="A350" t="str">
        <f>"09024"</f>
        <v>09024</v>
      </c>
      <c r="B350" t="s">
        <v>11</v>
      </c>
      <c r="C350" t="s">
        <v>198</v>
      </c>
      <c r="D350" t="s">
        <v>13</v>
      </c>
      <c r="E350" t="s">
        <v>14</v>
      </c>
      <c r="F350" t="s">
        <v>15</v>
      </c>
      <c r="G350" t="s">
        <v>15</v>
      </c>
      <c r="H350" t="s">
        <v>15</v>
      </c>
      <c r="I350" s="1">
        <v>42861600</v>
      </c>
    </row>
    <row r="351" spans="1:9" x14ac:dyDescent="0.25">
      <c r="A351" t="str">
        <f>"09026"</f>
        <v>09026</v>
      </c>
      <c r="B351" t="s">
        <v>11</v>
      </c>
      <c r="C351" t="s">
        <v>199</v>
      </c>
      <c r="D351" t="s">
        <v>13</v>
      </c>
      <c r="E351" t="s">
        <v>14</v>
      </c>
      <c r="F351" t="s">
        <v>15</v>
      </c>
      <c r="G351" t="s">
        <v>15</v>
      </c>
      <c r="H351" t="s">
        <v>15</v>
      </c>
      <c r="I351" s="1">
        <v>61656500</v>
      </c>
    </row>
    <row r="352" spans="1:9" x14ac:dyDescent="0.25">
      <c r="A352" t="str">
        <f>"09028"</f>
        <v>09028</v>
      </c>
      <c r="B352" t="s">
        <v>11</v>
      </c>
      <c r="C352" t="s">
        <v>200</v>
      </c>
      <c r="D352" t="s">
        <v>13</v>
      </c>
      <c r="E352" t="s">
        <v>14</v>
      </c>
      <c r="F352" t="s">
        <v>15</v>
      </c>
      <c r="G352" t="s">
        <v>15</v>
      </c>
      <c r="H352" t="s">
        <v>15</v>
      </c>
      <c r="I352" s="1">
        <v>16792300</v>
      </c>
    </row>
    <row r="353" spans="1:9" x14ac:dyDescent="0.25">
      <c r="A353" t="str">
        <f>"09032"</f>
        <v>09032</v>
      </c>
      <c r="B353" t="s">
        <v>11</v>
      </c>
      <c r="C353" t="s">
        <v>127</v>
      </c>
      <c r="D353" t="s">
        <v>13</v>
      </c>
      <c r="E353" t="s">
        <v>14</v>
      </c>
      <c r="F353" t="s">
        <v>15</v>
      </c>
      <c r="G353" t="s">
        <v>15</v>
      </c>
      <c r="H353" t="s">
        <v>15</v>
      </c>
      <c r="I353" s="1">
        <v>78346000</v>
      </c>
    </row>
    <row r="354" spans="1:9" x14ac:dyDescent="0.25">
      <c r="A354" t="str">
        <f>"09034"</f>
        <v>09034</v>
      </c>
      <c r="B354" t="s">
        <v>11</v>
      </c>
      <c r="C354" t="s">
        <v>201</v>
      </c>
      <c r="D354" t="s">
        <v>13</v>
      </c>
      <c r="E354" t="s">
        <v>14</v>
      </c>
      <c r="F354" t="s">
        <v>15</v>
      </c>
      <c r="G354" t="s">
        <v>15</v>
      </c>
      <c r="H354" t="s">
        <v>15</v>
      </c>
      <c r="I354" s="1">
        <v>707148900</v>
      </c>
    </row>
    <row r="355" spans="1:9" x14ac:dyDescent="0.25">
      <c r="A355" t="str">
        <f>"09035"</f>
        <v>09035</v>
      </c>
      <c r="B355" t="s">
        <v>11</v>
      </c>
      <c r="C355" t="s">
        <v>202</v>
      </c>
      <c r="D355" t="s">
        <v>13</v>
      </c>
      <c r="E355" t="s">
        <v>14</v>
      </c>
      <c r="F355" t="s">
        <v>15</v>
      </c>
      <c r="G355" t="s">
        <v>15</v>
      </c>
      <c r="H355" t="s">
        <v>15</v>
      </c>
      <c r="I355" s="1">
        <v>171393200</v>
      </c>
    </row>
    <row r="356" spans="1:9" x14ac:dyDescent="0.25">
      <c r="A356" t="str">
        <f>"09036"</f>
        <v>09036</v>
      </c>
      <c r="B356" t="s">
        <v>11</v>
      </c>
      <c r="C356" t="s">
        <v>203</v>
      </c>
      <c r="D356" t="s">
        <v>13</v>
      </c>
      <c r="E356" t="s">
        <v>14</v>
      </c>
      <c r="F356" t="s">
        <v>15</v>
      </c>
      <c r="G356" t="s">
        <v>15</v>
      </c>
      <c r="H356" t="s">
        <v>15</v>
      </c>
      <c r="I356" s="1">
        <v>38394100</v>
      </c>
    </row>
    <row r="357" spans="1:9" x14ac:dyDescent="0.25">
      <c r="A357" t="str">
        <f>"09038"</f>
        <v>09038</v>
      </c>
      <c r="B357" t="s">
        <v>11</v>
      </c>
      <c r="C357" t="s">
        <v>204</v>
      </c>
      <c r="D357" t="s">
        <v>13</v>
      </c>
      <c r="E357" t="s">
        <v>14</v>
      </c>
      <c r="F357" t="s">
        <v>15</v>
      </c>
      <c r="G357" t="s">
        <v>15</v>
      </c>
      <c r="H357" t="s">
        <v>15</v>
      </c>
      <c r="I357" s="1">
        <v>229755600</v>
      </c>
    </row>
    <row r="358" spans="1:9" x14ac:dyDescent="0.25">
      <c r="A358" t="str">
        <f>"09040"</f>
        <v>09040</v>
      </c>
      <c r="B358" t="s">
        <v>11</v>
      </c>
      <c r="C358" t="s">
        <v>205</v>
      </c>
      <c r="D358" t="s">
        <v>13</v>
      </c>
      <c r="E358" t="s">
        <v>14</v>
      </c>
      <c r="F358" t="s">
        <v>15</v>
      </c>
      <c r="G358" t="s">
        <v>15</v>
      </c>
      <c r="H358" t="s">
        <v>15</v>
      </c>
      <c r="I358" s="1">
        <v>87598100</v>
      </c>
    </row>
    <row r="359" spans="1:9" x14ac:dyDescent="0.25">
      <c r="A359" t="str">
        <f>"09042"</f>
        <v>09042</v>
      </c>
      <c r="B359" t="s">
        <v>11</v>
      </c>
      <c r="C359" t="s">
        <v>206</v>
      </c>
      <c r="D359" t="s">
        <v>13</v>
      </c>
      <c r="E359" t="s">
        <v>14</v>
      </c>
      <c r="F359" t="s">
        <v>15</v>
      </c>
      <c r="G359" t="s">
        <v>15</v>
      </c>
      <c r="H359" t="s">
        <v>15</v>
      </c>
      <c r="I359" s="1">
        <v>149887900</v>
      </c>
    </row>
    <row r="360" spans="1:9" x14ac:dyDescent="0.25">
      <c r="A360" t="str">
        <f>"09044"</f>
        <v>09044</v>
      </c>
      <c r="B360" t="s">
        <v>11</v>
      </c>
      <c r="C360" t="s">
        <v>207</v>
      </c>
      <c r="D360" t="s">
        <v>13</v>
      </c>
      <c r="E360" t="s">
        <v>14</v>
      </c>
      <c r="F360" t="s">
        <v>15</v>
      </c>
      <c r="G360" t="s">
        <v>15</v>
      </c>
      <c r="H360" t="s">
        <v>15</v>
      </c>
      <c r="I360" s="1">
        <v>286147500</v>
      </c>
    </row>
    <row r="361" spans="1:9" x14ac:dyDescent="0.25">
      <c r="A361" t="str">
        <f>"09046"</f>
        <v>09046</v>
      </c>
      <c r="B361" t="s">
        <v>11</v>
      </c>
      <c r="C361" t="s">
        <v>208</v>
      </c>
      <c r="D361" t="s">
        <v>13</v>
      </c>
      <c r="E361" t="s">
        <v>14</v>
      </c>
      <c r="F361" t="s">
        <v>15</v>
      </c>
      <c r="G361" t="s">
        <v>15</v>
      </c>
      <c r="H361" t="s">
        <v>15</v>
      </c>
      <c r="I361" s="1">
        <v>95114800</v>
      </c>
    </row>
    <row r="362" spans="1:9" x14ac:dyDescent="0.25">
      <c r="A362" t="s">
        <v>32</v>
      </c>
      <c r="B362" t="s">
        <v>33</v>
      </c>
      <c r="C362" t="s">
        <v>34</v>
      </c>
      <c r="D362" t="s">
        <v>13</v>
      </c>
      <c r="E362" t="s">
        <v>14</v>
      </c>
      <c r="F362" t="s">
        <v>15</v>
      </c>
      <c r="G362" t="s">
        <v>15</v>
      </c>
      <c r="H362" t="s">
        <v>15</v>
      </c>
      <c r="I362" s="1">
        <v>3384050400</v>
      </c>
    </row>
    <row r="363" spans="1:9" x14ac:dyDescent="0.25">
      <c r="A363" t="str">
        <f>"09106"</f>
        <v>09106</v>
      </c>
      <c r="B363" t="s">
        <v>35</v>
      </c>
      <c r="C363" t="s">
        <v>209</v>
      </c>
      <c r="D363" t="s">
        <v>13</v>
      </c>
      <c r="E363" t="s">
        <v>14</v>
      </c>
      <c r="F363" t="s">
        <v>15</v>
      </c>
      <c r="G363" t="s">
        <v>15</v>
      </c>
      <c r="H363" t="s">
        <v>15</v>
      </c>
      <c r="I363" s="1">
        <v>27565600</v>
      </c>
    </row>
    <row r="364" spans="1:9" x14ac:dyDescent="0.25">
      <c r="A364" t="str">
        <f>"09111"</f>
        <v>09111</v>
      </c>
      <c r="B364" t="s">
        <v>35</v>
      </c>
      <c r="C364" t="s">
        <v>210</v>
      </c>
      <c r="D364" t="str">
        <f>"004"</f>
        <v>004</v>
      </c>
      <c r="E364">
        <v>2013</v>
      </c>
      <c r="F364">
        <v>2245200</v>
      </c>
      <c r="G364">
        <v>3587300</v>
      </c>
      <c r="H364">
        <v>1342100</v>
      </c>
    </row>
    <row r="365" spans="1:9" x14ac:dyDescent="0.25">
      <c r="A365" t="str">
        <f>"09111"</f>
        <v>09111</v>
      </c>
      <c r="B365" t="s">
        <v>35</v>
      </c>
      <c r="C365" t="s">
        <v>210</v>
      </c>
      <c r="D365" t="s">
        <v>13</v>
      </c>
      <c r="E365" t="s">
        <v>14</v>
      </c>
      <c r="F365" t="s">
        <v>15</v>
      </c>
      <c r="G365" t="s">
        <v>15</v>
      </c>
      <c r="H365" t="s">
        <v>15</v>
      </c>
      <c r="I365" s="1">
        <v>86085200</v>
      </c>
    </row>
    <row r="366" spans="1:9" x14ac:dyDescent="0.25">
      <c r="A366" t="str">
        <f>"09128"</f>
        <v>09128</v>
      </c>
      <c r="B366" t="s">
        <v>35</v>
      </c>
      <c r="C366" t="s">
        <v>211</v>
      </c>
      <c r="D366" t="str">
        <f>"001"</f>
        <v>001</v>
      </c>
      <c r="E366">
        <v>2003</v>
      </c>
      <c r="F366">
        <v>12138900</v>
      </c>
      <c r="G366">
        <v>100110100</v>
      </c>
      <c r="H366">
        <v>87971200</v>
      </c>
    </row>
    <row r="367" spans="1:9" x14ac:dyDescent="0.25">
      <c r="A367" t="str">
        <f>"09128"</f>
        <v>09128</v>
      </c>
      <c r="B367" t="s">
        <v>35</v>
      </c>
      <c r="C367" t="s">
        <v>211</v>
      </c>
      <c r="D367" t="str">
        <f>"002"</f>
        <v>002</v>
      </c>
      <c r="E367">
        <v>2003</v>
      </c>
      <c r="F367">
        <v>131900</v>
      </c>
      <c r="G367">
        <v>19996900</v>
      </c>
      <c r="H367">
        <v>19865000</v>
      </c>
    </row>
    <row r="368" spans="1:9" x14ac:dyDescent="0.25">
      <c r="A368" t="str">
        <f>"09128"</f>
        <v>09128</v>
      </c>
      <c r="B368" t="s">
        <v>35</v>
      </c>
      <c r="C368" t="s">
        <v>211</v>
      </c>
      <c r="D368" t="s">
        <v>13</v>
      </c>
      <c r="E368" t="s">
        <v>14</v>
      </c>
      <c r="F368" t="s">
        <v>15</v>
      </c>
      <c r="G368" t="s">
        <v>15</v>
      </c>
      <c r="H368" t="s">
        <v>15</v>
      </c>
      <c r="I368" s="1">
        <v>602337200</v>
      </c>
    </row>
    <row r="369" spans="1:9" x14ac:dyDescent="0.25">
      <c r="A369" t="str">
        <f>"09161"</f>
        <v>09161</v>
      </c>
      <c r="B369" t="s">
        <v>35</v>
      </c>
      <c r="C369" t="s">
        <v>84</v>
      </c>
      <c r="D369" t="str">
        <f>"001"</f>
        <v>001</v>
      </c>
      <c r="E369">
        <v>2008</v>
      </c>
      <c r="F369">
        <v>283700</v>
      </c>
      <c r="G369">
        <v>10605500</v>
      </c>
      <c r="H369">
        <v>10321800</v>
      </c>
    </row>
    <row r="370" spans="1:9" x14ac:dyDescent="0.25">
      <c r="A370" t="str">
        <f>"09161"</f>
        <v>09161</v>
      </c>
      <c r="B370" t="s">
        <v>35</v>
      </c>
      <c r="C370" t="s">
        <v>84</v>
      </c>
      <c r="D370" t="s">
        <v>13</v>
      </c>
      <c r="E370" t="s">
        <v>14</v>
      </c>
      <c r="F370" t="s">
        <v>15</v>
      </c>
      <c r="G370" t="s">
        <v>15</v>
      </c>
      <c r="H370" t="s">
        <v>15</v>
      </c>
      <c r="I370" s="1">
        <v>22207000</v>
      </c>
    </row>
    <row r="371" spans="1:9" x14ac:dyDescent="0.25">
      <c r="A371" t="s">
        <v>32</v>
      </c>
      <c r="B371" t="s">
        <v>37</v>
      </c>
      <c r="C371" t="s">
        <v>34</v>
      </c>
      <c r="D371" t="s">
        <v>13</v>
      </c>
      <c r="E371" t="s">
        <v>14</v>
      </c>
      <c r="F371" t="s">
        <v>15</v>
      </c>
      <c r="G371" t="s">
        <v>15</v>
      </c>
      <c r="H371" t="s">
        <v>15</v>
      </c>
      <c r="I371" s="1">
        <v>738195000</v>
      </c>
    </row>
    <row r="372" spans="1:9" x14ac:dyDescent="0.25">
      <c r="A372" t="str">
        <f>"09206"</f>
        <v>09206</v>
      </c>
      <c r="B372" t="s">
        <v>38</v>
      </c>
      <c r="C372" t="s">
        <v>192</v>
      </c>
      <c r="D372" t="str">
        <f>"004"</f>
        <v>004</v>
      </c>
      <c r="E372">
        <v>2005</v>
      </c>
      <c r="F372">
        <v>3787400</v>
      </c>
      <c r="G372">
        <v>23914200</v>
      </c>
      <c r="H372">
        <v>20126800</v>
      </c>
    </row>
    <row r="373" spans="1:9" x14ac:dyDescent="0.25">
      <c r="A373" t="str">
        <f>"09206"</f>
        <v>09206</v>
      </c>
      <c r="B373" t="s">
        <v>38</v>
      </c>
      <c r="C373" t="s">
        <v>192</v>
      </c>
      <c r="D373" t="s">
        <v>13</v>
      </c>
      <c r="E373" t="s">
        <v>14</v>
      </c>
      <c r="F373" t="s">
        <v>15</v>
      </c>
      <c r="G373" t="s">
        <v>15</v>
      </c>
      <c r="H373" t="s">
        <v>15</v>
      </c>
      <c r="I373" s="1">
        <v>263457800</v>
      </c>
    </row>
    <row r="374" spans="1:9" x14ac:dyDescent="0.25">
      <c r="A374" t="str">
        <f t="shared" ref="A374:A384" si="4">"09211"</f>
        <v>09211</v>
      </c>
      <c r="B374" t="s">
        <v>38</v>
      </c>
      <c r="C374" t="s">
        <v>212</v>
      </c>
      <c r="D374" t="str">
        <f>"004"</f>
        <v>004</v>
      </c>
      <c r="E374">
        <v>1994</v>
      </c>
      <c r="F374">
        <v>6020500</v>
      </c>
      <c r="G374">
        <v>11685800</v>
      </c>
      <c r="H374">
        <v>5665300</v>
      </c>
    </row>
    <row r="375" spans="1:9" x14ac:dyDescent="0.25">
      <c r="A375" t="str">
        <f t="shared" si="4"/>
        <v>09211</v>
      </c>
      <c r="B375" t="s">
        <v>38</v>
      </c>
      <c r="C375" t="s">
        <v>212</v>
      </c>
      <c r="D375" t="str">
        <f>"005"</f>
        <v>005</v>
      </c>
      <c r="E375">
        <v>1998</v>
      </c>
      <c r="F375">
        <v>35893400</v>
      </c>
      <c r="G375">
        <v>60652400</v>
      </c>
      <c r="H375">
        <v>24759000</v>
      </c>
    </row>
    <row r="376" spans="1:9" x14ac:dyDescent="0.25">
      <c r="A376" t="str">
        <f t="shared" si="4"/>
        <v>09211</v>
      </c>
      <c r="B376" t="s">
        <v>38</v>
      </c>
      <c r="C376" t="s">
        <v>212</v>
      </c>
      <c r="D376" t="str">
        <f>"007"</f>
        <v>007</v>
      </c>
      <c r="E376">
        <v>2001</v>
      </c>
      <c r="F376">
        <v>1501600</v>
      </c>
      <c r="G376">
        <v>6483600</v>
      </c>
      <c r="H376">
        <v>4982000</v>
      </c>
    </row>
    <row r="377" spans="1:9" x14ac:dyDescent="0.25">
      <c r="A377" t="str">
        <f t="shared" si="4"/>
        <v>09211</v>
      </c>
      <c r="B377" t="s">
        <v>38</v>
      </c>
      <c r="C377" t="s">
        <v>212</v>
      </c>
      <c r="D377" t="str">
        <f>"008"</f>
        <v>008</v>
      </c>
      <c r="E377">
        <v>2002</v>
      </c>
      <c r="F377">
        <v>439000</v>
      </c>
      <c r="G377">
        <v>4192600</v>
      </c>
      <c r="H377">
        <v>3753600</v>
      </c>
    </row>
    <row r="378" spans="1:9" x14ac:dyDescent="0.25">
      <c r="A378" t="str">
        <f t="shared" si="4"/>
        <v>09211</v>
      </c>
      <c r="B378" t="s">
        <v>38</v>
      </c>
      <c r="C378" t="s">
        <v>212</v>
      </c>
      <c r="D378" t="str">
        <f>"010"</f>
        <v>010</v>
      </c>
      <c r="E378">
        <v>2005</v>
      </c>
      <c r="F378">
        <v>0</v>
      </c>
      <c r="G378">
        <v>2645600</v>
      </c>
      <c r="H378">
        <v>2645600</v>
      </c>
    </row>
    <row r="379" spans="1:9" x14ac:dyDescent="0.25">
      <c r="A379" t="str">
        <f t="shared" si="4"/>
        <v>09211</v>
      </c>
      <c r="B379" t="s">
        <v>38</v>
      </c>
      <c r="C379" t="s">
        <v>212</v>
      </c>
      <c r="D379" t="str">
        <f>"011"</f>
        <v>011</v>
      </c>
      <c r="E379">
        <v>2008</v>
      </c>
      <c r="F379">
        <v>79500</v>
      </c>
      <c r="G379">
        <v>48939600</v>
      </c>
      <c r="H379">
        <v>48860100</v>
      </c>
    </row>
    <row r="380" spans="1:9" x14ac:dyDescent="0.25">
      <c r="A380" t="str">
        <f t="shared" si="4"/>
        <v>09211</v>
      </c>
      <c r="B380" t="s">
        <v>38</v>
      </c>
      <c r="C380" t="s">
        <v>212</v>
      </c>
      <c r="D380" t="str">
        <f>"012"</f>
        <v>012</v>
      </c>
      <c r="E380">
        <v>2012</v>
      </c>
      <c r="F380">
        <v>5386700</v>
      </c>
      <c r="G380">
        <v>17486000</v>
      </c>
      <c r="H380">
        <v>12099300</v>
      </c>
    </row>
    <row r="381" spans="1:9" x14ac:dyDescent="0.25">
      <c r="A381" t="str">
        <f t="shared" si="4"/>
        <v>09211</v>
      </c>
      <c r="B381" t="s">
        <v>38</v>
      </c>
      <c r="C381" t="s">
        <v>212</v>
      </c>
      <c r="D381" t="str">
        <f>"013"</f>
        <v>013</v>
      </c>
      <c r="E381">
        <v>2015</v>
      </c>
      <c r="F381">
        <v>3503000</v>
      </c>
      <c r="G381">
        <v>9282000</v>
      </c>
      <c r="H381">
        <v>5779000</v>
      </c>
    </row>
    <row r="382" spans="1:9" x14ac:dyDescent="0.25">
      <c r="A382" t="str">
        <f t="shared" si="4"/>
        <v>09211</v>
      </c>
      <c r="B382" t="s">
        <v>38</v>
      </c>
      <c r="C382" t="s">
        <v>212</v>
      </c>
      <c r="D382" t="str">
        <f>"014"</f>
        <v>014</v>
      </c>
      <c r="E382">
        <v>2015</v>
      </c>
      <c r="F382">
        <v>0</v>
      </c>
      <c r="G382">
        <v>86448200</v>
      </c>
      <c r="H382">
        <v>86448200</v>
      </c>
    </row>
    <row r="383" spans="1:9" x14ac:dyDescent="0.25">
      <c r="A383" t="str">
        <f t="shared" si="4"/>
        <v>09211</v>
      </c>
      <c r="B383" t="s">
        <v>38</v>
      </c>
      <c r="C383" t="s">
        <v>212</v>
      </c>
      <c r="D383" t="str">
        <f>"015"</f>
        <v>015</v>
      </c>
      <c r="E383">
        <v>2018</v>
      </c>
      <c r="F383">
        <v>1885100</v>
      </c>
      <c r="G383">
        <v>2041200</v>
      </c>
      <c r="H383">
        <v>156100</v>
      </c>
    </row>
    <row r="384" spans="1:9" x14ac:dyDescent="0.25">
      <c r="A384" t="str">
        <f t="shared" si="4"/>
        <v>09211</v>
      </c>
      <c r="B384" t="s">
        <v>38</v>
      </c>
      <c r="C384" t="s">
        <v>212</v>
      </c>
      <c r="D384" t="s">
        <v>13</v>
      </c>
      <c r="E384" t="s">
        <v>14</v>
      </c>
      <c r="F384" t="s">
        <v>15</v>
      </c>
      <c r="G384" t="s">
        <v>15</v>
      </c>
      <c r="H384" t="s">
        <v>15</v>
      </c>
      <c r="I384" s="1">
        <v>920939700</v>
      </c>
    </row>
    <row r="385" spans="1:9" x14ac:dyDescent="0.25">
      <c r="A385" t="str">
        <f>"09213"</f>
        <v>09213</v>
      </c>
      <c r="B385" t="s">
        <v>38</v>
      </c>
      <c r="C385" t="s">
        <v>213</v>
      </c>
      <c r="D385" t="s">
        <v>13</v>
      </c>
      <c r="E385" t="s">
        <v>14</v>
      </c>
      <c r="F385" t="s">
        <v>15</v>
      </c>
      <c r="G385" t="s">
        <v>15</v>
      </c>
      <c r="H385" t="s">
        <v>15</v>
      </c>
      <c r="I385" s="1">
        <v>73746300</v>
      </c>
    </row>
    <row r="386" spans="1:9" x14ac:dyDescent="0.25">
      <c r="A386" t="str">
        <f>"09221"</f>
        <v>09221</v>
      </c>
      <c r="B386" t="s">
        <v>38</v>
      </c>
      <c r="C386" t="s">
        <v>214</v>
      </c>
      <c r="D386" t="str">
        <f>"009"</f>
        <v>009</v>
      </c>
      <c r="E386">
        <v>2008</v>
      </c>
      <c r="F386">
        <v>54500</v>
      </c>
      <c r="G386">
        <v>0</v>
      </c>
      <c r="H386">
        <v>0</v>
      </c>
    </row>
    <row r="387" spans="1:9" x14ac:dyDescent="0.25">
      <c r="A387" t="str">
        <f>"09221"</f>
        <v>09221</v>
      </c>
      <c r="B387" t="s">
        <v>38</v>
      </c>
      <c r="C387" t="s">
        <v>214</v>
      </c>
      <c r="D387" t="s">
        <v>13</v>
      </c>
      <c r="E387" t="s">
        <v>14</v>
      </c>
      <c r="F387" t="s">
        <v>15</v>
      </c>
      <c r="G387" t="s">
        <v>15</v>
      </c>
      <c r="H387" t="s">
        <v>15</v>
      </c>
      <c r="I387" s="1">
        <v>212769600</v>
      </c>
    </row>
    <row r="388" spans="1:9" x14ac:dyDescent="0.25">
      <c r="A388" t="str">
        <f>"09281"</f>
        <v>09281</v>
      </c>
      <c r="B388" t="s">
        <v>38</v>
      </c>
      <c r="C388" t="s">
        <v>78</v>
      </c>
      <c r="D388" t="str">
        <f>"003"</f>
        <v>003</v>
      </c>
      <c r="E388">
        <v>2001</v>
      </c>
      <c r="F388">
        <v>4205200</v>
      </c>
      <c r="G388">
        <v>22176400</v>
      </c>
      <c r="H388">
        <v>17971200</v>
      </c>
    </row>
    <row r="389" spans="1:9" x14ac:dyDescent="0.25">
      <c r="A389" t="str">
        <f>"09281"</f>
        <v>09281</v>
      </c>
      <c r="B389" t="s">
        <v>38</v>
      </c>
      <c r="C389" t="s">
        <v>78</v>
      </c>
      <c r="D389" t="s">
        <v>13</v>
      </c>
      <c r="E389" t="s">
        <v>14</v>
      </c>
      <c r="F389" t="s">
        <v>15</v>
      </c>
      <c r="G389" t="s">
        <v>15</v>
      </c>
      <c r="H389" t="s">
        <v>15</v>
      </c>
      <c r="I389" s="1">
        <v>100225200</v>
      </c>
    </row>
    <row r="390" spans="1:9" x14ac:dyDescent="0.25">
      <c r="A390" t="s">
        <v>32</v>
      </c>
      <c r="B390" t="s">
        <v>40</v>
      </c>
      <c r="C390" t="s">
        <v>34</v>
      </c>
      <c r="D390" t="s">
        <v>13</v>
      </c>
      <c r="E390" t="s">
        <v>14</v>
      </c>
      <c r="F390" t="s">
        <v>15</v>
      </c>
      <c r="G390" t="s">
        <v>15</v>
      </c>
      <c r="H390" t="s">
        <v>15</v>
      </c>
      <c r="I390" s="1">
        <v>1571138600</v>
      </c>
    </row>
    <row r="391" spans="1:9" x14ac:dyDescent="0.25">
      <c r="A391" t="s">
        <v>32</v>
      </c>
      <c r="B391" t="s">
        <v>41</v>
      </c>
      <c r="C391" t="s">
        <v>44</v>
      </c>
      <c r="D391" t="s">
        <v>13</v>
      </c>
      <c r="E391" t="s">
        <v>14</v>
      </c>
      <c r="F391" t="s">
        <v>15</v>
      </c>
      <c r="G391" t="s">
        <v>15</v>
      </c>
      <c r="H391" t="s">
        <v>15</v>
      </c>
      <c r="I391" s="1">
        <v>5693384000</v>
      </c>
    </row>
    <row r="392" spans="1:9" x14ac:dyDescent="0.25">
      <c r="A392" t="str">
        <f>"10002"</f>
        <v>10002</v>
      </c>
      <c r="B392" t="s">
        <v>11</v>
      </c>
      <c r="C392" t="s">
        <v>215</v>
      </c>
      <c r="D392" t="s">
        <v>13</v>
      </c>
      <c r="E392" t="s">
        <v>14</v>
      </c>
      <c r="F392" t="s">
        <v>15</v>
      </c>
      <c r="G392" t="s">
        <v>15</v>
      </c>
      <c r="H392" t="s">
        <v>15</v>
      </c>
      <c r="I392" s="1">
        <v>46546500</v>
      </c>
    </row>
    <row r="393" spans="1:9" x14ac:dyDescent="0.25">
      <c r="A393" t="str">
        <f>"10004"</f>
        <v>10004</v>
      </c>
      <c r="B393" t="s">
        <v>11</v>
      </c>
      <c r="C393" t="s">
        <v>216</v>
      </c>
      <c r="D393" t="s">
        <v>13</v>
      </c>
      <c r="E393" t="s">
        <v>14</v>
      </c>
      <c r="F393" t="s">
        <v>15</v>
      </c>
      <c r="G393" t="s">
        <v>15</v>
      </c>
      <c r="H393" t="s">
        <v>15</v>
      </c>
      <c r="I393" s="1">
        <v>11360200</v>
      </c>
    </row>
    <row r="394" spans="1:9" x14ac:dyDescent="0.25">
      <c r="A394" t="str">
        <f>"10006"</f>
        <v>10006</v>
      </c>
      <c r="B394" t="s">
        <v>11</v>
      </c>
      <c r="C394" t="s">
        <v>217</v>
      </c>
      <c r="D394" t="s">
        <v>13</v>
      </c>
      <c r="E394" t="s">
        <v>14</v>
      </c>
      <c r="F394" t="s">
        <v>15</v>
      </c>
      <c r="G394" t="s">
        <v>15</v>
      </c>
      <c r="H394" t="s">
        <v>15</v>
      </c>
      <c r="I394" s="1">
        <v>45350100</v>
      </c>
    </row>
    <row r="395" spans="1:9" x14ac:dyDescent="0.25">
      <c r="A395" t="str">
        <f>"10008"</f>
        <v>10008</v>
      </c>
      <c r="B395" t="s">
        <v>11</v>
      </c>
      <c r="C395" t="s">
        <v>218</v>
      </c>
      <c r="D395" t="s">
        <v>13</v>
      </c>
      <c r="E395" t="s">
        <v>14</v>
      </c>
      <c r="F395" t="s">
        <v>15</v>
      </c>
      <c r="G395" t="s">
        <v>15</v>
      </c>
      <c r="H395" t="s">
        <v>15</v>
      </c>
      <c r="I395" s="1">
        <v>106165800</v>
      </c>
    </row>
    <row r="396" spans="1:9" x14ac:dyDescent="0.25">
      <c r="A396" t="str">
        <f>"10010"</f>
        <v>10010</v>
      </c>
      <c r="B396" t="s">
        <v>11</v>
      </c>
      <c r="C396" t="s">
        <v>109</v>
      </c>
      <c r="D396" t="s">
        <v>13</v>
      </c>
      <c r="E396" t="s">
        <v>14</v>
      </c>
      <c r="F396" t="s">
        <v>15</v>
      </c>
      <c r="G396" t="s">
        <v>15</v>
      </c>
      <c r="H396" t="s">
        <v>15</v>
      </c>
      <c r="I396" s="1">
        <v>59721100</v>
      </c>
    </row>
    <row r="397" spans="1:9" x14ac:dyDescent="0.25">
      <c r="A397" t="str">
        <f>"10012"</f>
        <v>10012</v>
      </c>
      <c r="B397" t="s">
        <v>11</v>
      </c>
      <c r="C397" t="s">
        <v>219</v>
      </c>
      <c r="D397" t="s">
        <v>13</v>
      </c>
      <c r="E397" t="s">
        <v>14</v>
      </c>
      <c r="F397" t="s">
        <v>15</v>
      </c>
      <c r="G397" t="s">
        <v>15</v>
      </c>
      <c r="H397" t="s">
        <v>15</v>
      </c>
      <c r="I397" s="1">
        <v>27663000</v>
      </c>
    </row>
    <row r="398" spans="1:9" x14ac:dyDescent="0.25">
      <c r="A398" t="str">
        <f>"10014"</f>
        <v>10014</v>
      </c>
      <c r="B398" t="s">
        <v>11</v>
      </c>
      <c r="C398" t="s">
        <v>220</v>
      </c>
      <c r="D398" t="s">
        <v>13</v>
      </c>
      <c r="E398" t="s">
        <v>14</v>
      </c>
      <c r="F398" t="s">
        <v>15</v>
      </c>
      <c r="G398" t="s">
        <v>15</v>
      </c>
      <c r="H398" t="s">
        <v>15</v>
      </c>
      <c r="I398" s="1">
        <v>63048600</v>
      </c>
    </row>
    <row r="399" spans="1:9" x14ac:dyDescent="0.25">
      <c r="A399" t="str">
        <f>"10016"</f>
        <v>10016</v>
      </c>
      <c r="B399" t="s">
        <v>11</v>
      </c>
      <c r="C399" t="s">
        <v>221</v>
      </c>
      <c r="D399" t="s">
        <v>13</v>
      </c>
      <c r="E399" t="s">
        <v>14</v>
      </c>
      <c r="F399" t="s">
        <v>15</v>
      </c>
      <c r="G399" t="s">
        <v>15</v>
      </c>
      <c r="H399" t="s">
        <v>15</v>
      </c>
      <c r="I399" s="1">
        <v>51818500</v>
      </c>
    </row>
    <row r="400" spans="1:9" x14ac:dyDescent="0.25">
      <c r="A400" t="str">
        <f>"10018"</f>
        <v>10018</v>
      </c>
      <c r="B400" t="s">
        <v>11</v>
      </c>
      <c r="C400" t="s">
        <v>222</v>
      </c>
      <c r="D400" t="s">
        <v>13</v>
      </c>
      <c r="E400" t="s">
        <v>14</v>
      </c>
      <c r="F400" t="s">
        <v>15</v>
      </c>
      <c r="G400" t="s">
        <v>15</v>
      </c>
      <c r="H400" t="s">
        <v>15</v>
      </c>
      <c r="I400" s="1">
        <v>44725800</v>
      </c>
    </row>
    <row r="401" spans="1:9" x14ac:dyDescent="0.25">
      <c r="A401" t="str">
        <f>"10020"</f>
        <v>10020</v>
      </c>
      <c r="B401" t="s">
        <v>11</v>
      </c>
      <c r="C401" t="s">
        <v>223</v>
      </c>
      <c r="D401" t="s">
        <v>13</v>
      </c>
      <c r="E401" t="s">
        <v>14</v>
      </c>
      <c r="F401" t="s">
        <v>15</v>
      </c>
      <c r="G401" t="s">
        <v>15</v>
      </c>
      <c r="H401" t="s">
        <v>15</v>
      </c>
      <c r="I401" s="1">
        <v>36386300</v>
      </c>
    </row>
    <row r="402" spans="1:9" x14ac:dyDescent="0.25">
      <c r="A402" t="str">
        <f>"10022"</f>
        <v>10022</v>
      </c>
      <c r="B402" t="s">
        <v>11</v>
      </c>
      <c r="C402" t="s">
        <v>224</v>
      </c>
      <c r="D402" t="s">
        <v>13</v>
      </c>
      <c r="E402" t="s">
        <v>14</v>
      </c>
      <c r="F402" t="s">
        <v>15</v>
      </c>
      <c r="G402" t="s">
        <v>15</v>
      </c>
      <c r="H402" t="s">
        <v>15</v>
      </c>
      <c r="I402" s="1">
        <v>31009100</v>
      </c>
    </row>
    <row r="403" spans="1:9" x14ac:dyDescent="0.25">
      <c r="A403" t="str">
        <f>"10024"</f>
        <v>10024</v>
      </c>
      <c r="B403" t="s">
        <v>11</v>
      </c>
      <c r="C403" t="s">
        <v>225</v>
      </c>
      <c r="D403" t="s">
        <v>13</v>
      </c>
      <c r="E403" t="s">
        <v>14</v>
      </c>
      <c r="F403" t="s">
        <v>15</v>
      </c>
      <c r="G403" t="s">
        <v>15</v>
      </c>
      <c r="H403" t="s">
        <v>15</v>
      </c>
      <c r="I403" s="1">
        <v>49872000</v>
      </c>
    </row>
    <row r="404" spans="1:9" x14ac:dyDescent="0.25">
      <c r="A404" t="str">
        <f>"10026"</f>
        <v>10026</v>
      </c>
      <c r="B404" t="s">
        <v>11</v>
      </c>
      <c r="C404" t="s">
        <v>226</v>
      </c>
      <c r="D404" t="s">
        <v>13</v>
      </c>
      <c r="E404" t="s">
        <v>14</v>
      </c>
      <c r="F404" t="s">
        <v>15</v>
      </c>
      <c r="G404" t="s">
        <v>15</v>
      </c>
      <c r="H404" t="s">
        <v>15</v>
      </c>
      <c r="I404" s="1">
        <v>39467300</v>
      </c>
    </row>
    <row r="405" spans="1:9" x14ac:dyDescent="0.25">
      <c r="A405" t="str">
        <f>"10028"</f>
        <v>10028</v>
      </c>
      <c r="B405" t="s">
        <v>11</v>
      </c>
      <c r="C405" t="s">
        <v>227</v>
      </c>
      <c r="D405" t="s">
        <v>13</v>
      </c>
      <c r="E405" t="s">
        <v>14</v>
      </c>
      <c r="F405" t="s">
        <v>15</v>
      </c>
      <c r="G405" t="s">
        <v>15</v>
      </c>
      <c r="H405" t="s">
        <v>15</v>
      </c>
      <c r="I405" s="1">
        <v>44530000</v>
      </c>
    </row>
    <row r="406" spans="1:9" x14ac:dyDescent="0.25">
      <c r="A406" t="str">
        <f>"10030"</f>
        <v>10030</v>
      </c>
      <c r="B406" t="s">
        <v>11</v>
      </c>
      <c r="C406" t="s">
        <v>228</v>
      </c>
      <c r="D406" t="s">
        <v>13</v>
      </c>
      <c r="E406" t="s">
        <v>14</v>
      </c>
      <c r="F406" t="s">
        <v>15</v>
      </c>
      <c r="G406" t="s">
        <v>15</v>
      </c>
      <c r="H406" t="s">
        <v>15</v>
      </c>
      <c r="I406" s="1">
        <v>50537400</v>
      </c>
    </row>
    <row r="407" spans="1:9" x14ac:dyDescent="0.25">
      <c r="A407" t="str">
        <f>"10032"</f>
        <v>10032</v>
      </c>
      <c r="B407" t="s">
        <v>11</v>
      </c>
      <c r="C407" t="s">
        <v>229</v>
      </c>
      <c r="D407" t="s">
        <v>13</v>
      </c>
      <c r="E407" t="s">
        <v>14</v>
      </c>
      <c r="F407" t="s">
        <v>15</v>
      </c>
      <c r="G407" t="s">
        <v>15</v>
      </c>
      <c r="H407" t="s">
        <v>15</v>
      </c>
      <c r="I407" s="1">
        <v>47032100</v>
      </c>
    </row>
    <row r="408" spans="1:9" x14ac:dyDescent="0.25">
      <c r="A408" t="str">
        <f>"10034"</f>
        <v>10034</v>
      </c>
      <c r="B408" t="s">
        <v>11</v>
      </c>
      <c r="C408" t="s">
        <v>230</v>
      </c>
      <c r="D408" t="s">
        <v>13</v>
      </c>
      <c r="E408" t="s">
        <v>14</v>
      </c>
      <c r="F408" t="s">
        <v>15</v>
      </c>
      <c r="G408" t="s">
        <v>15</v>
      </c>
      <c r="H408" t="s">
        <v>15</v>
      </c>
      <c r="I408" s="1">
        <v>51276600</v>
      </c>
    </row>
    <row r="409" spans="1:9" x14ac:dyDescent="0.25">
      <c r="A409" t="str">
        <f>"10036"</f>
        <v>10036</v>
      </c>
      <c r="B409" t="s">
        <v>11</v>
      </c>
      <c r="C409" t="s">
        <v>231</v>
      </c>
      <c r="D409" t="s">
        <v>13</v>
      </c>
      <c r="E409" t="s">
        <v>14</v>
      </c>
      <c r="F409" t="s">
        <v>15</v>
      </c>
      <c r="G409" t="s">
        <v>15</v>
      </c>
      <c r="H409" t="s">
        <v>15</v>
      </c>
      <c r="I409" s="1">
        <v>58749400</v>
      </c>
    </row>
    <row r="410" spans="1:9" x14ac:dyDescent="0.25">
      <c r="A410" t="str">
        <f>"10038"</f>
        <v>10038</v>
      </c>
      <c r="B410" t="s">
        <v>11</v>
      </c>
      <c r="C410" t="s">
        <v>232</v>
      </c>
      <c r="D410" t="s">
        <v>13</v>
      </c>
      <c r="E410" t="s">
        <v>14</v>
      </c>
      <c r="F410" t="s">
        <v>15</v>
      </c>
      <c r="G410" t="s">
        <v>15</v>
      </c>
      <c r="H410" t="s">
        <v>15</v>
      </c>
      <c r="I410" s="1">
        <v>45494700</v>
      </c>
    </row>
    <row r="411" spans="1:9" x14ac:dyDescent="0.25">
      <c r="A411" t="str">
        <f>"10040"</f>
        <v>10040</v>
      </c>
      <c r="B411" t="s">
        <v>11</v>
      </c>
      <c r="C411" t="s">
        <v>233</v>
      </c>
      <c r="D411" t="s">
        <v>13</v>
      </c>
      <c r="E411" t="s">
        <v>14</v>
      </c>
      <c r="F411" t="s">
        <v>15</v>
      </c>
      <c r="G411" t="s">
        <v>15</v>
      </c>
      <c r="H411" t="s">
        <v>15</v>
      </c>
      <c r="I411" s="1">
        <v>120485000</v>
      </c>
    </row>
    <row r="412" spans="1:9" x14ac:dyDescent="0.25">
      <c r="A412" t="str">
        <f>"10042"</f>
        <v>10042</v>
      </c>
      <c r="B412" t="s">
        <v>11</v>
      </c>
      <c r="C412" t="s">
        <v>234</v>
      </c>
      <c r="D412" t="s">
        <v>13</v>
      </c>
      <c r="E412" t="s">
        <v>14</v>
      </c>
      <c r="F412" t="s">
        <v>15</v>
      </c>
      <c r="G412" t="s">
        <v>15</v>
      </c>
      <c r="H412" t="s">
        <v>15</v>
      </c>
      <c r="I412" s="1">
        <v>95006500</v>
      </c>
    </row>
    <row r="413" spans="1:9" x14ac:dyDescent="0.25">
      <c r="A413" t="str">
        <f>"10044"</f>
        <v>10044</v>
      </c>
      <c r="B413" t="s">
        <v>11</v>
      </c>
      <c r="C413" t="s">
        <v>235</v>
      </c>
      <c r="D413" t="s">
        <v>13</v>
      </c>
      <c r="E413" t="s">
        <v>14</v>
      </c>
      <c r="F413" t="s">
        <v>15</v>
      </c>
      <c r="G413" t="s">
        <v>15</v>
      </c>
      <c r="H413" t="s">
        <v>15</v>
      </c>
      <c r="I413" s="1">
        <v>46391600</v>
      </c>
    </row>
    <row r="414" spans="1:9" x14ac:dyDescent="0.25">
      <c r="A414" t="str">
        <f>"10046"</f>
        <v>10046</v>
      </c>
      <c r="B414" t="s">
        <v>11</v>
      </c>
      <c r="C414" t="s">
        <v>236</v>
      </c>
      <c r="D414" t="s">
        <v>13</v>
      </c>
      <c r="E414" t="s">
        <v>14</v>
      </c>
      <c r="F414" t="s">
        <v>15</v>
      </c>
      <c r="G414" t="s">
        <v>15</v>
      </c>
      <c r="H414" t="s">
        <v>15</v>
      </c>
      <c r="I414" s="1">
        <v>20933600</v>
      </c>
    </row>
    <row r="415" spans="1:9" x14ac:dyDescent="0.25">
      <c r="A415" t="str">
        <f>"10048"</f>
        <v>10048</v>
      </c>
      <c r="B415" t="s">
        <v>11</v>
      </c>
      <c r="C415" t="s">
        <v>237</v>
      </c>
      <c r="D415" t="s">
        <v>13</v>
      </c>
      <c r="E415" t="s">
        <v>14</v>
      </c>
      <c r="F415" t="s">
        <v>15</v>
      </c>
      <c r="G415" t="s">
        <v>15</v>
      </c>
      <c r="H415" t="s">
        <v>15</v>
      </c>
      <c r="I415" s="1">
        <v>56223300</v>
      </c>
    </row>
    <row r="416" spans="1:9" x14ac:dyDescent="0.25">
      <c r="A416" t="str">
        <f>"10050"</f>
        <v>10050</v>
      </c>
      <c r="B416" t="s">
        <v>11</v>
      </c>
      <c r="C416" t="s">
        <v>182</v>
      </c>
      <c r="D416" t="s">
        <v>13</v>
      </c>
      <c r="E416" t="s">
        <v>14</v>
      </c>
      <c r="F416" t="s">
        <v>15</v>
      </c>
      <c r="G416" t="s">
        <v>15</v>
      </c>
      <c r="H416" t="s">
        <v>15</v>
      </c>
      <c r="I416" s="1">
        <v>24617300</v>
      </c>
    </row>
    <row r="417" spans="1:9" x14ac:dyDescent="0.25">
      <c r="A417" t="str">
        <f>"10052"</f>
        <v>10052</v>
      </c>
      <c r="B417" t="s">
        <v>11</v>
      </c>
      <c r="C417" t="s">
        <v>238</v>
      </c>
      <c r="D417" t="s">
        <v>13</v>
      </c>
      <c r="E417" t="s">
        <v>14</v>
      </c>
      <c r="F417" t="s">
        <v>15</v>
      </c>
      <c r="G417" t="s">
        <v>15</v>
      </c>
      <c r="H417" t="s">
        <v>15</v>
      </c>
      <c r="I417" s="1">
        <v>57421300</v>
      </c>
    </row>
    <row r="418" spans="1:9" x14ac:dyDescent="0.25">
      <c r="A418" t="str">
        <f>"10054"</f>
        <v>10054</v>
      </c>
      <c r="B418" t="s">
        <v>11</v>
      </c>
      <c r="C418" t="s">
        <v>239</v>
      </c>
      <c r="D418" t="s">
        <v>13</v>
      </c>
      <c r="E418" t="s">
        <v>14</v>
      </c>
      <c r="F418" t="s">
        <v>15</v>
      </c>
      <c r="G418" t="s">
        <v>15</v>
      </c>
      <c r="H418" t="s">
        <v>15</v>
      </c>
      <c r="I418" s="1">
        <v>49940700</v>
      </c>
    </row>
    <row r="419" spans="1:9" x14ac:dyDescent="0.25">
      <c r="A419" t="str">
        <f>"10056"</f>
        <v>10056</v>
      </c>
      <c r="B419" t="s">
        <v>11</v>
      </c>
      <c r="C419" t="s">
        <v>240</v>
      </c>
      <c r="D419" t="s">
        <v>13</v>
      </c>
      <c r="E419" t="s">
        <v>14</v>
      </c>
      <c r="F419" t="s">
        <v>15</v>
      </c>
      <c r="G419" t="s">
        <v>15</v>
      </c>
      <c r="H419" t="s">
        <v>15</v>
      </c>
      <c r="I419" s="1">
        <v>36935000</v>
      </c>
    </row>
    <row r="420" spans="1:9" x14ac:dyDescent="0.25">
      <c r="A420" t="str">
        <f>"10058"</f>
        <v>10058</v>
      </c>
      <c r="B420" t="s">
        <v>11</v>
      </c>
      <c r="C420" t="s">
        <v>108</v>
      </c>
      <c r="D420" t="s">
        <v>13</v>
      </c>
      <c r="E420" t="s">
        <v>14</v>
      </c>
      <c r="F420" t="s">
        <v>15</v>
      </c>
      <c r="G420" t="s">
        <v>15</v>
      </c>
      <c r="H420" t="s">
        <v>15</v>
      </c>
      <c r="I420" s="1">
        <v>26401600</v>
      </c>
    </row>
    <row r="421" spans="1:9" x14ac:dyDescent="0.25">
      <c r="A421" t="str">
        <f>"10060"</f>
        <v>10060</v>
      </c>
      <c r="B421" t="s">
        <v>11</v>
      </c>
      <c r="C421" t="s">
        <v>241</v>
      </c>
      <c r="D421" t="s">
        <v>13</v>
      </c>
      <c r="E421" t="s">
        <v>14</v>
      </c>
      <c r="F421" t="s">
        <v>15</v>
      </c>
      <c r="G421" t="s">
        <v>15</v>
      </c>
      <c r="H421" t="s">
        <v>15</v>
      </c>
      <c r="I421" s="1">
        <v>46113300</v>
      </c>
    </row>
    <row r="422" spans="1:9" x14ac:dyDescent="0.25">
      <c r="A422" t="str">
        <f>"10062"</f>
        <v>10062</v>
      </c>
      <c r="B422" t="s">
        <v>11</v>
      </c>
      <c r="C422" t="s">
        <v>242</v>
      </c>
      <c r="D422" t="s">
        <v>13</v>
      </c>
      <c r="E422" t="s">
        <v>14</v>
      </c>
      <c r="F422" t="s">
        <v>15</v>
      </c>
      <c r="G422" t="s">
        <v>15</v>
      </c>
      <c r="H422" t="s">
        <v>15</v>
      </c>
      <c r="I422" s="1">
        <v>56535200</v>
      </c>
    </row>
    <row r="423" spans="1:9" x14ac:dyDescent="0.25">
      <c r="A423" t="str">
        <f>"10064"</f>
        <v>10064</v>
      </c>
      <c r="B423" t="s">
        <v>11</v>
      </c>
      <c r="C423" t="s">
        <v>243</v>
      </c>
      <c r="D423" t="s">
        <v>13</v>
      </c>
      <c r="E423" t="s">
        <v>14</v>
      </c>
      <c r="F423" t="s">
        <v>15</v>
      </c>
      <c r="G423" t="s">
        <v>15</v>
      </c>
      <c r="H423" t="s">
        <v>15</v>
      </c>
      <c r="I423" s="1">
        <v>54370500</v>
      </c>
    </row>
    <row r="424" spans="1:9" x14ac:dyDescent="0.25">
      <c r="A424" t="str">
        <f>"10066"</f>
        <v>10066</v>
      </c>
      <c r="B424" t="s">
        <v>11</v>
      </c>
      <c r="C424" t="s">
        <v>244</v>
      </c>
      <c r="D424" t="s">
        <v>13</v>
      </c>
      <c r="E424" t="s">
        <v>14</v>
      </c>
      <c r="F424" t="s">
        <v>15</v>
      </c>
      <c r="G424" t="s">
        <v>15</v>
      </c>
      <c r="H424" t="s">
        <v>15</v>
      </c>
      <c r="I424" s="1">
        <v>45237900</v>
      </c>
    </row>
    <row r="425" spans="1:9" x14ac:dyDescent="0.25">
      <c r="A425" t="s">
        <v>32</v>
      </c>
      <c r="B425" t="s">
        <v>33</v>
      </c>
      <c r="C425" t="s">
        <v>34</v>
      </c>
      <c r="D425" t="s">
        <v>13</v>
      </c>
      <c r="E425" t="s">
        <v>14</v>
      </c>
      <c r="F425" t="s">
        <v>15</v>
      </c>
      <c r="G425" t="s">
        <v>15</v>
      </c>
      <c r="H425" t="s">
        <v>15</v>
      </c>
      <c r="I425" s="1">
        <v>1647367300</v>
      </c>
    </row>
    <row r="426" spans="1:9" x14ac:dyDescent="0.25">
      <c r="A426" t="str">
        <f>"10111"</f>
        <v>10111</v>
      </c>
      <c r="B426" t="s">
        <v>35</v>
      </c>
      <c r="C426" t="s">
        <v>245</v>
      </c>
      <c r="D426" t="s">
        <v>13</v>
      </c>
      <c r="E426" t="s">
        <v>14</v>
      </c>
      <c r="F426" t="s">
        <v>15</v>
      </c>
      <c r="G426" t="s">
        <v>15</v>
      </c>
      <c r="H426" t="s">
        <v>15</v>
      </c>
      <c r="I426" s="1">
        <v>29931800</v>
      </c>
    </row>
    <row r="427" spans="1:9" x14ac:dyDescent="0.25">
      <c r="A427" t="str">
        <f>"10116"</f>
        <v>10116</v>
      </c>
      <c r="B427" t="s">
        <v>35</v>
      </c>
      <c r="C427" t="s">
        <v>246</v>
      </c>
      <c r="D427" t="str">
        <f>"001"</f>
        <v>001</v>
      </c>
      <c r="E427">
        <v>1992</v>
      </c>
      <c r="F427">
        <v>233000</v>
      </c>
      <c r="G427">
        <v>6701700</v>
      </c>
      <c r="H427">
        <v>6468700</v>
      </c>
    </row>
    <row r="428" spans="1:9" x14ac:dyDescent="0.25">
      <c r="A428" t="str">
        <f>"10116"</f>
        <v>10116</v>
      </c>
      <c r="B428" t="s">
        <v>35</v>
      </c>
      <c r="C428" t="s">
        <v>246</v>
      </c>
      <c r="D428" t="str">
        <f>"002"</f>
        <v>002</v>
      </c>
      <c r="E428">
        <v>1995</v>
      </c>
      <c r="F428">
        <v>15499400</v>
      </c>
      <c r="G428">
        <v>24027200</v>
      </c>
      <c r="H428">
        <v>8527800</v>
      </c>
    </row>
    <row r="429" spans="1:9" x14ac:dyDescent="0.25">
      <c r="A429" t="str">
        <f>"10116"</f>
        <v>10116</v>
      </c>
      <c r="B429" t="s">
        <v>35</v>
      </c>
      <c r="C429" t="s">
        <v>246</v>
      </c>
      <c r="D429" t="s">
        <v>13</v>
      </c>
      <c r="E429" t="s">
        <v>14</v>
      </c>
      <c r="F429" t="s">
        <v>15</v>
      </c>
      <c r="G429" t="s">
        <v>15</v>
      </c>
      <c r="H429" t="s">
        <v>15</v>
      </c>
      <c r="I429" s="1">
        <v>34746000</v>
      </c>
    </row>
    <row r="430" spans="1:9" x14ac:dyDescent="0.25">
      <c r="A430" t="str">
        <f>"10131"</f>
        <v>10131</v>
      </c>
      <c r="B430" t="s">
        <v>35</v>
      </c>
      <c r="C430" t="s">
        <v>247</v>
      </c>
      <c r="D430" t="str">
        <f>"001"</f>
        <v>001</v>
      </c>
      <c r="E430">
        <v>2009</v>
      </c>
      <c r="F430">
        <v>1363000</v>
      </c>
      <c r="G430">
        <v>1988900</v>
      </c>
      <c r="H430">
        <v>625900</v>
      </c>
    </row>
    <row r="431" spans="1:9" x14ac:dyDescent="0.25">
      <c r="A431" t="str">
        <f>"10131"</f>
        <v>10131</v>
      </c>
      <c r="B431" t="s">
        <v>35</v>
      </c>
      <c r="C431" t="s">
        <v>247</v>
      </c>
      <c r="D431" t="s">
        <v>13</v>
      </c>
      <c r="E431" t="s">
        <v>14</v>
      </c>
      <c r="F431" t="s">
        <v>15</v>
      </c>
      <c r="G431" t="s">
        <v>15</v>
      </c>
      <c r="H431" t="s">
        <v>15</v>
      </c>
      <c r="I431" s="1">
        <v>12385100</v>
      </c>
    </row>
    <row r="432" spans="1:9" x14ac:dyDescent="0.25">
      <c r="A432" t="str">
        <f>"10186"</f>
        <v>10186</v>
      </c>
      <c r="B432" t="s">
        <v>35</v>
      </c>
      <c r="C432" t="s">
        <v>239</v>
      </c>
      <c r="D432" t="str">
        <f>"001"</f>
        <v>001</v>
      </c>
      <c r="E432">
        <v>1998</v>
      </c>
      <c r="F432">
        <v>119500</v>
      </c>
      <c r="G432">
        <v>1088600</v>
      </c>
      <c r="H432">
        <v>969100</v>
      </c>
    </row>
    <row r="433" spans="1:9" x14ac:dyDescent="0.25">
      <c r="A433" t="str">
        <f>"10186"</f>
        <v>10186</v>
      </c>
      <c r="B433" t="s">
        <v>35</v>
      </c>
      <c r="C433" t="s">
        <v>239</v>
      </c>
      <c r="D433" t="s">
        <v>13</v>
      </c>
      <c r="E433" t="s">
        <v>14</v>
      </c>
      <c r="F433" t="s">
        <v>15</v>
      </c>
      <c r="G433" t="s">
        <v>15</v>
      </c>
      <c r="H433" t="s">
        <v>15</v>
      </c>
      <c r="I433" s="1">
        <v>4507400</v>
      </c>
    </row>
    <row r="434" spans="1:9" x14ac:dyDescent="0.25">
      <c r="A434" t="str">
        <f>"10191"</f>
        <v>10191</v>
      </c>
      <c r="B434" t="s">
        <v>35</v>
      </c>
      <c r="C434" t="s">
        <v>242</v>
      </c>
      <c r="D434" t="str">
        <f>"001"</f>
        <v>001</v>
      </c>
      <c r="E434">
        <v>1996</v>
      </c>
      <c r="F434">
        <v>499800</v>
      </c>
      <c r="G434">
        <v>2712300</v>
      </c>
      <c r="H434">
        <v>2212500</v>
      </c>
    </row>
    <row r="435" spans="1:9" x14ac:dyDescent="0.25">
      <c r="A435" t="str">
        <f>"10191"</f>
        <v>10191</v>
      </c>
      <c r="B435" t="s">
        <v>35</v>
      </c>
      <c r="C435" t="s">
        <v>242</v>
      </c>
      <c r="D435" t="str">
        <f>"002"</f>
        <v>002</v>
      </c>
      <c r="E435">
        <v>2010</v>
      </c>
      <c r="F435">
        <v>428700</v>
      </c>
      <c r="G435">
        <v>1106400</v>
      </c>
      <c r="H435">
        <v>677700</v>
      </c>
    </row>
    <row r="436" spans="1:9" x14ac:dyDescent="0.25">
      <c r="A436" t="str">
        <f>"10191"</f>
        <v>10191</v>
      </c>
      <c r="B436" t="s">
        <v>35</v>
      </c>
      <c r="C436" t="s">
        <v>242</v>
      </c>
      <c r="D436" t="str">
        <f>"003"</f>
        <v>003</v>
      </c>
      <c r="E436">
        <v>2012</v>
      </c>
      <c r="F436">
        <v>262800</v>
      </c>
      <c r="G436">
        <v>762900</v>
      </c>
      <c r="H436">
        <v>500100</v>
      </c>
    </row>
    <row r="437" spans="1:9" x14ac:dyDescent="0.25">
      <c r="A437" t="str">
        <f>"10191"</f>
        <v>10191</v>
      </c>
      <c r="B437" t="s">
        <v>35</v>
      </c>
      <c r="C437" t="s">
        <v>242</v>
      </c>
      <c r="D437" t="s">
        <v>13</v>
      </c>
      <c r="E437" t="s">
        <v>14</v>
      </c>
      <c r="F437" t="s">
        <v>15</v>
      </c>
      <c r="G437" t="s">
        <v>15</v>
      </c>
      <c r="H437" t="s">
        <v>15</v>
      </c>
      <c r="I437" s="1">
        <v>19205800</v>
      </c>
    </row>
    <row r="438" spans="1:9" x14ac:dyDescent="0.25">
      <c r="A438" t="s">
        <v>32</v>
      </c>
      <c r="B438" t="s">
        <v>37</v>
      </c>
      <c r="C438" t="s">
        <v>34</v>
      </c>
      <c r="D438" t="s">
        <v>13</v>
      </c>
      <c r="E438" t="s">
        <v>14</v>
      </c>
      <c r="F438" t="s">
        <v>15</v>
      </c>
      <c r="G438" t="s">
        <v>15</v>
      </c>
      <c r="H438" t="s">
        <v>15</v>
      </c>
      <c r="I438" s="1">
        <v>100776100</v>
      </c>
    </row>
    <row r="439" spans="1:9" x14ac:dyDescent="0.25">
      <c r="A439" t="str">
        <f>"10201"</f>
        <v>10201</v>
      </c>
      <c r="B439" t="s">
        <v>38</v>
      </c>
      <c r="C439" t="s">
        <v>248</v>
      </c>
      <c r="D439" t="str">
        <f>"005"</f>
        <v>005</v>
      </c>
      <c r="E439">
        <v>2008</v>
      </c>
      <c r="F439">
        <v>458800</v>
      </c>
      <c r="G439">
        <v>563200</v>
      </c>
      <c r="H439">
        <v>104400</v>
      </c>
    </row>
    <row r="440" spans="1:9" x14ac:dyDescent="0.25">
      <c r="A440" t="str">
        <f>"10201"</f>
        <v>10201</v>
      </c>
      <c r="B440" t="s">
        <v>38</v>
      </c>
      <c r="C440" t="s">
        <v>248</v>
      </c>
      <c r="D440" t="str">
        <f>"006"</f>
        <v>006</v>
      </c>
      <c r="E440">
        <v>2016</v>
      </c>
      <c r="F440">
        <v>2947100</v>
      </c>
      <c r="G440">
        <v>4771600</v>
      </c>
      <c r="H440">
        <v>1824500</v>
      </c>
    </row>
    <row r="441" spans="1:9" x14ac:dyDescent="0.25">
      <c r="A441" t="str">
        <f>"10201"</f>
        <v>10201</v>
      </c>
      <c r="B441" t="s">
        <v>38</v>
      </c>
      <c r="C441" t="s">
        <v>248</v>
      </c>
      <c r="D441" t="str">
        <f>"007"</f>
        <v>007</v>
      </c>
      <c r="E441">
        <v>2016</v>
      </c>
      <c r="F441">
        <v>1619500</v>
      </c>
      <c r="G441">
        <v>2094400</v>
      </c>
      <c r="H441">
        <v>474900</v>
      </c>
    </row>
    <row r="442" spans="1:9" x14ac:dyDescent="0.25">
      <c r="A442" t="str">
        <f>"10201"</f>
        <v>10201</v>
      </c>
      <c r="B442" t="s">
        <v>38</v>
      </c>
      <c r="C442" t="s">
        <v>248</v>
      </c>
      <c r="D442" t="s">
        <v>13</v>
      </c>
      <c r="E442" t="s">
        <v>14</v>
      </c>
      <c r="F442" t="s">
        <v>15</v>
      </c>
      <c r="G442" t="s">
        <v>15</v>
      </c>
      <c r="H442" t="s">
        <v>15</v>
      </c>
      <c r="I442" s="1">
        <v>70759900</v>
      </c>
    </row>
    <row r="443" spans="1:9" x14ac:dyDescent="0.25">
      <c r="A443" t="str">
        <f>"10211"</f>
        <v>10211</v>
      </c>
      <c r="B443" t="s">
        <v>38</v>
      </c>
      <c r="C443" t="s">
        <v>217</v>
      </c>
      <c r="D443" t="str">
        <f>"002"</f>
        <v>002</v>
      </c>
      <c r="E443">
        <v>1993</v>
      </c>
      <c r="F443">
        <v>257500</v>
      </c>
      <c r="G443">
        <v>6014900</v>
      </c>
      <c r="H443">
        <v>5757400</v>
      </c>
    </row>
    <row r="444" spans="1:9" x14ac:dyDescent="0.25">
      <c r="A444" t="str">
        <f>"10211"</f>
        <v>10211</v>
      </c>
      <c r="B444" t="s">
        <v>38</v>
      </c>
      <c r="C444" t="s">
        <v>217</v>
      </c>
      <c r="D444" t="s">
        <v>13</v>
      </c>
      <c r="E444" t="s">
        <v>14</v>
      </c>
      <c r="F444" t="s">
        <v>15</v>
      </c>
      <c r="G444" t="s">
        <v>15</v>
      </c>
      <c r="H444" t="s">
        <v>15</v>
      </c>
      <c r="I444" s="1">
        <v>47686800</v>
      </c>
    </row>
    <row r="445" spans="1:9" x14ac:dyDescent="0.25">
      <c r="A445" t="str">
        <f>"10231"</f>
        <v>10231</v>
      </c>
      <c r="B445" t="s">
        <v>38</v>
      </c>
      <c r="C445" t="s">
        <v>249</v>
      </c>
      <c r="D445" t="str">
        <f>"001"</f>
        <v>001</v>
      </c>
      <c r="E445">
        <v>1991</v>
      </c>
      <c r="F445">
        <v>239000</v>
      </c>
      <c r="G445">
        <v>1275600</v>
      </c>
      <c r="H445">
        <v>1036600</v>
      </c>
    </row>
    <row r="446" spans="1:9" x14ac:dyDescent="0.25">
      <c r="A446" t="str">
        <f>"10231"</f>
        <v>10231</v>
      </c>
      <c r="B446" t="s">
        <v>38</v>
      </c>
      <c r="C446" t="s">
        <v>249</v>
      </c>
      <c r="D446" t="str">
        <f>"002"</f>
        <v>002</v>
      </c>
      <c r="E446">
        <v>1998</v>
      </c>
      <c r="F446">
        <v>58300</v>
      </c>
      <c r="G446">
        <v>257300</v>
      </c>
      <c r="H446">
        <v>199000</v>
      </c>
    </row>
    <row r="447" spans="1:9" x14ac:dyDescent="0.25">
      <c r="A447" t="str">
        <f>"10231"</f>
        <v>10231</v>
      </c>
      <c r="B447" t="s">
        <v>38</v>
      </c>
      <c r="C447" t="s">
        <v>249</v>
      </c>
      <c r="D447" t="s">
        <v>13</v>
      </c>
      <c r="E447" t="s">
        <v>14</v>
      </c>
      <c r="F447" t="s">
        <v>15</v>
      </c>
      <c r="G447" t="s">
        <v>15</v>
      </c>
      <c r="H447" t="s">
        <v>15</v>
      </c>
      <c r="I447" s="1">
        <v>43023100</v>
      </c>
    </row>
    <row r="448" spans="1:9" x14ac:dyDescent="0.25">
      <c r="A448" t="str">
        <f>"10246"</f>
        <v>10246</v>
      </c>
      <c r="B448" t="s">
        <v>38</v>
      </c>
      <c r="C448" t="s">
        <v>229</v>
      </c>
      <c r="D448" t="str">
        <f>"002"</f>
        <v>002</v>
      </c>
      <c r="E448">
        <v>2006</v>
      </c>
      <c r="F448">
        <v>4567400</v>
      </c>
      <c r="G448">
        <v>8660200</v>
      </c>
      <c r="H448">
        <v>4092800</v>
      </c>
    </row>
    <row r="449" spans="1:9" x14ac:dyDescent="0.25">
      <c r="A449" t="str">
        <f>"10246"</f>
        <v>10246</v>
      </c>
      <c r="B449" t="s">
        <v>38</v>
      </c>
      <c r="C449" t="s">
        <v>229</v>
      </c>
      <c r="D449" t="s">
        <v>13</v>
      </c>
      <c r="E449" t="s">
        <v>14</v>
      </c>
      <c r="F449" t="s">
        <v>15</v>
      </c>
      <c r="G449" t="s">
        <v>15</v>
      </c>
      <c r="H449" t="s">
        <v>15</v>
      </c>
      <c r="I449" s="1">
        <v>54930300</v>
      </c>
    </row>
    <row r="450" spans="1:9" x14ac:dyDescent="0.25">
      <c r="A450" t="str">
        <f>"10261"</f>
        <v>10261</v>
      </c>
      <c r="B450" t="s">
        <v>38</v>
      </c>
      <c r="C450" t="s">
        <v>250</v>
      </c>
      <c r="D450" t="str">
        <f>"002"</f>
        <v>002</v>
      </c>
      <c r="E450">
        <v>1999</v>
      </c>
      <c r="F450">
        <v>107200</v>
      </c>
      <c r="G450">
        <v>3481100</v>
      </c>
      <c r="H450">
        <v>3373900</v>
      </c>
    </row>
    <row r="451" spans="1:9" x14ac:dyDescent="0.25">
      <c r="A451" t="str">
        <f>"10261"</f>
        <v>10261</v>
      </c>
      <c r="B451" t="s">
        <v>38</v>
      </c>
      <c r="C451" t="s">
        <v>250</v>
      </c>
      <c r="D451" t="str">
        <f>"003"</f>
        <v>003</v>
      </c>
      <c r="E451">
        <v>2006</v>
      </c>
      <c r="F451">
        <v>304800</v>
      </c>
      <c r="G451">
        <v>3318000</v>
      </c>
      <c r="H451">
        <v>3013200</v>
      </c>
    </row>
    <row r="452" spans="1:9" x14ac:dyDescent="0.25">
      <c r="A452" t="str">
        <f>"10261"</f>
        <v>10261</v>
      </c>
      <c r="B452" t="s">
        <v>38</v>
      </c>
      <c r="C452" t="s">
        <v>250</v>
      </c>
      <c r="D452" t="s">
        <v>13</v>
      </c>
      <c r="E452" t="s">
        <v>14</v>
      </c>
      <c r="F452" t="s">
        <v>15</v>
      </c>
      <c r="G452" t="s">
        <v>15</v>
      </c>
      <c r="H452" t="s">
        <v>15</v>
      </c>
      <c r="I452" s="1">
        <v>127857600</v>
      </c>
    </row>
    <row r="453" spans="1:9" x14ac:dyDescent="0.25">
      <c r="A453" t="str">
        <f>"10265"</f>
        <v>10265</v>
      </c>
      <c r="B453" t="s">
        <v>38</v>
      </c>
      <c r="C453" t="s">
        <v>251</v>
      </c>
      <c r="D453" t="str">
        <f>"003"</f>
        <v>003</v>
      </c>
      <c r="E453">
        <v>1996</v>
      </c>
      <c r="F453">
        <v>6100</v>
      </c>
      <c r="G453">
        <v>900300</v>
      </c>
      <c r="H453">
        <v>894200</v>
      </c>
    </row>
    <row r="454" spans="1:9" x14ac:dyDescent="0.25">
      <c r="A454" t="str">
        <f>"10265"</f>
        <v>10265</v>
      </c>
      <c r="B454" t="s">
        <v>38</v>
      </c>
      <c r="C454" t="s">
        <v>251</v>
      </c>
      <c r="D454" t="str">
        <f>"004"</f>
        <v>004</v>
      </c>
      <c r="E454">
        <v>2004</v>
      </c>
      <c r="F454">
        <v>2268400</v>
      </c>
      <c r="G454">
        <v>16827300</v>
      </c>
      <c r="H454">
        <v>14558900</v>
      </c>
    </row>
    <row r="455" spans="1:9" x14ac:dyDescent="0.25">
      <c r="A455" t="str">
        <f>"10265"</f>
        <v>10265</v>
      </c>
      <c r="B455" t="s">
        <v>38</v>
      </c>
      <c r="C455" t="s">
        <v>251</v>
      </c>
      <c r="D455" t="s">
        <v>13</v>
      </c>
      <c r="E455" t="s">
        <v>14</v>
      </c>
      <c r="F455" t="s">
        <v>15</v>
      </c>
      <c r="G455" t="s">
        <v>15</v>
      </c>
      <c r="H455" t="s">
        <v>15</v>
      </c>
      <c r="I455" s="1">
        <v>38837200</v>
      </c>
    </row>
    <row r="456" spans="1:9" x14ac:dyDescent="0.25">
      <c r="A456" t="str">
        <f>"10281"</f>
        <v>10281</v>
      </c>
      <c r="B456" t="s">
        <v>38</v>
      </c>
      <c r="C456" t="s">
        <v>78</v>
      </c>
      <c r="D456" t="s">
        <v>13</v>
      </c>
      <c r="E456" t="s">
        <v>14</v>
      </c>
      <c r="F456" t="s">
        <v>15</v>
      </c>
      <c r="G456" t="s">
        <v>15</v>
      </c>
      <c r="H456" t="s">
        <v>15</v>
      </c>
      <c r="I456" s="1">
        <v>4191200</v>
      </c>
    </row>
    <row r="457" spans="1:9" x14ac:dyDescent="0.25">
      <c r="A457" t="str">
        <f>"10286"</f>
        <v>10286</v>
      </c>
      <c r="B457" t="s">
        <v>38</v>
      </c>
      <c r="C457" t="s">
        <v>238</v>
      </c>
      <c r="D457" t="str">
        <f>"004"</f>
        <v>004</v>
      </c>
      <c r="E457">
        <v>1994</v>
      </c>
      <c r="F457">
        <v>636000</v>
      </c>
      <c r="G457">
        <v>6358400</v>
      </c>
      <c r="H457">
        <v>5722400</v>
      </c>
    </row>
    <row r="458" spans="1:9" x14ac:dyDescent="0.25">
      <c r="A458" t="str">
        <f>"10286"</f>
        <v>10286</v>
      </c>
      <c r="B458" t="s">
        <v>38</v>
      </c>
      <c r="C458" t="s">
        <v>238</v>
      </c>
      <c r="D458" t="str">
        <f>"005"</f>
        <v>005</v>
      </c>
      <c r="E458">
        <v>1999</v>
      </c>
      <c r="F458">
        <v>285400</v>
      </c>
      <c r="G458">
        <v>8460600</v>
      </c>
      <c r="H458">
        <v>8175200</v>
      </c>
    </row>
    <row r="459" spans="1:9" x14ac:dyDescent="0.25">
      <c r="A459" t="str">
        <f>"10286"</f>
        <v>10286</v>
      </c>
      <c r="B459" t="s">
        <v>38</v>
      </c>
      <c r="C459" t="s">
        <v>238</v>
      </c>
      <c r="D459" t="str">
        <f>"006"</f>
        <v>006</v>
      </c>
      <c r="E459">
        <v>2000</v>
      </c>
      <c r="F459">
        <v>1582000</v>
      </c>
      <c r="G459">
        <v>6559400</v>
      </c>
      <c r="H459">
        <v>4977400</v>
      </c>
    </row>
    <row r="460" spans="1:9" x14ac:dyDescent="0.25">
      <c r="A460" t="str">
        <f>"10286"</f>
        <v>10286</v>
      </c>
      <c r="B460" t="s">
        <v>38</v>
      </c>
      <c r="C460" t="s">
        <v>238</v>
      </c>
      <c r="D460" t="s">
        <v>13</v>
      </c>
      <c r="E460" t="s">
        <v>14</v>
      </c>
      <c r="F460" t="s">
        <v>15</v>
      </c>
      <c r="G460" t="s">
        <v>15</v>
      </c>
      <c r="H460" t="s">
        <v>15</v>
      </c>
      <c r="I460" s="1">
        <v>80166400</v>
      </c>
    </row>
    <row r="461" spans="1:9" x14ac:dyDescent="0.25">
      <c r="A461" t="s">
        <v>32</v>
      </c>
      <c r="B461" t="s">
        <v>40</v>
      </c>
      <c r="C461" t="s">
        <v>34</v>
      </c>
      <c r="D461" t="s">
        <v>13</v>
      </c>
      <c r="E461" t="s">
        <v>14</v>
      </c>
      <c r="F461" t="s">
        <v>15</v>
      </c>
      <c r="G461" t="s">
        <v>15</v>
      </c>
      <c r="H461" t="s">
        <v>15</v>
      </c>
      <c r="I461" s="1">
        <v>467452500</v>
      </c>
    </row>
    <row r="462" spans="1:9" x14ac:dyDescent="0.25">
      <c r="A462" t="s">
        <v>32</v>
      </c>
      <c r="B462" t="s">
        <v>41</v>
      </c>
      <c r="C462" t="s">
        <v>252</v>
      </c>
      <c r="D462" t="s">
        <v>13</v>
      </c>
      <c r="E462" t="s">
        <v>14</v>
      </c>
      <c r="F462" t="s">
        <v>15</v>
      </c>
      <c r="G462" t="s">
        <v>15</v>
      </c>
      <c r="H462" t="s">
        <v>15</v>
      </c>
      <c r="I462" s="1">
        <v>2215595900</v>
      </c>
    </row>
    <row r="463" spans="1:9" x14ac:dyDescent="0.25">
      <c r="A463" t="str">
        <f>"11002"</f>
        <v>11002</v>
      </c>
      <c r="B463" t="s">
        <v>11</v>
      </c>
      <c r="C463" t="s">
        <v>253</v>
      </c>
      <c r="D463" t="s">
        <v>13</v>
      </c>
      <c r="E463" t="s">
        <v>14</v>
      </c>
      <c r="F463" t="s">
        <v>15</v>
      </c>
      <c r="G463" t="s">
        <v>15</v>
      </c>
      <c r="H463" t="s">
        <v>15</v>
      </c>
      <c r="I463" s="1">
        <v>103545700</v>
      </c>
    </row>
    <row r="464" spans="1:9" x14ac:dyDescent="0.25">
      <c r="A464" t="str">
        <f>"11004"</f>
        <v>11004</v>
      </c>
      <c r="B464" t="s">
        <v>11</v>
      </c>
      <c r="C464" t="s">
        <v>254</v>
      </c>
      <c r="D464" t="s">
        <v>13</v>
      </c>
      <c r="E464" t="s">
        <v>14</v>
      </c>
      <c r="F464" t="s">
        <v>15</v>
      </c>
      <c r="G464" t="s">
        <v>15</v>
      </c>
      <c r="H464" t="s">
        <v>15</v>
      </c>
      <c r="I464" s="1">
        <v>252445700</v>
      </c>
    </row>
    <row r="465" spans="1:9" x14ac:dyDescent="0.25">
      <c r="A465" t="str">
        <f>"11006"</f>
        <v>11006</v>
      </c>
      <c r="B465" t="s">
        <v>11</v>
      </c>
      <c r="C465" t="s">
        <v>255</v>
      </c>
      <c r="D465" t="s">
        <v>13</v>
      </c>
      <c r="E465" t="s">
        <v>14</v>
      </c>
      <c r="F465" t="s">
        <v>15</v>
      </c>
      <c r="G465" t="s">
        <v>15</v>
      </c>
      <c r="H465" t="s">
        <v>15</v>
      </c>
      <c r="I465" s="1">
        <v>96328000</v>
      </c>
    </row>
    <row r="466" spans="1:9" x14ac:dyDescent="0.25">
      <c r="A466" t="str">
        <f>"11008"</f>
        <v>11008</v>
      </c>
      <c r="B466" t="s">
        <v>11</v>
      </c>
      <c r="C466" t="s">
        <v>256</v>
      </c>
      <c r="D466" t="s">
        <v>13</v>
      </c>
      <c r="E466" t="s">
        <v>14</v>
      </c>
      <c r="F466" t="s">
        <v>15</v>
      </c>
      <c r="G466" t="s">
        <v>15</v>
      </c>
      <c r="H466" t="s">
        <v>15</v>
      </c>
      <c r="I466" s="1">
        <v>57517500</v>
      </c>
    </row>
    <row r="467" spans="1:9" x14ac:dyDescent="0.25">
      <c r="A467" t="str">
        <f>"11010"</f>
        <v>11010</v>
      </c>
      <c r="B467" t="s">
        <v>11</v>
      </c>
      <c r="C467" t="s">
        <v>257</v>
      </c>
      <c r="D467" t="s">
        <v>13</v>
      </c>
      <c r="E467" t="s">
        <v>14</v>
      </c>
      <c r="F467" t="s">
        <v>15</v>
      </c>
      <c r="G467" t="s">
        <v>15</v>
      </c>
      <c r="H467" t="s">
        <v>15</v>
      </c>
      <c r="I467" s="1">
        <v>414135100</v>
      </c>
    </row>
    <row r="468" spans="1:9" x14ac:dyDescent="0.25">
      <c r="A468" t="str">
        <f>"11012"</f>
        <v>11012</v>
      </c>
      <c r="B468" t="s">
        <v>11</v>
      </c>
      <c r="C468" t="s">
        <v>258</v>
      </c>
      <c r="D468" t="s">
        <v>13</v>
      </c>
      <c r="E468" t="s">
        <v>14</v>
      </c>
      <c r="F468" t="s">
        <v>15</v>
      </c>
      <c r="G468" t="s">
        <v>15</v>
      </c>
      <c r="H468" t="s">
        <v>15</v>
      </c>
      <c r="I468" s="1">
        <v>83706000</v>
      </c>
    </row>
    <row r="469" spans="1:9" x14ac:dyDescent="0.25">
      <c r="A469" t="str">
        <f>"11014"</f>
        <v>11014</v>
      </c>
      <c r="B469" t="s">
        <v>11</v>
      </c>
      <c r="C469" t="s">
        <v>259</v>
      </c>
      <c r="D469" t="s">
        <v>13</v>
      </c>
      <c r="E469" t="s">
        <v>14</v>
      </c>
      <c r="F469" t="s">
        <v>15</v>
      </c>
      <c r="G469" t="s">
        <v>15</v>
      </c>
      <c r="H469" t="s">
        <v>15</v>
      </c>
      <c r="I469" s="1">
        <v>98108900</v>
      </c>
    </row>
    <row r="470" spans="1:9" x14ac:dyDescent="0.25">
      <c r="A470" t="str">
        <f>"11016"</f>
        <v>11016</v>
      </c>
      <c r="B470" t="s">
        <v>11</v>
      </c>
      <c r="C470" t="s">
        <v>260</v>
      </c>
      <c r="D470" t="s">
        <v>13</v>
      </c>
      <c r="E470" t="s">
        <v>14</v>
      </c>
      <c r="F470" t="s">
        <v>15</v>
      </c>
      <c r="G470" t="s">
        <v>15</v>
      </c>
      <c r="H470" t="s">
        <v>15</v>
      </c>
      <c r="I470" s="1">
        <v>75337600</v>
      </c>
    </row>
    <row r="471" spans="1:9" x14ac:dyDescent="0.25">
      <c r="A471" t="str">
        <f>"11018"</f>
        <v>11018</v>
      </c>
      <c r="B471" t="s">
        <v>11</v>
      </c>
      <c r="C471" t="s">
        <v>261</v>
      </c>
      <c r="D471" t="s">
        <v>13</v>
      </c>
      <c r="E471" t="s">
        <v>14</v>
      </c>
      <c r="F471" t="s">
        <v>15</v>
      </c>
      <c r="G471" t="s">
        <v>15</v>
      </c>
      <c r="H471" t="s">
        <v>15</v>
      </c>
      <c r="I471" s="1">
        <v>89205500</v>
      </c>
    </row>
    <row r="472" spans="1:9" x14ac:dyDescent="0.25">
      <c r="A472" t="str">
        <f>"11020"</f>
        <v>11020</v>
      </c>
      <c r="B472" t="s">
        <v>11</v>
      </c>
      <c r="C472" t="s">
        <v>262</v>
      </c>
      <c r="D472" t="s">
        <v>13</v>
      </c>
      <c r="E472" t="s">
        <v>14</v>
      </c>
      <c r="F472" t="s">
        <v>15</v>
      </c>
      <c r="G472" t="s">
        <v>15</v>
      </c>
      <c r="H472" t="s">
        <v>15</v>
      </c>
      <c r="I472" s="1">
        <v>134071500</v>
      </c>
    </row>
    <row r="473" spans="1:9" x14ac:dyDescent="0.25">
      <c r="A473" t="str">
        <f>"11022"</f>
        <v>11022</v>
      </c>
      <c r="B473" t="s">
        <v>11</v>
      </c>
      <c r="C473" t="s">
        <v>263</v>
      </c>
      <c r="D473" t="s">
        <v>13</v>
      </c>
      <c r="E473" t="s">
        <v>14</v>
      </c>
      <c r="F473" t="s">
        <v>15</v>
      </c>
      <c r="G473" t="s">
        <v>15</v>
      </c>
      <c r="H473" t="s">
        <v>15</v>
      </c>
      <c r="I473" s="1">
        <v>528579600</v>
      </c>
    </row>
    <row r="474" spans="1:9" x14ac:dyDescent="0.25">
      <c r="A474" t="str">
        <f>"11024"</f>
        <v>11024</v>
      </c>
      <c r="B474" t="s">
        <v>11</v>
      </c>
      <c r="C474" t="s">
        <v>264</v>
      </c>
      <c r="D474" t="s">
        <v>13</v>
      </c>
      <c r="E474" t="s">
        <v>14</v>
      </c>
      <c r="F474" t="s">
        <v>15</v>
      </c>
      <c r="G474" t="s">
        <v>15</v>
      </c>
      <c r="H474" t="s">
        <v>15</v>
      </c>
      <c r="I474" s="1">
        <v>106225800</v>
      </c>
    </row>
    <row r="475" spans="1:9" x14ac:dyDescent="0.25">
      <c r="A475" t="str">
        <f>"11026"</f>
        <v>11026</v>
      </c>
      <c r="B475" t="s">
        <v>11</v>
      </c>
      <c r="C475" t="s">
        <v>265</v>
      </c>
      <c r="D475" t="s">
        <v>13</v>
      </c>
      <c r="E475" t="s">
        <v>14</v>
      </c>
      <c r="F475" t="s">
        <v>15</v>
      </c>
      <c r="G475" t="s">
        <v>15</v>
      </c>
      <c r="H475" t="s">
        <v>15</v>
      </c>
      <c r="I475" s="1">
        <v>96156000</v>
      </c>
    </row>
    <row r="476" spans="1:9" x14ac:dyDescent="0.25">
      <c r="A476" t="str">
        <f>"11028"</f>
        <v>11028</v>
      </c>
      <c r="B476" t="s">
        <v>11</v>
      </c>
      <c r="C476" t="s">
        <v>266</v>
      </c>
      <c r="D476" t="s">
        <v>13</v>
      </c>
      <c r="E476" t="s">
        <v>14</v>
      </c>
      <c r="F476" t="s">
        <v>15</v>
      </c>
      <c r="G476" t="s">
        <v>15</v>
      </c>
      <c r="H476" t="s">
        <v>15</v>
      </c>
      <c r="I476" s="1">
        <v>67792600</v>
      </c>
    </row>
    <row r="477" spans="1:9" x14ac:dyDescent="0.25">
      <c r="A477" t="str">
        <f>"11030"</f>
        <v>11030</v>
      </c>
      <c r="B477" t="s">
        <v>11</v>
      </c>
      <c r="C477" t="s">
        <v>267</v>
      </c>
      <c r="D477" t="s">
        <v>13</v>
      </c>
      <c r="E477" t="s">
        <v>14</v>
      </c>
      <c r="F477" t="s">
        <v>15</v>
      </c>
      <c r="G477" t="s">
        <v>15</v>
      </c>
      <c r="H477" t="s">
        <v>15</v>
      </c>
      <c r="I477" s="1">
        <v>75199200</v>
      </c>
    </row>
    <row r="478" spans="1:9" x14ac:dyDescent="0.25">
      <c r="A478" t="str">
        <f>"11032"</f>
        <v>11032</v>
      </c>
      <c r="B478" t="s">
        <v>11</v>
      </c>
      <c r="C478" t="s">
        <v>268</v>
      </c>
      <c r="D478" t="s">
        <v>13</v>
      </c>
      <c r="E478" t="s">
        <v>14</v>
      </c>
      <c r="F478" t="s">
        <v>15</v>
      </c>
      <c r="G478" t="s">
        <v>15</v>
      </c>
      <c r="H478" t="s">
        <v>15</v>
      </c>
      <c r="I478" s="1">
        <v>288066100</v>
      </c>
    </row>
    <row r="479" spans="1:9" x14ac:dyDescent="0.25">
      <c r="A479" t="str">
        <f>"11034"</f>
        <v>11034</v>
      </c>
      <c r="B479" t="s">
        <v>11</v>
      </c>
      <c r="C479" t="s">
        <v>269</v>
      </c>
      <c r="D479" t="s">
        <v>13</v>
      </c>
      <c r="E479" t="s">
        <v>14</v>
      </c>
      <c r="F479" t="s">
        <v>15</v>
      </c>
      <c r="G479" t="s">
        <v>15</v>
      </c>
      <c r="H479" t="s">
        <v>15</v>
      </c>
      <c r="I479" s="1">
        <v>89815800</v>
      </c>
    </row>
    <row r="480" spans="1:9" x14ac:dyDescent="0.25">
      <c r="A480" t="str">
        <f>"11036"</f>
        <v>11036</v>
      </c>
      <c r="B480" t="s">
        <v>11</v>
      </c>
      <c r="C480" t="s">
        <v>120</v>
      </c>
      <c r="D480" t="s">
        <v>13</v>
      </c>
      <c r="E480" t="s">
        <v>14</v>
      </c>
      <c r="F480" t="s">
        <v>15</v>
      </c>
      <c r="G480" t="s">
        <v>15</v>
      </c>
      <c r="H480" t="s">
        <v>15</v>
      </c>
      <c r="I480" s="1">
        <v>65427600</v>
      </c>
    </row>
    <row r="481" spans="1:9" x14ac:dyDescent="0.25">
      <c r="A481" t="str">
        <f>"11038"</f>
        <v>11038</v>
      </c>
      <c r="B481" t="s">
        <v>11</v>
      </c>
      <c r="C481" t="s">
        <v>270</v>
      </c>
      <c r="D481" t="s">
        <v>13</v>
      </c>
      <c r="E481" t="s">
        <v>14</v>
      </c>
      <c r="F481" t="s">
        <v>15</v>
      </c>
      <c r="G481" t="s">
        <v>15</v>
      </c>
      <c r="H481" t="s">
        <v>15</v>
      </c>
      <c r="I481" s="1">
        <v>64906100</v>
      </c>
    </row>
    <row r="482" spans="1:9" x14ac:dyDescent="0.25">
      <c r="A482" t="str">
        <f>"11040"</f>
        <v>11040</v>
      </c>
      <c r="B482" t="s">
        <v>11</v>
      </c>
      <c r="C482" t="s">
        <v>271</v>
      </c>
      <c r="D482" t="s">
        <v>13</v>
      </c>
      <c r="E482" t="s">
        <v>14</v>
      </c>
      <c r="F482" t="s">
        <v>15</v>
      </c>
      <c r="G482" t="s">
        <v>15</v>
      </c>
      <c r="H482" t="s">
        <v>15</v>
      </c>
      <c r="I482" s="1">
        <v>391348900</v>
      </c>
    </row>
    <row r="483" spans="1:9" x14ac:dyDescent="0.25">
      <c r="A483" t="str">
        <f>"11042"</f>
        <v>11042</v>
      </c>
      <c r="B483" t="s">
        <v>11</v>
      </c>
      <c r="C483" t="s">
        <v>272</v>
      </c>
      <c r="D483" t="s">
        <v>13</v>
      </c>
      <c r="E483" t="s">
        <v>14</v>
      </c>
      <c r="F483" t="s">
        <v>15</v>
      </c>
      <c r="G483" t="s">
        <v>15</v>
      </c>
      <c r="H483" t="s">
        <v>15</v>
      </c>
      <c r="I483" s="1">
        <v>200491200</v>
      </c>
    </row>
    <row r="484" spans="1:9" x14ac:dyDescent="0.25">
      <c r="A484" t="s">
        <v>32</v>
      </c>
      <c r="B484" t="s">
        <v>33</v>
      </c>
      <c r="C484" t="s">
        <v>34</v>
      </c>
      <c r="D484" t="s">
        <v>13</v>
      </c>
      <c r="E484" t="s">
        <v>14</v>
      </c>
      <c r="F484" t="s">
        <v>15</v>
      </c>
      <c r="G484" t="s">
        <v>15</v>
      </c>
      <c r="H484" t="s">
        <v>15</v>
      </c>
      <c r="I484" s="1">
        <v>3378410400</v>
      </c>
    </row>
    <row r="485" spans="1:9" x14ac:dyDescent="0.25">
      <c r="A485" t="str">
        <f>"11101"</f>
        <v>11101</v>
      </c>
      <c r="B485" t="s">
        <v>35</v>
      </c>
      <c r="C485" t="s">
        <v>253</v>
      </c>
      <c r="D485" t="str">
        <f>"001"</f>
        <v>001</v>
      </c>
      <c r="E485">
        <v>1999</v>
      </c>
      <c r="F485">
        <v>2502900</v>
      </c>
      <c r="G485">
        <v>11003900</v>
      </c>
      <c r="H485">
        <v>8501000</v>
      </c>
    </row>
    <row r="486" spans="1:9" x14ac:dyDescent="0.25">
      <c r="A486" t="str">
        <f>"11101"</f>
        <v>11101</v>
      </c>
      <c r="B486" t="s">
        <v>35</v>
      </c>
      <c r="C486" t="s">
        <v>253</v>
      </c>
      <c r="D486" t="s">
        <v>13</v>
      </c>
      <c r="E486" t="s">
        <v>14</v>
      </c>
      <c r="F486" t="s">
        <v>15</v>
      </c>
      <c r="G486" t="s">
        <v>15</v>
      </c>
      <c r="H486" t="s">
        <v>15</v>
      </c>
      <c r="I486" s="1">
        <v>74493300</v>
      </c>
    </row>
    <row r="487" spans="1:9" x14ac:dyDescent="0.25">
      <c r="A487" t="str">
        <f>"11111"</f>
        <v>11111</v>
      </c>
      <c r="B487" t="s">
        <v>35</v>
      </c>
      <c r="C487" t="s">
        <v>273</v>
      </c>
      <c r="D487" t="s">
        <v>13</v>
      </c>
      <c r="E487" t="s">
        <v>14</v>
      </c>
      <c r="F487" t="s">
        <v>15</v>
      </c>
      <c r="G487" t="s">
        <v>15</v>
      </c>
      <c r="H487" t="s">
        <v>15</v>
      </c>
      <c r="I487" s="1">
        <v>47209400</v>
      </c>
    </row>
    <row r="488" spans="1:9" x14ac:dyDescent="0.25">
      <c r="A488" t="str">
        <f>"11116"</f>
        <v>11116</v>
      </c>
      <c r="B488" t="s">
        <v>35</v>
      </c>
      <c r="C488" t="s">
        <v>274</v>
      </c>
      <c r="D488" t="s">
        <v>13</v>
      </c>
      <c r="E488" t="s">
        <v>14</v>
      </c>
      <c r="F488" t="s">
        <v>15</v>
      </c>
      <c r="G488" t="s">
        <v>15</v>
      </c>
      <c r="H488" t="s">
        <v>15</v>
      </c>
      <c r="I488" s="1">
        <v>15546300</v>
      </c>
    </row>
    <row r="489" spans="1:9" x14ac:dyDescent="0.25">
      <c r="A489" t="str">
        <f>"11126"</f>
        <v>11126</v>
      </c>
      <c r="B489" t="s">
        <v>35</v>
      </c>
      <c r="C489" t="s">
        <v>275</v>
      </c>
      <c r="D489" t="s">
        <v>13</v>
      </c>
      <c r="E489" t="s">
        <v>14</v>
      </c>
      <c r="F489" t="s">
        <v>15</v>
      </c>
      <c r="G489" t="s">
        <v>15</v>
      </c>
      <c r="H489" t="s">
        <v>15</v>
      </c>
      <c r="I489" s="1">
        <v>158543800</v>
      </c>
    </row>
    <row r="490" spans="1:9" x14ac:dyDescent="0.25">
      <c r="A490" t="str">
        <f>"11127"</f>
        <v>11127</v>
      </c>
      <c r="B490" t="s">
        <v>35</v>
      </c>
      <c r="C490" t="s">
        <v>276</v>
      </c>
      <c r="D490" t="str">
        <f>"001"</f>
        <v>001</v>
      </c>
      <c r="E490">
        <v>1995</v>
      </c>
      <c r="F490">
        <v>2527700</v>
      </c>
      <c r="G490">
        <v>7577200</v>
      </c>
      <c r="H490">
        <v>5049500</v>
      </c>
    </row>
    <row r="491" spans="1:9" x14ac:dyDescent="0.25">
      <c r="A491" t="str">
        <f>"11127"</f>
        <v>11127</v>
      </c>
      <c r="B491" t="s">
        <v>35</v>
      </c>
      <c r="C491" t="s">
        <v>276</v>
      </c>
      <c r="D491" t="s">
        <v>13</v>
      </c>
      <c r="E491" t="s">
        <v>14</v>
      </c>
      <c r="F491" t="s">
        <v>15</v>
      </c>
      <c r="G491" t="s">
        <v>15</v>
      </c>
      <c r="H491" t="s">
        <v>15</v>
      </c>
      <c r="I491" s="1">
        <v>16947700</v>
      </c>
    </row>
    <row r="492" spans="1:9" x14ac:dyDescent="0.25">
      <c r="A492" t="str">
        <f>"11171"</f>
        <v>11171</v>
      </c>
      <c r="B492" t="s">
        <v>35</v>
      </c>
      <c r="C492" t="s">
        <v>277</v>
      </c>
      <c r="D492" t="s">
        <v>13</v>
      </c>
      <c r="E492" t="s">
        <v>14</v>
      </c>
      <c r="F492" t="s">
        <v>15</v>
      </c>
      <c r="G492" t="s">
        <v>15</v>
      </c>
      <c r="H492" t="s">
        <v>15</v>
      </c>
      <c r="I492" s="1">
        <v>146370800</v>
      </c>
    </row>
    <row r="493" spans="1:9" x14ac:dyDescent="0.25">
      <c r="A493" t="str">
        <f>"11172"</f>
        <v>11172</v>
      </c>
      <c r="B493" t="s">
        <v>35</v>
      </c>
      <c r="C493" t="s">
        <v>278</v>
      </c>
      <c r="D493" t="s">
        <v>13</v>
      </c>
      <c r="E493" t="s">
        <v>14</v>
      </c>
      <c r="F493" t="s">
        <v>15</v>
      </c>
      <c r="G493" t="s">
        <v>15</v>
      </c>
      <c r="H493" t="s">
        <v>15</v>
      </c>
      <c r="I493" s="1">
        <v>186991100</v>
      </c>
    </row>
    <row r="494" spans="1:9" x14ac:dyDescent="0.25">
      <c r="A494" t="str">
        <f>"11176"</f>
        <v>11176</v>
      </c>
      <c r="B494" t="s">
        <v>35</v>
      </c>
      <c r="C494" t="s">
        <v>269</v>
      </c>
      <c r="D494" t="str">
        <f>"002"</f>
        <v>002</v>
      </c>
      <c r="E494">
        <v>1995</v>
      </c>
      <c r="F494">
        <v>2488500</v>
      </c>
      <c r="G494">
        <v>4679400</v>
      </c>
      <c r="H494">
        <v>2190900</v>
      </c>
    </row>
    <row r="495" spans="1:9" x14ac:dyDescent="0.25">
      <c r="A495" t="str">
        <f>"11176"</f>
        <v>11176</v>
      </c>
      <c r="B495" t="s">
        <v>35</v>
      </c>
      <c r="C495" t="s">
        <v>269</v>
      </c>
      <c r="D495" t="s">
        <v>13</v>
      </c>
      <c r="E495" t="s">
        <v>14</v>
      </c>
      <c r="F495" t="s">
        <v>15</v>
      </c>
      <c r="G495" t="s">
        <v>15</v>
      </c>
      <c r="H495" t="s">
        <v>15</v>
      </c>
      <c r="I495" s="1">
        <v>25532800</v>
      </c>
    </row>
    <row r="496" spans="1:9" x14ac:dyDescent="0.25">
      <c r="A496" t="str">
        <f>"11177"</f>
        <v>11177</v>
      </c>
      <c r="B496" t="s">
        <v>35</v>
      </c>
      <c r="C496" t="s">
        <v>279</v>
      </c>
      <c r="D496" t="str">
        <f>"001"</f>
        <v>001</v>
      </c>
      <c r="E496">
        <v>1988</v>
      </c>
      <c r="F496">
        <v>551400</v>
      </c>
      <c r="G496">
        <v>3023100</v>
      </c>
      <c r="H496">
        <v>2471700</v>
      </c>
    </row>
    <row r="497" spans="1:9" x14ac:dyDescent="0.25">
      <c r="A497" t="str">
        <f>"11177"</f>
        <v>11177</v>
      </c>
      <c r="B497" t="s">
        <v>35</v>
      </c>
      <c r="C497" t="s">
        <v>279</v>
      </c>
      <c r="D497" t="str">
        <f>"003"</f>
        <v>003</v>
      </c>
      <c r="E497">
        <v>1996</v>
      </c>
      <c r="F497">
        <v>1268100</v>
      </c>
      <c r="G497">
        <v>6857500</v>
      </c>
      <c r="H497">
        <v>5589400</v>
      </c>
    </row>
    <row r="498" spans="1:9" x14ac:dyDescent="0.25">
      <c r="A498" t="str">
        <f>"11177"</f>
        <v>11177</v>
      </c>
      <c r="B498" t="s">
        <v>35</v>
      </c>
      <c r="C498" t="s">
        <v>279</v>
      </c>
      <c r="D498" t="s">
        <v>13</v>
      </c>
      <c r="E498" t="s">
        <v>14</v>
      </c>
      <c r="F498" t="s">
        <v>15</v>
      </c>
      <c r="G498" t="s">
        <v>15</v>
      </c>
      <c r="H498" t="s">
        <v>15</v>
      </c>
      <c r="I498" s="1">
        <v>60368100</v>
      </c>
    </row>
    <row r="499" spans="1:9" x14ac:dyDescent="0.25">
      <c r="A499" t="str">
        <f>"11191"</f>
        <v>11191</v>
      </c>
      <c r="B499" t="s">
        <v>35</v>
      </c>
      <c r="C499" t="s">
        <v>272</v>
      </c>
      <c r="D499" t="s">
        <v>13</v>
      </c>
      <c r="E499" t="s">
        <v>14</v>
      </c>
      <c r="F499" t="s">
        <v>15</v>
      </c>
      <c r="G499" t="s">
        <v>15</v>
      </c>
      <c r="H499" t="s">
        <v>15</v>
      </c>
      <c r="I499" s="1">
        <v>42937300</v>
      </c>
    </row>
    <row r="500" spans="1:9" x14ac:dyDescent="0.25">
      <c r="A500" t="s">
        <v>32</v>
      </c>
      <c r="B500" t="s">
        <v>37</v>
      </c>
      <c r="C500" t="s">
        <v>34</v>
      </c>
      <c r="D500" t="s">
        <v>13</v>
      </c>
      <c r="E500" t="s">
        <v>14</v>
      </c>
      <c r="F500" t="s">
        <v>15</v>
      </c>
      <c r="G500" t="s">
        <v>15</v>
      </c>
      <c r="H500" t="s">
        <v>15</v>
      </c>
      <c r="I500" s="1">
        <v>774940600</v>
      </c>
    </row>
    <row r="501" spans="1:9" x14ac:dyDescent="0.25">
      <c r="A501" t="str">
        <f>"11211"</f>
        <v>11211</v>
      </c>
      <c r="B501" t="s">
        <v>38</v>
      </c>
      <c r="C501" t="s">
        <v>255</v>
      </c>
      <c r="D501" t="str">
        <f>"003"</f>
        <v>003</v>
      </c>
      <c r="E501">
        <v>1995</v>
      </c>
      <c r="F501">
        <v>3581200</v>
      </c>
      <c r="G501">
        <v>27918000</v>
      </c>
      <c r="H501">
        <v>24336800</v>
      </c>
    </row>
    <row r="502" spans="1:9" x14ac:dyDescent="0.25">
      <c r="A502" t="str">
        <f>"11211"</f>
        <v>11211</v>
      </c>
      <c r="B502" t="s">
        <v>38</v>
      </c>
      <c r="C502" t="s">
        <v>255</v>
      </c>
      <c r="D502" t="str">
        <f>"004"</f>
        <v>004</v>
      </c>
      <c r="E502">
        <v>2015</v>
      </c>
      <c r="F502">
        <v>3124100</v>
      </c>
      <c r="G502">
        <v>31333400</v>
      </c>
      <c r="H502">
        <v>28209300</v>
      </c>
    </row>
    <row r="503" spans="1:9" x14ac:dyDescent="0.25">
      <c r="A503" t="str">
        <f>"11211"</f>
        <v>11211</v>
      </c>
      <c r="B503" t="s">
        <v>38</v>
      </c>
      <c r="C503" t="s">
        <v>255</v>
      </c>
      <c r="D503" t="s">
        <v>13</v>
      </c>
      <c r="E503" t="s">
        <v>14</v>
      </c>
      <c r="F503" t="s">
        <v>15</v>
      </c>
      <c r="G503" t="s">
        <v>15</v>
      </c>
      <c r="H503" t="s">
        <v>15</v>
      </c>
      <c r="I503" s="1">
        <v>422987300</v>
      </c>
    </row>
    <row r="504" spans="1:9" x14ac:dyDescent="0.25">
      <c r="A504" t="str">
        <f>"11246"</f>
        <v>11246</v>
      </c>
      <c r="B504" t="s">
        <v>38</v>
      </c>
      <c r="C504" t="s">
        <v>263</v>
      </c>
      <c r="D504" t="str">
        <f>"003"</f>
        <v>003</v>
      </c>
      <c r="E504">
        <v>2005</v>
      </c>
      <c r="F504">
        <v>161000</v>
      </c>
      <c r="G504">
        <v>1052400</v>
      </c>
      <c r="H504">
        <v>891400</v>
      </c>
    </row>
    <row r="505" spans="1:9" x14ac:dyDescent="0.25">
      <c r="A505" t="str">
        <f>"11246"</f>
        <v>11246</v>
      </c>
      <c r="B505" t="s">
        <v>38</v>
      </c>
      <c r="C505" t="s">
        <v>263</v>
      </c>
      <c r="D505" t="str">
        <f>"004"</f>
        <v>004</v>
      </c>
      <c r="E505">
        <v>2015</v>
      </c>
      <c r="F505">
        <v>16032800</v>
      </c>
      <c r="G505">
        <v>16057700</v>
      </c>
      <c r="H505">
        <v>24900</v>
      </c>
    </row>
    <row r="506" spans="1:9" x14ac:dyDescent="0.25">
      <c r="A506" t="str">
        <f>"11246"</f>
        <v>11246</v>
      </c>
      <c r="B506" t="s">
        <v>38</v>
      </c>
      <c r="C506" t="s">
        <v>263</v>
      </c>
      <c r="D506" t="str">
        <f>"005"</f>
        <v>005</v>
      </c>
      <c r="E506">
        <v>2015</v>
      </c>
      <c r="F506">
        <v>12622800</v>
      </c>
      <c r="G506">
        <v>12983900</v>
      </c>
      <c r="H506">
        <v>361100</v>
      </c>
    </row>
    <row r="507" spans="1:9" x14ac:dyDescent="0.25">
      <c r="A507" t="str">
        <f>"11246"</f>
        <v>11246</v>
      </c>
      <c r="B507" t="s">
        <v>38</v>
      </c>
      <c r="C507" t="s">
        <v>263</v>
      </c>
      <c r="D507" t="s">
        <v>13</v>
      </c>
      <c r="E507" t="s">
        <v>14</v>
      </c>
      <c r="F507" t="s">
        <v>15</v>
      </c>
      <c r="G507" t="s">
        <v>15</v>
      </c>
      <c r="H507" t="s">
        <v>15</v>
      </c>
      <c r="I507" s="1">
        <v>278714500</v>
      </c>
    </row>
    <row r="508" spans="1:9" x14ac:dyDescent="0.25">
      <c r="A508" t="str">
        <f t="shared" ref="A508:A514" si="5">"11271"</f>
        <v>11271</v>
      </c>
      <c r="B508" t="s">
        <v>38</v>
      </c>
      <c r="C508" t="s">
        <v>280</v>
      </c>
      <c r="D508" t="str">
        <f>"004"</f>
        <v>004</v>
      </c>
      <c r="E508">
        <v>2003</v>
      </c>
      <c r="F508">
        <v>211900</v>
      </c>
      <c r="G508">
        <v>798100</v>
      </c>
      <c r="H508">
        <v>586200</v>
      </c>
    </row>
    <row r="509" spans="1:9" x14ac:dyDescent="0.25">
      <c r="A509" t="str">
        <f t="shared" si="5"/>
        <v>11271</v>
      </c>
      <c r="B509" t="s">
        <v>38</v>
      </c>
      <c r="C509" t="s">
        <v>280</v>
      </c>
      <c r="D509" t="str">
        <f>"005"</f>
        <v>005</v>
      </c>
      <c r="E509">
        <v>2004</v>
      </c>
      <c r="F509">
        <v>1261500</v>
      </c>
      <c r="G509">
        <v>5983700</v>
      </c>
      <c r="H509">
        <v>4722200</v>
      </c>
    </row>
    <row r="510" spans="1:9" x14ac:dyDescent="0.25">
      <c r="A510" t="str">
        <f t="shared" si="5"/>
        <v>11271</v>
      </c>
      <c r="B510" t="s">
        <v>38</v>
      </c>
      <c r="C510" t="s">
        <v>280</v>
      </c>
      <c r="D510" t="str">
        <f>"006"</f>
        <v>006</v>
      </c>
      <c r="E510">
        <v>2008</v>
      </c>
      <c r="F510">
        <v>13785500</v>
      </c>
      <c r="G510">
        <v>12557900</v>
      </c>
      <c r="H510">
        <v>0</v>
      </c>
    </row>
    <row r="511" spans="1:9" x14ac:dyDescent="0.25">
      <c r="A511" t="str">
        <f t="shared" si="5"/>
        <v>11271</v>
      </c>
      <c r="B511" t="s">
        <v>38</v>
      </c>
      <c r="C511" t="s">
        <v>280</v>
      </c>
      <c r="D511" t="str">
        <f>"007"</f>
        <v>007</v>
      </c>
      <c r="E511">
        <v>2010</v>
      </c>
      <c r="F511">
        <v>20589600</v>
      </c>
      <c r="G511">
        <v>23571200</v>
      </c>
      <c r="H511">
        <v>2981600</v>
      </c>
    </row>
    <row r="512" spans="1:9" x14ac:dyDescent="0.25">
      <c r="A512" t="str">
        <f t="shared" si="5"/>
        <v>11271</v>
      </c>
      <c r="B512" t="s">
        <v>38</v>
      </c>
      <c r="C512" t="s">
        <v>280</v>
      </c>
      <c r="D512" t="str">
        <f>"008"</f>
        <v>008</v>
      </c>
      <c r="E512">
        <v>2014</v>
      </c>
      <c r="F512">
        <v>654400</v>
      </c>
      <c r="G512">
        <v>3075300</v>
      </c>
      <c r="H512">
        <v>2420900</v>
      </c>
    </row>
    <row r="513" spans="1:9" x14ac:dyDescent="0.25">
      <c r="A513" t="str">
        <f t="shared" si="5"/>
        <v>11271</v>
      </c>
      <c r="B513" t="s">
        <v>38</v>
      </c>
      <c r="C513" t="s">
        <v>280</v>
      </c>
      <c r="D513" t="str">
        <f>"009"</f>
        <v>009</v>
      </c>
      <c r="E513">
        <v>2017</v>
      </c>
      <c r="F513">
        <v>28700</v>
      </c>
      <c r="G513">
        <v>27600</v>
      </c>
      <c r="H513">
        <v>0</v>
      </c>
    </row>
    <row r="514" spans="1:9" x14ac:dyDescent="0.25">
      <c r="A514" t="str">
        <f t="shared" si="5"/>
        <v>11271</v>
      </c>
      <c r="B514" t="s">
        <v>38</v>
      </c>
      <c r="C514" t="s">
        <v>280</v>
      </c>
      <c r="D514" t="s">
        <v>13</v>
      </c>
      <c r="E514" t="s">
        <v>14</v>
      </c>
      <c r="F514" t="s">
        <v>15</v>
      </c>
      <c r="G514" t="s">
        <v>15</v>
      </c>
      <c r="H514" t="s">
        <v>15</v>
      </c>
      <c r="I514" s="1">
        <v>669852600</v>
      </c>
    </row>
    <row r="515" spans="1:9" x14ac:dyDescent="0.25">
      <c r="A515" t="str">
        <f>"11291"</f>
        <v>11291</v>
      </c>
      <c r="B515" t="s">
        <v>38</v>
      </c>
      <c r="C515" t="s">
        <v>39</v>
      </c>
      <c r="D515" t="str">
        <f>"003"</f>
        <v>003</v>
      </c>
      <c r="E515">
        <v>2006</v>
      </c>
      <c r="F515">
        <v>15355400</v>
      </c>
      <c r="G515">
        <v>19896900</v>
      </c>
      <c r="H515">
        <v>4541500</v>
      </c>
    </row>
    <row r="516" spans="1:9" x14ac:dyDescent="0.25">
      <c r="A516" t="str">
        <f>"11291"</f>
        <v>11291</v>
      </c>
      <c r="B516" t="s">
        <v>38</v>
      </c>
      <c r="C516" t="s">
        <v>39</v>
      </c>
      <c r="D516" t="s">
        <v>13</v>
      </c>
      <c r="E516" t="s">
        <v>14</v>
      </c>
      <c r="F516" t="s">
        <v>15</v>
      </c>
      <c r="G516" t="s">
        <v>15</v>
      </c>
      <c r="H516" t="s">
        <v>15</v>
      </c>
      <c r="I516" s="1">
        <v>245747200</v>
      </c>
    </row>
    <row r="517" spans="1:9" x14ac:dyDescent="0.25">
      <c r="A517" t="s">
        <v>32</v>
      </c>
      <c r="B517" t="s">
        <v>40</v>
      </c>
      <c r="C517" t="s">
        <v>34</v>
      </c>
      <c r="D517" t="s">
        <v>13</v>
      </c>
      <c r="E517" t="s">
        <v>14</v>
      </c>
      <c r="F517" t="s">
        <v>15</v>
      </c>
      <c r="G517" t="s">
        <v>15</v>
      </c>
      <c r="H517" t="s">
        <v>15</v>
      </c>
      <c r="I517" s="1">
        <v>1617301600</v>
      </c>
    </row>
    <row r="518" spans="1:9" x14ac:dyDescent="0.25">
      <c r="A518" t="s">
        <v>32</v>
      </c>
      <c r="B518" t="s">
        <v>41</v>
      </c>
      <c r="C518" t="s">
        <v>281</v>
      </c>
      <c r="D518" t="s">
        <v>13</v>
      </c>
      <c r="E518" t="s">
        <v>14</v>
      </c>
      <c r="F518" t="s">
        <v>15</v>
      </c>
      <c r="G518" t="s">
        <v>15</v>
      </c>
      <c r="H518" t="s">
        <v>15</v>
      </c>
      <c r="I518" s="1">
        <v>5770652600</v>
      </c>
    </row>
    <row r="519" spans="1:9" x14ac:dyDescent="0.25">
      <c r="A519" t="str">
        <f>"12002"</f>
        <v>12002</v>
      </c>
      <c r="B519" t="s">
        <v>11</v>
      </c>
      <c r="C519" t="s">
        <v>282</v>
      </c>
      <c r="D519" t="s">
        <v>13</v>
      </c>
      <c r="E519" t="s">
        <v>14</v>
      </c>
      <c r="F519" t="s">
        <v>15</v>
      </c>
      <c r="G519" t="s">
        <v>15</v>
      </c>
      <c r="H519" t="s">
        <v>15</v>
      </c>
      <c r="I519" s="1">
        <v>115029600</v>
      </c>
    </row>
    <row r="520" spans="1:9" x14ac:dyDescent="0.25">
      <c r="A520" t="str">
        <f>"12004"</f>
        <v>12004</v>
      </c>
      <c r="B520" t="s">
        <v>11</v>
      </c>
      <c r="C520" t="s">
        <v>283</v>
      </c>
      <c r="D520" t="s">
        <v>13</v>
      </c>
      <c r="E520" t="s">
        <v>14</v>
      </c>
      <c r="F520" t="s">
        <v>15</v>
      </c>
      <c r="G520" t="s">
        <v>15</v>
      </c>
      <c r="H520" t="s">
        <v>15</v>
      </c>
      <c r="I520" s="1">
        <v>80924200</v>
      </c>
    </row>
    <row r="521" spans="1:9" x14ac:dyDescent="0.25">
      <c r="A521" t="str">
        <f>"12006"</f>
        <v>12006</v>
      </c>
      <c r="B521" t="s">
        <v>11</v>
      </c>
      <c r="C521" t="s">
        <v>284</v>
      </c>
      <c r="D521" t="s">
        <v>13</v>
      </c>
      <c r="E521" t="s">
        <v>14</v>
      </c>
      <c r="F521" t="s">
        <v>15</v>
      </c>
      <c r="G521" t="s">
        <v>15</v>
      </c>
      <c r="H521" t="s">
        <v>15</v>
      </c>
      <c r="I521" s="1">
        <v>76743600</v>
      </c>
    </row>
    <row r="522" spans="1:9" x14ac:dyDescent="0.25">
      <c r="A522" t="str">
        <f>"12008"</f>
        <v>12008</v>
      </c>
      <c r="B522" t="s">
        <v>11</v>
      </c>
      <c r="C522" t="s">
        <v>285</v>
      </c>
      <c r="D522" t="s">
        <v>13</v>
      </c>
      <c r="E522" t="s">
        <v>14</v>
      </c>
      <c r="F522" t="s">
        <v>15</v>
      </c>
      <c r="G522" t="s">
        <v>15</v>
      </c>
      <c r="H522" t="s">
        <v>15</v>
      </c>
      <c r="I522" s="1">
        <v>97088900</v>
      </c>
    </row>
    <row r="523" spans="1:9" x14ac:dyDescent="0.25">
      <c r="A523" t="str">
        <f>"12010"</f>
        <v>12010</v>
      </c>
      <c r="B523" t="s">
        <v>11</v>
      </c>
      <c r="C523" t="s">
        <v>286</v>
      </c>
      <c r="D523" t="s">
        <v>13</v>
      </c>
      <c r="E523" t="s">
        <v>14</v>
      </c>
      <c r="F523" t="s">
        <v>15</v>
      </c>
      <c r="G523" t="s">
        <v>15</v>
      </c>
      <c r="H523" t="s">
        <v>15</v>
      </c>
      <c r="I523" s="1">
        <v>25834000</v>
      </c>
    </row>
    <row r="524" spans="1:9" x14ac:dyDescent="0.25">
      <c r="A524" t="str">
        <f>"12012"</f>
        <v>12012</v>
      </c>
      <c r="B524" t="s">
        <v>11</v>
      </c>
      <c r="C524" t="s">
        <v>287</v>
      </c>
      <c r="D524" t="s">
        <v>13</v>
      </c>
      <c r="E524" t="s">
        <v>14</v>
      </c>
      <c r="F524" t="s">
        <v>15</v>
      </c>
      <c r="G524" t="s">
        <v>15</v>
      </c>
      <c r="H524" t="s">
        <v>15</v>
      </c>
      <c r="I524" s="1">
        <v>46206000</v>
      </c>
    </row>
    <row r="525" spans="1:9" x14ac:dyDescent="0.25">
      <c r="A525" t="str">
        <f>"12014"</f>
        <v>12014</v>
      </c>
      <c r="B525" t="s">
        <v>11</v>
      </c>
      <c r="C525" t="s">
        <v>288</v>
      </c>
      <c r="D525" t="s">
        <v>13</v>
      </c>
      <c r="E525" t="s">
        <v>14</v>
      </c>
      <c r="F525" t="s">
        <v>15</v>
      </c>
      <c r="G525" t="s">
        <v>15</v>
      </c>
      <c r="H525" t="s">
        <v>15</v>
      </c>
      <c r="I525" s="1">
        <v>69852700</v>
      </c>
    </row>
    <row r="526" spans="1:9" x14ac:dyDescent="0.25">
      <c r="A526" t="str">
        <f>"12016"</f>
        <v>12016</v>
      </c>
      <c r="B526" t="s">
        <v>11</v>
      </c>
      <c r="C526" t="s">
        <v>120</v>
      </c>
      <c r="D526" t="s">
        <v>13</v>
      </c>
      <c r="E526" t="s">
        <v>14</v>
      </c>
      <c r="F526" t="s">
        <v>15</v>
      </c>
      <c r="G526" t="s">
        <v>15</v>
      </c>
      <c r="H526" t="s">
        <v>15</v>
      </c>
      <c r="I526" s="1">
        <v>41000400</v>
      </c>
    </row>
    <row r="527" spans="1:9" x14ac:dyDescent="0.25">
      <c r="A527" t="str">
        <f>"12018"</f>
        <v>12018</v>
      </c>
      <c r="B527" t="s">
        <v>11</v>
      </c>
      <c r="C527" t="s">
        <v>289</v>
      </c>
      <c r="D527" t="s">
        <v>13</v>
      </c>
      <c r="E527" t="s">
        <v>14</v>
      </c>
      <c r="F527" t="s">
        <v>15</v>
      </c>
      <c r="G527" t="s">
        <v>15</v>
      </c>
      <c r="H527" t="s">
        <v>15</v>
      </c>
      <c r="I527" s="1">
        <v>98948000</v>
      </c>
    </row>
    <row r="528" spans="1:9" x14ac:dyDescent="0.25">
      <c r="A528" t="str">
        <f>"12020"</f>
        <v>12020</v>
      </c>
      <c r="B528" t="s">
        <v>11</v>
      </c>
      <c r="C528" t="s">
        <v>290</v>
      </c>
      <c r="D528" t="s">
        <v>13</v>
      </c>
      <c r="E528" t="s">
        <v>14</v>
      </c>
      <c r="F528" t="s">
        <v>15</v>
      </c>
      <c r="G528" t="s">
        <v>15</v>
      </c>
      <c r="H528" t="s">
        <v>15</v>
      </c>
      <c r="I528" s="1">
        <v>48851400</v>
      </c>
    </row>
    <row r="529" spans="1:9" x14ac:dyDescent="0.25">
      <c r="A529" t="str">
        <f>"12022"</f>
        <v>12022</v>
      </c>
      <c r="B529" t="s">
        <v>11</v>
      </c>
      <c r="C529" t="s">
        <v>291</v>
      </c>
      <c r="D529" t="s">
        <v>13</v>
      </c>
      <c r="E529" t="s">
        <v>14</v>
      </c>
      <c r="F529" t="s">
        <v>15</v>
      </c>
      <c r="G529" t="s">
        <v>15</v>
      </c>
      <c r="H529" t="s">
        <v>15</v>
      </c>
      <c r="I529" s="1">
        <v>29769900</v>
      </c>
    </row>
    <row r="530" spans="1:9" x14ac:dyDescent="0.25">
      <c r="A530" t="s">
        <v>32</v>
      </c>
      <c r="B530" t="s">
        <v>33</v>
      </c>
      <c r="C530" t="s">
        <v>34</v>
      </c>
      <c r="D530" t="s">
        <v>13</v>
      </c>
      <c r="E530" t="s">
        <v>14</v>
      </c>
      <c r="F530" t="s">
        <v>15</v>
      </c>
      <c r="G530" t="s">
        <v>15</v>
      </c>
      <c r="H530" t="s">
        <v>15</v>
      </c>
      <c r="I530" s="1">
        <v>730248700</v>
      </c>
    </row>
    <row r="531" spans="1:9" x14ac:dyDescent="0.25">
      <c r="A531" t="str">
        <f>"12106"</f>
        <v>12106</v>
      </c>
      <c r="B531" t="s">
        <v>35</v>
      </c>
      <c r="C531" t="s">
        <v>292</v>
      </c>
      <c r="D531" t="s">
        <v>13</v>
      </c>
      <c r="E531" t="s">
        <v>14</v>
      </c>
      <c r="F531" t="s">
        <v>15</v>
      </c>
      <c r="G531" t="s">
        <v>15</v>
      </c>
      <c r="H531" t="s">
        <v>15</v>
      </c>
      <c r="I531" s="1">
        <v>6576000</v>
      </c>
    </row>
    <row r="532" spans="1:9" x14ac:dyDescent="0.25">
      <c r="A532" t="str">
        <f>"12116"</f>
        <v>12116</v>
      </c>
      <c r="B532" t="s">
        <v>35</v>
      </c>
      <c r="C532" t="s">
        <v>293</v>
      </c>
      <c r="D532" t="str">
        <f>"001"</f>
        <v>001</v>
      </c>
      <c r="E532">
        <v>2001</v>
      </c>
      <c r="F532">
        <v>161700</v>
      </c>
      <c r="G532">
        <v>508100</v>
      </c>
      <c r="H532">
        <v>346400</v>
      </c>
    </row>
    <row r="533" spans="1:9" x14ac:dyDescent="0.25">
      <c r="A533" t="str">
        <f>"12116"</f>
        <v>12116</v>
      </c>
      <c r="B533" t="s">
        <v>35</v>
      </c>
      <c r="C533" t="s">
        <v>293</v>
      </c>
      <c r="D533" t="s">
        <v>13</v>
      </c>
      <c r="E533" t="s">
        <v>14</v>
      </c>
      <c r="F533" t="s">
        <v>15</v>
      </c>
      <c r="G533" t="s">
        <v>15</v>
      </c>
      <c r="H533" t="s">
        <v>15</v>
      </c>
      <c r="I533" s="1">
        <v>3875000</v>
      </c>
    </row>
    <row r="534" spans="1:9" x14ac:dyDescent="0.25">
      <c r="A534" t="str">
        <f>"12121"</f>
        <v>12121</v>
      </c>
      <c r="B534" t="s">
        <v>35</v>
      </c>
      <c r="C534" t="s">
        <v>284</v>
      </c>
      <c r="D534" t="s">
        <v>13</v>
      </c>
      <c r="E534" t="s">
        <v>14</v>
      </c>
      <c r="F534" t="s">
        <v>15</v>
      </c>
      <c r="G534" t="s">
        <v>15</v>
      </c>
      <c r="H534" t="s">
        <v>15</v>
      </c>
      <c r="I534" s="1">
        <v>17554500</v>
      </c>
    </row>
    <row r="535" spans="1:9" x14ac:dyDescent="0.25">
      <c r="A535" t="str">
        <f>"12126"</f>
        <v>12126</v>
      </c>
      <c r="B535" t="s">
        <v>35</v>
      </c>
      <c r="C535" t="s">
        <v>294</v>
      </c>
      <c r="D535" t="str">
        <f>"001"</f>
        <v>001</v>
      </c>
      <c r="E535">
        <v>2003</v>
      </c>
      <c r="F535">
        <v>52100</v>
      </c>
      <c r="G535">
        <v>315500</v>
      </c>
      <c r="H535">
        <v>263400</v>
      </c>
    </row>
    <row r="536" spans="1:9" x14ac:dyDescent="0.25">
      <c r="A536" t="str">
        <f>"12126"</f>
        <v>12126</v>
      </c>
      <c r="B536" t="s">
        <v>35</v>
      </c>
      <c r="C536" t="s">
        <v>294</v>
      </c>
      <c r="D536" t="s">
        <v>13</v>
      </c>
      <c r="E536" t="s">
        <v>14</v>
      </c>
      <c r="F536" t="s">
        <v>15</v>
      </c>
      <c r="G536" t="s">
        <v>15</v>
      </c>
      <c r="H536" t="s">
        <v>15</v>
      </c>
      <c r="I536" s="1">
        <v>24497500</v>
      </c>
    </row>
    <row r="537" spans="1:9" x14ac:dyDescent="0.25">
      <c r="A537" t="str">
        <f>"12131"</f>
        <v>12131</v>
      </c>
      <c r="B537" t="s">
        <v>35</v>
      </c>
      <c r="C537" t="s">
        <v>295</v>
      </c>
      <c r="D537" t="str">
        <f>"001"</f>
        <v>001</v>
      </c>
      <c r="E537">
        <v>2000</v>
      </c>
      <c r="F537">
        <v>7900</v>
      </c>
      <c r="G537">
        <v>2555800</v>
      </c>
      <c r="H537">
        <v>2547900</v>
      </c>
    </row>
    <row r="538" spans="1:9" x14ac:dyDescent="0.25">
      <c r="A538" t="str">
        <f>"12131"</f>
        <v>12131</v>
      </c>
      <c r="B538" t="s">
        <v>35</v>
      </c>
      <c r="C538" t="s">
        <v>295</v>
      </c>
      <c r="D538" t="str">
        <f>"003"</f>
        <v>003</v>
      </c>
      <c r="E538">
        <v>2018</v>
      </c>
      <c r="F538">
        <v>0</v>
      </c>
      <c r="G538">
        <v>0</v>
      </c>
      <c r="H538">
        <v>0</v>
      </c>
    </row>
    <row r="539" spans="1:9" x14ac:dyDescent="0.25">
      <c r="A539" t="str">
        <f>"12131"</f>
        <v>12131</v>
      </c>
      <c r="B539" t="s">
        <v>35</v>
      </c>
      <c r="C539" t="s">
        <v>295</v>
      </c>
      <c r="D539" t="str">
        <f>"004"</f>
        <v>004</v>
      </c>
      <c r="E539">
        <v>2018</v>
      </c>
      <c r="F539">
        <v>206800</v>
      </c>
      <c r="G539">
        <v>206700</v>
      </c>
      <c r="H539">
        <v>0</v>
      </c>
    </row>
    <row r="540" spans="1:9" x14ac:dyDescent="0.25">
      <c r="A540" t="str">
        <f>"12131"</f>
        <v>12131</v>
      </c>
      <c r="B540" t="s">
        <v>35</v>
      </c>
      <c r="C540" t="s">
        <v>295</v>
      </c>
      <c r="D540" t="s">
        <v>13</v>
      </c>
      <c r="E540" t="s">
        <v>14</v>
      </c>
      <c r="F540" t="s">
        <v>15</v>
      </c>
      <c r="G540" t="s">
        <v>15</v>
      </c>
      <c r="H540" t="s">
        <v>15</v>
      </c>
      <c r="I540" s="1">
        <v>23772200</v>
      </c>
    </row>
    <row r="541" spans="1:9" x14ac:dyDescent="0.25">
      <c r="A541" t="str">
        <f>"12146"</f>
        <v>12146</v>
      </c>
      <c r="B541" t="s">
        <v>35</v>
      </c>
      <c r="C541" t="s">
        <v>296</v>
      </c>
      <c r="D541" t="s">
        <v>13</v>
      </c>
      <c r="E541" t="s">
        <v>14</v>
      </c>
      <c r="F541" t="s">
        <v>15</v>
      </c>
      <c r="G541" t="s">
        <v>15</v>
      </c>
      <c r="H541" t="s">
        <v>15</v>
      </c>
      <c r="I541" s="1">
        <v>10212100</v>
      </c>
    </row>
    <row r="542" spans="1:9" x14ac:dyDescent="0.25">
      <c r="A542" t="str">
        <f>"12151"</f>
        <v>12151</v>
      </c>
      <c r="B542" t="s">
        <v>35</v>
      </c>
      <c r="C542" t="s">
        <v>297</v>
      </c>
      <c r="D542" t="s">
        <v>13</v>
      </c>
      <c r="E542" t="s">
        <v>14</v>
      </c>
      <c r="F542" t="s">
        <v>15</v>
      </c>
      <c r="G542" t="s">
        <v>15</v>
      </c>
      <c r="H542" t="s">
        <v>15</v>
      </c>
      <c r="I542" s="1">
        <v>7506700</v>
      </c>
    </row>
    <row r="543" spans="1:9" x14ac:dyDescent="0.25">
      <c r="A543" t="str">
        <f>"12181"</f>
        <v>12181</v>
      </c>
      <c r="B543" t="s">
        <v>35</v>
      </c>
      <c r="C543" t="s">
        <v>298</v>
      </c>
      <c r="D543" t="s">
        <v>13</v>
      </c>
      <c r="E543" t="s">
        <v>14</v>
      </c>
      <c r="F543" t="s">
        <v>15</v>
      </c>
      <c r="G543" t="s">
        <v>15</v>
      </c>
      <c r="H543" t="s">
        <v>15</v>
      </c>
      <c r="I543" s="1">
        <v>23992100</v>
      </c>
    </row>
    <row r="544" spans="1:9" x14ac:dyDescent="0.25">
      <c r="A544" t="str">
        <f>"12182"</f>
        <v>12182</v>
      </c>
      <c r="B544" t="s">
        <v>35</v>
      </c>
      <c r="C544" t="s">
        <v>299</v>
      </c>
      <c r="D544" t="s">
        <v>13</v>
      </c>
      <c r="E544" t="s">
        <v>14</v>
      </c>
      <c r="F544" t="s">
        <v>15</v>
      </c>
      <c r="G544" t="s">
        <v>15</v>
      </c>
      <c r="H544" t="s">
        <v>15</v>
      </c>
      <c r="I544" s="1">
        <v>4993100</v>
      </c>
    </row>
    <row r="545" spans="1:9" x14ac:dyDescent="0.25">
      <c r="A545" t="str">
        <f>"12191"</f>
        <v>12191</v>
      </c>
      <c r="B545" t="s">
        <v>35</v>
      </c>
      <c r="C545" t="s">
        <v>291</v>
      </c>
      <c r="D545" t="str">
        <f>"002"</f>
        <v>002</v>
      </c>
      <c r="E545">
        <v>1997</v>
      </c>
      <c r="F545">
        <v>790100</v>
      </c>
      <c r="G545">
        <v>2870700</v>
      </c>
      <c r="H545">
        <v>2080600</v>
      </c>
    </row>
    <row r="546" spans="1:9" x14ac:dyDescent="0.25">
      <c r="A546" t="str">
        <f>"12191"</f>
        <v>12191</v>
      </c>
      <c r="B546" t="s">
        <v>35</v>
      </c>
      <c r="C546" t="s">
        <v>291</v>
      </c>
      <c r="D546" t="s">
        <v>13</v>
      </c>
      <c r="E546" t="s">
        <v>14</v>
      </c>
      <c r="F546" t="s">
        <v>15</v>
      </c>
      <c r="G546" t="s">
        <v>15</v>
      </c>
      <c r="H546" t="s">
        <v>15</v>
      </c>
      <c r="I546" s="1">
        <v>20145300</v>
      </c>
    </row>
    <row r="547" spans="1:9" x14ac:dyDescent="0.25">
      <c r="A547" t="s">
        <v>32</v>
      </c>
      <c r="B547" t="s">
        <v>37</v>
      </c>
      <c r="C547" t="s">
        <v>34</v>
      </c>
      <c r="D547" t="s">
        <v>13</v>
      </c>
      <c r="E547" t="s">
        <v>14</v>
      </c>
      <c r="F547" t="s">
        <v>15</v>
      </c>
      <c r="G547" t="s">
        <v>15</v>
      </c>
      <c r="H547" t="s">
        <v>15</v>
      </c>
      <c r="I547" s="1">
        <v>143124500</v>
      </c>
    </row>
    <row r="548" spans="1:9" x14ac:dyDescent="0.25">
      <c r="A548" t="str">
        <f>"12271"</f>
        <v>12271</v>
      </c>
      <c r="B548" t="s">
        <v>38</v>
      </c>
      <c r="C548" t="s">
        <v>288</v>
      </c>
      <c r="D548" t="str">
        <f>"001E"</f>
        <v>001E</v>
      </c>
      <c r="E548">
        <v>2007</v>
      </c>
      <c r="F548">
        <v>0</v>
      </c>
      <c r="G548">
        <v>518400</v>
      </c>
      <c r="H548">
        <v>518400</v>
      </c>
    </row>
    <row r="549" spans="1:9" x14ac:dyDescent="0.25">
      <c r="A549" t="str">
        <f>"12271"</f>
        <v>12271</v>
      </c>
      <c r="B549" t="s">
        <v>38</v>
      </c>
      <c r="C549" t="s">
        <v>288</v>
      </c>
      <c r="D549" t="str">
        <f>"005"</f>
        <v>005</v>
      </c>
      <c r="E549">
        <v>1994</v>
      </c>
      <c r="F549">
        <v>248800</v>
      </c>
      <c r="G549">
        <v>7530100</v>
      </c>
      <c r="H549">
        <v>7281300</v>
      </c>
    </row>
    <row r="550" spans="1:9" x14ac:dyDescent="0.25">
      <c r="A550" t="str">
        <f>"12271"</f>
        <v>12271</v>
      </c>
      <c r="B550" t="s">
        <v>38</v>
      </c>
      <c r="C550" t="s">
        <v>288</v>
      </c>
      <c r="D550" t="str">
        <f>"006"</f>
        <v>006</v>
      </c>
      <c r="E550">
        <v>1996</v>
      </c>
      <c r="F550">
        <v>929600</v>
      </c>
      <c r="G550">
        <v>46904100</v>
      </c>
      <c r="H550">
        <v>45974500</v>
      </c>
    </row>
    <row r="551" spans="1:9" x14ac:dyDescent="0.25">
      <c r="A551" t="str">
        <f>"12271"</f>
        <v>12271</v>
      </c>
      <c r="B551" t="s">
        <v>38</v>
      </c>
      <c r="C551" t="s">
        <v>288</v>
      </c>
      <c r="D551" t="s">
        <v>13</v>
      </c>
      <c r="E551" t="s">
        <v>14</v>
      </c>
      <c r="F551" t="s">
        <v>15</v>
      </c>
      <c r="G551" t="s">
        <v>15</v>
      </c>
      <c r="H551" t="s">
        <v>15</v>
      </c>
      <c r="I551" s="1">
        <v>325522700</v>
      </c>
    </row>
    <row r="552" spans="1:9" x14ac:dyDescent="0.25">
      <c r="A552" t="s">
        <v>32</v>
      </c>
      <c r="B552" t="s">
        <v>40</v>
      </c>
      <c r="C552" t="s">
        <v>34</v>
      </c>
      <c r="D552" t="s">
        <v>13</v>
      </c>
      <c r="E552" t="s">
        <v>14</v>
      </c>
      <c r="F552" t="s">
        <v>15</v>
      </c>
      <c r="G552" t="s">
        <v>15</v>
      </c>
      <c r="H552" t="s">
        <v>15</v>
      </c>
      <c r="I552" s="1">
        <v>325522700</v>
      </c>
    </row>
    <row r="553" spans="1:9" x14ac:dyDescent="0.25">
      <c r="A553" t="s">
        <v>32</v>
      </c>
      <c r="B553" t="s">
        <v>41</v>
      </c>
      <c r="C553" t="s">
        <v>300</v>
      </c>
      <c r="D553" t="s">
        <v>13</v>
      </c>
      <c r="E553" t="s">
        <v>14</v>
      </c>
      <c r="F553" t="s">
        <v>15</v>
      </c>
      <c r="G553" t="s">
        <v>15</v>
      </c>
      <c r="H553" t="s">
        <v>15</v>
      </c>
      <c r="I553" s="1">
        <v>1198895900</v>
      </c>
    </row>
    <row r="554" spans="1:9" x14ac:dyDescent="0.25">
      <c r="A554" t="str">
        <f>"13002"</f>
        <v>13002</v>
      </c>
      <c r="B554" t="s">
        <v>11</v>
      </c>
      <c r="C554" t="s">
        <v>301</v>
      </c>
      <c r="D554" t="s">
        <v>13</v>
      </c>
      <c r="E554" t="s">
        <v>14</v>
      </c>
      <c r="F554" t="s">
        <v>15</v>
      </c>
      <c r="G554" t="s">
        <v>15</v>
      </c>
      <c r="H554" t="s">
        <v>15</v>
      </c>
      <c r="I554" s="1">
        <v>244023300</v>
      </c>
    </row>
    <row r="555" spans="1:9" x14ac:dyDescent="0.25">
      <c r="A555" t="str">
        <f>"13004"</f>
        <v>13004</v>
      </c>
      <c r="B555" t="s">
        <v>11</v>
      </c>
      <c r="C555" t="s">
        <v>302</v>
      </c>
      <c r="D555" t="s">
        <v>13</v>
      </c>
      <c r="E555" t="s">
        <v>14</v>
      </c>
      <c r="F555" t="s">
        <v>15</v>
      </c>
      <c r="G555" t="s">
        <v>15</v>
      </c>
      <c r="H555" t="s">
        <v>15</v>
      </c>
      <c r="I555" s="1">
        <v>220340700</v>
      </c>
    </row>
    <row r="556" spans="1:9" x14ac:dyDescent="0.25">
      <c r="A556" t="str">
        <f>"13006"</f>
        <v>13006</v>
      </c>
      <c r="B556" t="s">
        <v>11</v>
      </c>
      <c r="C556" t="s">
        <v>303</v>
      </c>
      <c r="D556" t="s">
        <v>13</v>
      </c>
      <c r="E556" t="s">
        <v>14</v>
      </c>
      <c r="F556" t="s">
        <v>15</v>
      </c>
      <c r="G556" t="s">
        <v>15</v>
      </c>
      <c r="H556" t="s">
        <v>15</v>
      </c>
      <c r="I556" s="1">
        <v>79830500</v>
      </c>
    </row>
    <row r="557" spans="1:9" x14ac:dyDescent="0.25">
      <c r="A557" t="str">
        <f>"13008"</f>
        <v>13008</v>
      </c>
      <c r="B557" t="s">
        <v>11</v>
      </c>
      <c r="C557" t="s">
        <v>304</v>
      </c>
      <c r="D557" t="s">
        <v>13</v>
      </c>
      <c r="E557" t="s">
        <v>14</v>
      </c>
      <c r="F557" t="s">
        <v>15</v>
      </c>
      <c r="G557" t="s">
        <v>15</v>
      </c>
      <c r="H557" t="s">
        <v>15</v>
      </c>
      <c r="I557" s="1">
        <v>184017600</v>
      </c>
    </row>
    <row r="558" spans="1:9" x14ac:dyDescent="0.25">
      <c r="A558" t="str">
        <f>"13010"</f>
        <v>13010</v>
      </c>
      <c r="B558" t="s">
        <v>11</v>
      </c>
      <c r="C558" t="s">
        <v>305</v>
      </c>
      <c r="D558" t="s">
        <v>13</v>
      </c>
      <c r="E558" t="s">
        <v>14</v>
      </c>
      <c r="F558" t="s">
        <v>15</v>
      </c>
      <c r="G558" t="s">
        <v>15</v>
      </c>
      <c r="H558" t="s">
        <v>15</v>
      </c>
      <c r="I558" s="1">
        <v>157757900</v>
      </c>
    </row>
    <row r="559" spans="1:9" x14ac:dyDescent="0.25">
      <c r="A559" t="str">
        <f>"13012"</f>
        <v>13012</v>
      </c>
      <c r="B559" t="s">
        <v>11</v>
      </c>
      <c r="C559" t="s">
        <v>306</v>
      </c>
      <c r="D559" t="s">
        <v>13</v>
      </c>
      <c r="E559" t="s">
        <v>14</v>
      </c>
      <c r="F559" t="s">
        <v>15</v>
      </c>
      <c r="G559" t="s">
        <v>15</v>
      </c>
      <c r="H559" t="s">
        <v>15</v>
      </c>
      <c r="I559" s="1">
        <v>587957300</v>
      </c>
    </row>
    <row r="560" spans="1:9" x14ac:dyDescent="0.25">
      <c r="A560" t="str">
        <f>"13014"</f>
        <v>13014</v>
      </c>
      <c r="B560" t="s">
        <v>11</v>
      </c>
      <c r="C560" t="s">
        <v>307</v>
      </c>
      <c r="D560" t="s">
        <v>13</v>
      </c>
      <c r="E560" t="s">
        <v>14</v>
      </c>
      <c r="F560" t="s">
        <v>15</v>
      </c>
      <c r="G560" t="s">
        <v>15</v>
      </c>
      <c r="H560" t="s">
        <v>15</v>
      </c>
      <c r="I560" s="1">
        <v>510552200</v>
      </c>
    </row>
    <row r="561" spans="1:9" x14ac:dyDescent="0.25">
      <c r="A561" t="str">
        <f>"13016"</f>
        <v>13016</v>
      </c>
      <c r="B561" t="s">
        <v>11</v>
      </c>
      <c r="C561" t="s">
        <v>308</v>
      </c>
      <c r="D561" t="s">
        <v>13</v>
      </c>
      <c r="E561" t="s">
        <v>14</v>
      </c>
      <c r="F561" t="s">
        <v>15</v>
      </c>
      <c r="G561" t="s">
        <v>15</v>
      </c>
      <c r="H561" t="s">
        <v>15</v>
      </c>
      <c r="I561" s="1">
        <v>139688900</v>
      </c>
    </row>
    <row r="562" spans="1:9" x14ac:dyDescent="0.25">
      <c r="A562" t="str">
        <f>"13018"</f>
        <v>13018</v>
      </c>
      <c r="B562" t="s">
        <v>11</v>
      </c>
      <c r="C562" t="s">
        <v>309</v>
      </c>
      <c r="D562" t="s">
        <v>13</v>
      </c>
      <c r="E562" t="s">
        <v>14</v>
      </c>
      <c r="F562" t="s">
        <v>15</v>
      </c>
      <c r="G562" t="s">
        <v>15</v>
      </c>
      <c r="H562" t="s">
        <v>15</v>
      </c>
      <c r="I562" s="1">
        <v>460310800</v>
      </c>
    </row>
    <row r="563" spans="1:9" x14ac:dyDescent="0.25">
      <c r="A563" t="str">
        <f>"13020"</f>
        <v>13020</v>
      </c>
      <c r="B563" t="s">
        <v>11</v>
      </c>
      <c r="C563" t="s">
        <v>310</v>
      </c>
      <c r="D563" t="s">
        <v>13</v>
      </c>
      <c r="E563" t="s">
        <v>14</v>
      </c>
      <c r="F563" t="s">
        <v>15</v>
      </c>
      <c r="G563" t="s">
        <v>15</v>
      </c>
      <c r="H563" t="s">
        <v>15</v>
      </c>
      <c r="I563" s="1">
        <v>273379100</v>
      </c>
    </row>
    <row r="564" spans="1:9" x14ac:dyDescent="0.25">
      <c r="A564" t="str">
        <f>"13022"</f>
        <v>13022</v>
      </c>
      <c r="B564" t="s">
        <v>11</v>
      </c>
      <c r="C564" t="s">
        <v>311</v>
      </c>
      <c r="D564" t="s">
        <v>13</v>
      </c>
      <c r="E564" t="s">
        <v>14</v>
      </c>
      <c r="F564" t="s">
        <v>15</v>
      </c>
      <c r="G564" t="s">
        <v>15</v>
      </c>
      <c r="H564" t="s">
        <v>15</v>
      </c>
      <c r="I564" s="1">
        <v>133948200</v>
      </c>
    </row>
    <row r="565" spans="1:9" x14ac:dyDescent="0.25">
      <c r="A565" t="str">
        <f>"13024"</f>
        <v>13024</v>
      </c>
      <c r="B565" t="s">
        <v>11</v>
      </c>
      <c r="C565" t="s">
        <v>312</v>
      </c>
      <c r="D565" t="s">
        <v>13</v>
      </c>
      <c r="E565" t="s">
        <v>14</v>
      </c>
      <c r="F565" t="s">
        <v>15</v>
      </c>
      <c r="G565" t="s">
        <v>15</v>
      </c>
      <c r="H565" t="s">
        <v>15</v>
      </c>
      <c r="I565" s="1">
        <v>206331200</v>
      </c>
    </row>
    <row r="566" spans="1:9" x14ac:dyDescent="0.25">
      <c r="A566" t="str">
        <f>"13026"</f>
        <v>13026</v>
      </c>
      <c r="B566" t="s">
        <v>11</v>
      </c>
      <c r="C566" t="s">
        <v>313</v>
      </c>
      <c r="D566" t="s">
        <v>13</v>
      </c>
      <c r="E566" t="s">
        <v>14</v>
      </c>
      <c r="F566" t="s">
        <v>15</v>
      </c>
      <c r="G566" t="s">
        <v>15</v>
      </c>
      <c r="H566" t="s">
        <v>15</v>
      </c>
      <c r="I566" s="1">
        <v>219794100</v>
      </c>
    </row>
    <row r="567" spans="1:9" x14ac:dyDescent="0.25">
      <c r="A567" t="str">
        <f>"13028"</f>
        <v>13028</v>
      </c>
      <c r="B567" t="s">
        <v>11</v>
      </c>
      <c r="C567" t="s">
        <v>314</v>
      </c>
      <c r="D567" t="s">
        <v>13</v>
      </c>
      <c r="E567" t="s">
        <v>14</v>
      </c>
      <c r="F567" t="s">
        <v>15</v>
      </c>
      <c r="G567" t="s">
        <v>15</v>
      </c>
      <c r="H567" t="s">
        <v>15</v>
      </c>
      <c r="I567" s="1">
        <v>834455200</v>
      </c>
    </row>
    <row r="568" spans="1:9" x14ac:dyDescent="0.25">
      <c r="A568" t="str">
        <f>"13032"</f>
        <v>13032</v>
      </c>
      <c r="B568" t="s">
        <v>11</v>
      </c>
      <c r="C568" t="s">
        <v>315</v>
      </c>
      <c r="D568" t="str">
        <f>"002O"</f>
        <v>002O</v>
      </c>
      <c r="E568">
        <v>2006</v>
      </c>
      <c r="F568">
        <v>24846800</v>
      </c>
      <c r="G568">
        <v>59298300</v>
      </c>
      <c r="H568">
        <v>34451500</v>
      </c>
    </row>
    <row r="569" spans="1:9" x14ac:dyDescent="0.25">
      <c r="A569" t="str">
        <f>"13032"</f>
        <v>13032</v>
      </c>
      <c r="B569" t="s">
        <v>11</v>
      </c>
      <c r="C569" t="s">
        <v>315</v>
      </c>
      <c r="D569" t="s">
        <v>13</v>
      </c>
      <c r="E569" t="s">
        <v>14</v>
      </c>
      <c r="F569" t="s">
        <v>15</v>
      </c>
      <c r="G569" t="s">
        <v>15</v>
      </c>
      <c r="H569" t="s">
        <v>15</v>
      </c>
      <c r="I569" s="1">
        <v>437406700</v>
      </c>
    </row>
    <row r="570" spans="1:9" x14ac:dyDescent="0.25">
      <c r="A570" t="str">
        <f>"13034"</f>
        <v>13034</v>
      </c>
      <c r="B570" t="s">
        <v>11</v>
      </c>
      <c r="C570" t="s">
        <v>316</v>
      </c>
      <c r="D570" t="s">
        <v>13</v>
      </c>
      <c r="E570" t="s">
        <v>14</v>
      </c>
      <c r="F570" t="s">
        <v>15</v>
      </c>
      <c r="G570" t="s">
        <v>15</v>
      </c>
      <c r="H570" t="s">
        <v>15</v>
      </c>
      <c r="I570" s="1">
        <v>136207400</v>
      </c>
    </row>
    <row r="571" spans="1:9" x14ac:dyDescent="0.25">
      <c r="A571" t="str">
        <f>"13036"</f>
        <v>13036</v>
      </c>
      <c r="B571" t="s">
        <v>11</v>
      </c>
      <c r="C571" t="s">
        <v>317</v>
      </c>
      <c r="D571" t="s">
        <v>13</v>
      </c>
      <c r="E571" t="s">
        <v>14</v>
      </c>
      <c r="F571" t="s">
        <v>15</v>
      </c>
      <c r="G571" t="s">
        <v>15</v>
      </c>
      <c r="H571" t="s">
        <v>15</v>
      </c>
      <c r="I571" s="1">
        <v>159482200</v>
      </c>
    </row>
    <row r="572" spans="1:9" x14ac:dyDescent="0.25">
      <c r="A572" t="str">
        <f>"13038"</f>
        <v>13038</v>
      </c>
      <c r="B572" t="s">
        <v>11</v>
      </c>
      <c r="C572" t="s">
        <v>318</v>
      </c>
      <c r="D572" t="s">
        <v>13</v>
      </c>
      <c r="E572" t="s">
        <v>14</v>
      </c>
      <c r="F572" t="s">
        <v>15</v>
      </c>
      <c r="G572" t="s">
        <v>15</v>
      </c>
      <c r="H572" t="s">
        <v>15</v>
      </c>
      <c r="I572" s="1">
        <v>1366516300</v>
      </c>
    </row>
    <row r="573" spans="1:9" x14ac:dyDescent="0.25">
      <c r="A573" t="str">
        <f>"13040"</f>
        <v>13040</v>
      </c>
      <c r="B573" t="s">
        <v>11</v>
      </c>
      <c r="C573" t="s">
        <v>319</v>
      </c>
      <c r="D573" t="s">
        <v>13</v>
      </c>
      <c r="E573" t="s">
        <v>14</v>
      </c>
      <c r="F573" t="s">
        <v>15</v>
      </c>
      <c r="G573" t="s">
        <v>15</v>
      </c>
      <c r="H573" t="s">
        <v>15</v>
      </c>
      <c r="I573" s="1">
        <v>144129900</v>
      </c>
    </row>
    <row r="574" spans="1:9" x14ac:dyDescent="0.25">
      <c r="A574" t="str">
        <f>"13042"</f>
        <v>13042</v>
      </c>
      <c r="B574" t="s">
        <v>11</v>
      </c>
      <c r="C574" t="s">
        <v>320</v>
      </c>
      <c r="D574" t="s">
        <v>13</v>
      </c>
      <c r="E574" t="s">
        <v>14</v>
      </c>
      <c r="F574" t="s">
        <v>15</v>
      </c>
      <c r="G574" t="s">
        <v>15</v>
      </c>
      <c r="H574" t="s">
        <v>15</v>
      </c>
      <c r="I574" s="1">
        <v>457324900</v>
      </c>
    </row>
    <row r="575" spans="1:9" x14ac:dyDescent="0.25">
      <c r="A575" t="str">
        <f>"13044"</f>
        <v>13044</v>
      </c>
      <c r="B575" t="s">
        <v>11</v>
      </c>
      <c r="C575" t="s">
        <v>321</v>
      </c>
      <c r="D575" t="s">
        <v>13</v>
      </c>
      <c r="E575" t="s">
        <v>14</v>
      </c>
      <c r="F575" t="s">
        <v>15</v>
      </c>
      <c r="G575" t="s">
        <v>15</v>
      </c>
      <c r="H575" t="s">
        <v>15</v>
      </c>
      <c r="I575" s="1">
        <v>90247900</v>
      </c>
    </row>
    <row r="576" spans="1:9" x14ac:dyDescent="0.25">
      <c r="A576" t="str">
        <f>"13046"</f>
        <v>13046</v>
      </c>
      <c r="B576" t="s">
        <v>11</v>
      </c>
      <c r="C576" t="s">
        <v>322</v>
      </c>
      <c r="D576" t="s">
        <v>13</v>
      </c>
      <c r="E576" t="s">
        <v>14</v>
      </c>
      <c r="F576" t="s">
        <v>15</v>
      </c>
      <c r="G576" t="s">
        <v>15</v>
      </c>
      <c r="H576" t="s">
        <v>15</v>
      </c>
      <c r="I576" s="1">
        <v>521185000</v>
      </c>
    </row>
    <row r="577" spans="1:9" x14ac:dyDescent="0.25">
      <c r="A577" t="str">
        <f>"13048"</f>
        <v>13048</v>
      </c>
      <c r="B577" t="s">
        <v>11</v>
      </c>
      <c r="C577" t="s">
        <v>323</v>
      </c>
      <c r="D577" t="s">
        <v>13</v>
      </c>
      <c r="E577" t="s">
        <v>14</v>
      </c>
      <c r="F577" t="s">
        <v>15</v>
      </c>
      <c r="G577" t="s">
        <v>15</v>
      </c>
      <c r="H577" t="s">
        <v>15</v>
      </c>
      <c r="I577" s="1">
        <v>100938600</v>
      </c>
    </row>
    <row r="578" spans="1:9" x14ac:dyDescent="0.25">
      <c r="A578" t="str">
        <f>"13050"</f>
        <v>13050</v>
      </c>
      <c r="B578" t="s">
        <v>11</v>
      </c>
      <c r="C578" t="s">
        <v>324</v>
      </c>
      <c r="D578" t="s">
        <v>13</v>
      </c>
      <c r="E578" t="s">
        <v>14</v>
      </c>
      <c r="F578" t="s">
        <v>15</v>
      </c>
      <c r="G578" t="s">
        <v>15</v>
      </c>
      <c r="H578" t="s">
        <v>15</v>
      </c>
      <c r="I578" s="1">
        <v>265038400</v>
      </c>
    </row>
    <row r="579" spans="1:9" x14ac:dyDescent="0.25">
      <c r="A579" t="str">
        <f>"13052"</f>
        <v>13052</v>
      </c>
      <c r="B579" t="s">
        <v>11</v>
      </c>
      <c r="C579" t="s">
        <v>325</v>
      </c>
      <c r="D579" t="s">
        <v>13</v>
      </c>
      <c r="E579" t="s">
        <v>14</v>
      </c>
      <c r="F579" t="s">
        <v>15</v>
      </c>
      <c r="G579" t="s">
        <v>15</v>
      </c>
      <c r="H579" t="s">
        <v>15</v>
      </c>
      <c r="I579" s="1">
        <v>281682200</v>
      </c>
    </row>
    <row r="580" spans="1:9" x14ac:dyDescent="0.25">
      <c r="A580" t="str">
        <f>"13054"</f>
        <v>13054</v>
      </c>
      <c r="B580" t="s">
        <v>11</v>
      </c>
      <c r="C580" t="s">
        <v>326</v>
      </c>
      <c r="D580" t="s">
        <v>13</v>
      </c>
      <c r="E580" t="s">
        <v>14</v>
      </c>
      <c r="F580" t="s">
        <v>15</v>
      </c>
      <c r="G580" t="s">
        <v>15</v>
      </c>
      <c r="H580" t="s">
        <v>15</v>
      </c>
      <c r="I580" s="1">
        <v>338618500</v>
      </c>
    </row>
    <row r="581" spans="1:9" x14ac:dyDescent="0.25">
      <c r="A581" t="str">
        <f>"13056"</f>
        <v>13056</v>
      </c>
      <c r="B581" t="s">
        <v>11</v>
      </c>
      <c r="C581" t="s">
        <v>327</v>
      </c>
      <c r="D581" t="str">
        <f>"001E"</f>
        <v>001E</v>
      </c>
      <c r="E581">
        <v>2014</v>
      </c>
      <c r="F581">
        <v>408400</v>
      </c>
      <c r="G581">
        <v>7270200</v>
      </c>
      <c r="H581">
        <v>6861800</v>
      </c>
    </row>
    <row r="582" spans="1:9" x14ac:dyDescent="0.25">
      <c r="A582" t="str">
        <f>"13056"</f>
        <v>13056</v>
      </c>
      <c r="B582" t="s">
        <v>11</v>
      </c>
      <c r="C582" t="s">
        <v>327</v>
      </c>
      <c r="D582" t="s">
        <v>13</v>
      </c>
      <c r="E582" t="s">
        <v>14</v>
      </c>
      <c r="F582" t="s">
        <v>15</v>
      </c>
      <c r="G582" t="s">
        <v>15</v>
      </c>
      <c r="H582" t="s">
        <v>15</v>
      </c>
      <c r="I582" s="1">
        <v>461412000</v>
      </c>
    </row>
    <row r="583" spans="1:9" x14ac:dyDescent="0.25">
      <c r="A583" t="str">
        <f>"13058"</f>
        <v>13058</v>
      </c>
      <c r="B583" t="s">
        <v>11</v>
      </c>
      <c r="C583" t="s">
        <v>328</v>
      </c>
      <c r="D583" t="s">
        <v>13</v>
      </c>
      <c r="E583" t="s">
        <v>14</v>
      </c>
      <c r="F583" t="s">
        <v>15</v>
      </c>
      <c r="G583" t="s">
        <v>15</v>
      </c>
      <c r="H583" t="s">
        <v>15</v>
      </c>
      <c r="I583" s="1">
        <v>312573900</v>
      </c>
    </row>
    <row r="584" spans="1:9" x14ac:dyDescent="0.25">
      <c r="A584" t="str">
        <f>"13060"</f>
        <v>13060</v>
      </c>
      <c r="B584" t="s">
        <v>11</v>
      </c>
      <c r="C584" t="s">
        <v>329</v>
      </c>
      <c r="D584" t="s">
        <v>13</v>
      </c>
      <c r="E584" t="s">
        <v>14</v>
      </c>
      <c r="F584" t="s">
        <v>15</v>
      </c>
      <c r="G584" t="s">
        <v>15</v>
      </c>
      <c r="H584" t="s">
        <v>15</v>
      </c>
      <c r="I584" s="1">
        <v>161650700</v>
      </c>
    </row>
    <row r="585" spans="1:9" x14ac:dyDescent="0.25">
      <c r="A585" t="str">
        <f>"13062"</f>
        <v>13062</v>
      </c>
      <c r="B585" t="s">
        <v>11</v>
      </c>
      <c r="C585" t="s">
        <v>330</v>
      </c>
      <c r="D585" t="s">
        <v>13</v>
      </c>
      <c r="E585" t="s">
        <v>14</v>
      </c>
      <c r="F585" t="s">
        <v>15</v>
      </c>
      <c r="G585" t="s">
        <v>15</v>
      </c>
      <c r="H585" t="s">
        <v>15</v>
      </c>
      <c r="I585" s="1">
        <v>356827800</v>
      </c>
    </row>
    <row r="586" spans="1:9" x14ac:dyDescent="0.25">
      <c r="A586" t="str">
        <f>"13064"</f>
        <v>13064</v>
      </c>
      <c r="B586" t="s">
        <v>11</v>
      </c>
      <c r="C586" t="s">
        <v>331</v>
      </c>
      <c r="D586" t="s">
        <v>13</v>
      </c>
      <c r="E586" t="s">
        <v>14</v>
      </c>
      <c r="F586" t="s">
        <v>15</v>
      </c>
      <c r="G586" t="s">
        <v>15</v>
      </c>
      <c r="H586" t="s">
        <v>15</v>
      </c>
      <c r="I586" s="1">
        <v>263602400</v>
      </c>
    </row>
    <row r="587" spans="1:9" x14ac:dyDescent="0.25">
      <c r="A587" t="str">
        <f>"13066"</f>
        <v>13066</v>
      </c>
      <c r="B587" t="s">
        <v>11</v>
      </c>
      <c r="C587" t="s">
        <v>332</v>
      </c>
      <c r="D587" t="s">
        <v>13</v>
      </c>
      <c r="E587" t="s">
        <v>14</v>
      </c>
      <c r="F587" t="s">
        <v>15</v>
      </c>
      <c r="G587" t="s">
        <v>15</v>
      </c>
      <c r="H587" t="s">
        <v>15</v>
      </c>
      <c r="I587" s="1">
        <v>941015000</v>
      </c>
    </row>
    <row r="588" spans="1:9" x14ac:dyDescent="0.25">
      <c r="A588" t="str">
        <f>"13070"</f>
        <v>13070</v>
      </c>
      <c r="B588" t="s">
        <v>11</v>
      </c>
      <c r="C588" t="s">
        <v>244</v>
      </c>
      <c r="D588" t="s">
        <v>13</v>
      </c>
      <c r="E588" t="s">
        <v>14</v>
      </c>
      <c r="F588" t="s">
        <v>15</v>
      </c>
      <c r="G588" t="s">
        <v>15</v>
      </c>
      <c r="H588" t="s">
        <v>15</v>
      </c>
      <c r="I588" s="1">
        <v>84268900</v>
      </c>
    </row>
    <row r="589" spans="1:9" x14ac:dyDescent="0.25">
      <c r="A589" t="s">
        <v>32</v>
      </c>
      <c r="B589" t="s">
        <v>33</v>
      </c>
      <c r="C589" t="s">
        <v>34</v>
      </c>
      <c r="D589" t="s">
        <v>13</v>
      </c>
      <c r="E589" t="s">
        <v>14</v>
      </c>
      <c r="F589" t="s">
        <v>15</v>
      </c>
      <c r="G589" t="s">
        <v>15</v>
      </c>
      <c r="H589" t="s">
        <v>15</v>
      </c>
      <c r="I589" s="1">
        <v>11132515700</v>
      </c>
    </row>
    <row r="590" spans="1:9" x14ac:dyDescent="0.25">
      <c r="A590" t="str">
        <f>"13106"</f>
        <v>13106</v>
      </c>
      <c r="B590" t="s">
        <v>35</v>
      </c>
      <c r="C590" t="s">
        <v>333</v>
      </c>
      <c r="D590" t="str">
        <f>"003"</f>
        <v>003</v>
      </c>
      <c r="E590">
        <v>2009</v>
      </c>
      <c r="F590">
        <v>162400</v>
      </c>
      <c r="G590">
        <v>5120200</v>
      </c>
      <c r="H590">
        <v>4957800</v>
      </c>
    </row>
    <row r="591" spans="1:9" x14ac:dyDescent="0.25">
      <c r="A591" t="str">
        <f>"13106"</f>
        <v>13106</v>
      </c>
      <c r="B591" t="s">
        <v>35</v>
      </c>
      <c r="C591" t="s">
        <v>333</v>
      </c>
      <c r="D591" t="str">
        <f>"004"</f>
        <v>004</v>
      </c>
      <c r="E591">
        <v>2009</v>
      </c>
      <c r="F591">
        <v>2331600</v>
      </c>
      <c r="G591">
        <v>1741900</v>
      </c>
      <c r="H591">
        <v>0</v>
      </c>
    </row>
    <row r="592" spans="1:9" x14ac:dyDescent="0.25">
      <c r="A592" t="str">
        <f>"13106"</f>
        <v>13106</v>
      </c>
      <c r="B592" t="s">
        <v>35</v>
      </c>
      <c r="C592" t="s">
        <v>333</v>
      </c>
      <c r="D592" t="str">
        <f>"005"</f>
        <v>005</v>
      </c>
      <c r="E592">
        <v>2009</v>
      </c>
      <c r="F592">
        <v>6990200</v>
      </c>
      <c r="G592">
        <v>6157900</v>
      </c>
      <c r="H592">
        <v>0</v>
      </c>
    </row>
    <row r="593" spans="1:9" x14ac:dyDescent="0.25">
      <c r="A593" t="str">
        <f>"13106"</f>
        <v>13106</v>
      </c>
      <c r="B593" t="s">
        <v>35</v>
      </c>
      <c r="C593" t="s">
        <v>333</v>
      </c>
      <c r="D593" t="s">
        <v>13</v>
      </c>
      <c r="E593" t="s">
        <v>14</v>
      </c>
      <c r="F593" t="s">
        <v>15</v>
      </c>
      <c r="G593" t="s">
        <v>15</v>
      </c>
      <c r="H593" t="s">
        <v>15</v>
      </c>
      <c r="I593" s="1">
        <v>189458200</v>
      </c>
    </row>
    <row r="594" spans="1:9" x14ac:dyDescent="0.25">
      <c r="A594" t="str">
        <f>"13107"</f>
        <v>13107</v>
      </c>
      <c r="B594" t="s">
        <v>35</v>
      </c>
      <c r="C594" t="s">
        <v>303</v>
      </c>
      <c r="D594" t="str">
        <f>"003"</f>
        <v>003</v>
      </c>
      <c r="E594">
        <v>2009</v>
      </c>
      <c r="F594">
        <v>3089300</v>
      </c>
      <c r="G594">
        <v>5171700</v>
      </c>
      <c r="H594">
        <v>2082400</v>
      </c>
    </row>
    <row r="595" spans="1:9" x14ac:dyDescent="0.25">
      <c r="A595" t="str">
        <f>"13107"</f>
        <v>13107</v>
      </c>
      <c r="B595" t="s">
        <v>35</v>
      </c>
      <c r="C595" t="s">
        <v>303</v>
      </c>
      <c r="D595" t="str">
        <f>"005"</f>
        <v>005</v>
      </c>
      <c r="E595">
        <v>2018</v>
      </c>
      <c r="F595">
        <v>5748600</v>
      </c>
      <c r="G595">
        <v>6253500</v>
      </c>
      <c r="H595">
        <v>504900</v>
      </c>
    </row>
    <row r="596" spans="1:9" x14ac:dyDescent="0.25">
      <c r="A596" t="str">
        <f>"13107"</f>
        <v>13107</v>
      </c>
      <c r="B596" t="s">
        <v>35</v>
      </c>
      <c r="C596" t="s">
        <v>303</v>
      </c>
      <c r="D596" t="s">
        <v>13</v>
      </c>
      <c r="E596" t="s">
        <v>14</v>
      </c>
      <c r="F596" t="s">
        <v>15</v>
      </c>
      <c r="G596" t="s">
        <v>15</v>
      </c>
      <c r="H596" t="s">
        <v>15</v>
      </c>
      <c r="I596" s="1">
        <v>128719300</v>
      </c>
    </row>
    <row r="597" spans="1:9" x14ac:dyDescent="0.25">
      <c r="A597" t="str">
        <f>"13108"</f>
        <v>13108</v>
      </c>
      <c r="B597" t="s">
        <v>35</v>
      </c>
      <c r="C597" t="s">
        <v>305</v>
      </c>
      <c r="D597" t="s">
        <v>13</v>
      </c>
      <c r="E597" t="s">
        <v>14</v>
      </c>
      <c r="F597" t="s">
        <v>15</v>
      </c>
      <c r="G597" t="s">
        <v>15</v>
      </c>
      <c r="H597" t="s">
        <v>15</v>
      </c>
      <c r="I597" s="1">
        <v>83155400</v>
      </c>
    </row>
    <row r="598" spans="1:9" x14ac:dyDescent="0.25">
      <c r="A598" t="str">
        <f>"13109"</f>
        <v>13109</v>
      </c>
      <c r="B598" t="s">
        <v>35</v>
      </c>
      <c r="C598" t="s">
        <v>334</v>
      </c>
      <c r="D598" t="str">
        <f>"001"</f>
        <v>001</v>
      </c>
      <c r="E598">
        <v>2008</v>
      </c>
      <c r="F598">
        <v>833000</v>
      </c>
      <c r="G598">
        <v>1038900</v>
      </c>
      <c r="H598">
        <v>205900</v>
      </c>
    </row>
    <row r="599" spans="1:9" x14ac:dyDescent="0.25">
      <c r="A599" t="str">
        <f>"13109"</f>
        <v>13109</v>
      </c>
      <c r="B599" t="s">
        <v>35</v>
      </c>
      <c r="C599" t="s">
        <v>334</v>
      </c>
      <c r="D599" t="str">
        <f>"002"</f>
        <v>002</v>
      </c>
      <c r="E599">
        <v>2013</v>
      </c>
      <c r="F599">
        <v>21100</v>
      </c>
      <c r="G599">
        <v>748900</v>
      </c>
      <c r="H599">
        <v>727800</v>
      </c>
    </row>
    <row r="600" spans="1:9" x14ac:dyDescent="0.25">
      <c r="A600" t="str">
        <f>"13109"</f>
        <v>13109</v>
      </c>
      <c r="B600" t="s">
        <v>35</v>
      </c>
      <c r="C600" t="s">
        <v>334</v>
      </c>
      <c r="D600" t="s">
        <v>13</v>
      </c>
      <c r="E600" t="s">
        <v>14</v>
      </c>
      <c r="F600" t="s">
        <v>15</v>
      </c>
      <c r="G600" t="s">
        <v>15</v>
      </c>
      <c r="H600" t="s">
        <v>15</v>
      </c>
      <c r="I600" s="1">
        <v>80321900</v>
      </c>
    </row>
    <row r="601" spans="1:9" x14ac:dyDescent="0.25">
      <c r="A601" t="str">
        <f>"13111"</f>
        <v>13111</v>
      </c>
      <c r="B601" t="s">
        <v>35</v>
      </c>
      <c r="C601" t="s">
        <v>335</v>
      </c>
      <c r="D601" t="str">
        <f>"004"</f>
        <v>004</v>
      </c>
      <c r="E601">
        <v>2013</v>
      </c>
      <c r="F601">
        <v>10041000</v>
      </c>
      <c r="G601">
        <v>13329900</v>
      </c>
      <c r="H601">
        <v>3288900</v>
      </c>
    </row>
    <row r="602" spans="1:9" x14ac:dyDescent="0.25">
      <c r="A602" t="str">
        <f>"13111"</f>
        <v>13111</v>
      </c>
      <c r="B602" t="s">
        <v>35</v>
      </c>
      <c r="C602" t="s">
        <v>335</v>
      </c>
      <c r="D602" t="s">
        <v>13</v>
      </c>
      <c r="E602" t="s">
        <v>14</v>
      </c>
      <c r="F602" t="s">
        <v>15</v>
      </c>
      <c r="G602" t="s">
        <v>15</v>
      </c>
      <c r="H602" t="s">
        <v>15</v>
      </c>
      <c r="I602" s="1">
        <v>163586000</v>
      </c>
    </row>
    <row r="603" spans="1:9" x14ac:dyDescent="0.25">
      <c r="A603" t="str">
        <f t="shared" ref="A603:A609" si="6">"13112"</f>
        <v>13112</v>
      </c>
      <c r="B603" t="s">
        <v>35</v>
      </c>
      <c r="C603" t="s">
        <v>309</v>
      </c>
      <c r="D603" t="str">
        <f>"005"</f>
        <v>005</v>
      </c>
      <c r="E603">
        <v>2003</v>
      </c>
      <c r="F603">
        <v>2896100</v>
      </c>
      <c r="G603">
        <v>67829100</v>
      </c>
      <c r="H603">
        <v>64933000</v>
      </c>
    </row>
    <row r="604" spans="1:9" x14ac:dyDescent="0.25">
      <c r="A604" t="str">
        <f t="shared" si="6"/>
        <v>13112</v>
      </c>
      <c r="B604" t="s">
        <v>35</v>
      </c>
      <c r="C604" t="s">
        <v>309</v>
      </c>
      <c r="D604" t="str">
        <f>"006"</f>
        <v>006</v>
      </c>
      <c r="E604">
        <v>2005</v>
      </c>
      <c r="F604">
        <v>6068800</v>
      </c>
      <c r="G604">
        <v>8649100</v>
      </c>
      <c r="H604">
        <v>2580300</v>
      </c>
    </row>
    <row r="605" spans="1:9" x14ac:dyDescent="0.25">
      <c r="A605" t="str">
        <f t="shared" si="6"/>
        <v>13112</v>
      </c>
      <c r="B605" t="s">
        <v>35</v>
      </c>
      <c r="C605" t="s">
        <v>309</v>
      </c>
      <c r="D605" t="str">
        <f>"007"</f>
        <v>007</v>
      </c>
      <c r="E605">
        <v>2005</v>
      </c>
      <c r="F605">
        <v>14419000</v>
      </c>
      <c r="G605">
        <v>47339200</v>
      </c>
      <c r="H605">
        <v>32920200</v>
      </c>
    </row>
    <row r="606" spans="1:9" x14ac:dyDescent="0.25">
      <c r="A606" t="str">
        <f t="shared" si="6"/>
        <v>13112</v>
      </c>
      <c r="B606" t="s">
        <v>35</v>
      </c>
      <c r="C606" t="s">
        <v>309</v>
      </c>
      <c r="D606" t="str">
        <f>"008"</f>
        <v>008</v>
      </c>
      <c r="E606">
        <v>2018</v>
      </c>
      <c r="F606">
        <v>2611600</v>
      </c>
      <c r="G606">
        <v>2715600</v>
      </c>
      <c r="H606">
        <v>104000</v>
      </c>
    </row>
    <row r="607" spans="1:9" x14ac:dyDescent="0.25">
      <c r="A607" t="str">
        <f t="shared" si="6"/>
        <v>13112</v>
      </c>
      <c r="B607" t="s">
        <v>35</v>
      </c>
      <c r="C607" t="s">
        <v>309</v>
      </c>
      <c r="D607" t="str">
        <f>"009"</f>
        <v>009</v>
      </c>
      <c r="E607">
        <v>2018</v>
      </c>
      <c r="F607">
        <v>9893500</v>
      </c>
      <c r="G607">
        <v>9971900</v>
      </c>
      <c r="H607">
        <v>78400</v>
      </c>
    </row>
    <row r="608" spans="1:9" x14ac:dyDescent="0.25">
      <c r="A608" t="str">
        <f t="shared" si="6"/>
        <v>13112</v>
      </c>
      <c r="B608" t="s">
        <v>35</v>
      </c>
      <c r="C608" t="s">
        <v>309</v>
      </c>
      <c r="D608" t="str">
        <f>"010"</f>
        <v>010</v>
      </c>
      <c r="E608">
        <v>2018</v>
      </c>
      <c r="F608">
        <v>1222000</v>
      </c>
      <c r="G608">
        <v>1268000</v>
      </c>
      <c r="H608">
        <v>46000</v>
      </c>
    </row>
    <row r="609" spans="1:9" x14ac:dyDescent="0.25">
      <c r="A609" t="str">
        <f t="shared" si="6"/>
        <v>13112</v>
      </c>
      <c r="B609" t="s">
        <v>35</v>
      </c>
      <c r="C609" t="s">
        <v>309</v>
      </c>
      <c r="D609" t="s">
        <v>13</v>
      </c>
      <c r="E609" t="s">
        <v>14</v>
      </c>
      <c r="F609" t="s">
        <v>15</v>
      </c>
      <c r="G609" t="s">
        <v>15</v>
      </c>
      <c r="H609" t="s">
        <v>15</v>
      </c>
      <c r="I609" s="1">
        <v>698056700</v>
      </c>
    </row>
    <row r="610" spans="1:9" x14ac:dyDescent="0.25">
      <c r="A610" t="str">
        <f>"13113"</f>
        <v>13113</v>
      </c>
      <c r="B610" t="s">
        <v>35</v>
      </c>
      <c r="C610" t="s">
        <v>310</v>
      </c>
      <c r="D610" t="str">
        <f>"003"</f>
        <v>003</v>
      </c>
      <c r="E610">
        <v>2008</v>
      </c>
      <c r="F610">
        <v>28128600</v>
      </c>
      <c r="G610">
        <v>62492400</v>
      </c>
      <c r="H610">
        <v>34363800</v>
      </c>
    </row>
    <row r="611" spans="1:9" x14ac:dyDescent="0.25">
      <c r="A611" t="str">
        <f>"13113"</f>
        <v>13113</v>
      </c>
      <c r="B611" t="s">
        <v>35</v>
      </c>
      <c r="C611" t="s">
        <v>310</v>
      </c>
      <c r="D611" t="s">
        <v>13</v>
      </c>
      <c r="E611" t="s">
        <v>14</v>
      </c>
      <c r="F611" t="s">
        <v>15</v>
      </c>
      <c r="G611" t="s">
        <v>15</v>
      </c>
      <c r="H611" t="s">
        <v>15</v>
      </c>
      <c r="I611" s="1">
        <v>388869800</v>
      </c>
    </row>
    <row r="612" spans="1:9" x14ac:dyDescent="0.25">
      <c r="A612" t="str">
        <f>"13116"</f>
        <v>13116</v>
      </c>
      <c r="B612" t="s">
        <v>35</v>
      </c>
      <c r="C612" t="s">
        <v>311</v>
      </c>
      <c r="D612" t="str">
        <f>"002"</f>
        <v>002</v>
      </c>
      <c r="E612">
        <v>2007</v>
      </c>
      <c r="F612">
        <v>4426100</v>
      </c>
      <c r="G612">
        <v>5620600</v>
      </c>
      <c r="H612">
        <v>1194500</v>
      </c>
    </row>
    <row r="613" spans="1:9" x14ac:dyDescent="0.25">
      <c r="A613" t="str">
        <f>"13116"</f>
        <v>13116</v>
      </c>
      <c r="B613" t="s">
        <v>35</v>
      </c>
      <c r="C613" t="s">
        <v>311</v>
      </c>
      <c r="D613" t="s">
        <v>13</v>
      </c>
      <c r="E613" t="s">
        <v>14</v>
      </c>
      <c r="F613" t="s">
        <v>15</v>
      </c>
      <c r="G613" t="s">
        <v>15</v>
      </c>
      <c r="H613" t="s">
        <v>15</v>
      </c>
      <c r="I613" s="1">
        <v>103011600</v>
      </c>
    </row>
    <row r="614" spans="1:9" x14ac:dyDescent="0.25">
      <c r="A614" t="str">
        <f>"13117"</f>
        <v>13117</v>
      </c>
      <c r="B614" t="s">
        <v>35</v>
      </c>
      <c r="C614" t="s">
        <v>312</v>
      </c>
      <c r="D614" t="str">
        <f>"003"</f>
        <v>003</v>
      </c>
      <c r="E614">
        <v>2005</v>
      </c>
      <c r="F614">
        <v>9970400</v>
      </c>
      <c r="G614">
        <v>34207700</v>
      </c>
      <c r="H614">
        <v>24237300</v>
      </c>
    </row>
    <row r="615" spans="1:9" x14ac:dyDescent="0.25">
      <c r="A615" t="str">
        <f>"13117"</f>
        <v>13117</v>
      </c>
      <c r="B615" t="s">
        <v>35</v>
      </c>
      <c r="C615" t="s">
        <v>312</v>
      </c>
      <c r="D615" t="str">
        <f>"004"</f>
        <v>004</v>
      </c>
      <c r="E615">
        <v>2007</v>
      </c>
      <c r="F615">
        <v>2401400</v>
      </c>
      <c r="G615">
        <v>1985600</v>
      </c>
      <c r="H615">
        <v>0</v>
      </c>
    </row>
    <row r="616" spans="1:9" x14ac:dyDescent="0.25">
      <c r="A616" t="str">
        <f>"13117"</f>
        <v>13117</v>
      </c>
      <c r="B616" t="s">
        <v>35</v>
      </c>
      <c r="C616" t="s">
        <v>312</v>
      </c>
      <c r="D616" t="str">
        <f>"005"</f>
        <v>005</v>
      </c>
      <c r="E616">
        <v>2008</v>
      </c>
      <c r="F616">
        <v>11700</v>
      </c>
      <c r="G616">
        <v>312600</v>
      </c>
      <c r="H616">
        <v>300900</v>
      </c>
    </row>
    <row r="617" spans="1:9" x14ac:dyDescent="0.25">
      <c r="A617" t="str">
        <f>"13117"</f>
        <v>13117</v>
      </c>
      <c r="B617" t="s">
        <v>35</v>
      </c>
      <c r="C617" t="s">
        <v>312</v>
      </c>
      <c r="D617" t="s">
        <v>13</v>
      </c>
      <c r="E617" t="s">
        <v>14</v>
      </c>
      <c r="F617" t="s">
        <v>15</v>
      </c>
      <c r="G617" t="s">
        <v>15</v>
      </c>
      <c r="H617" t="s">
        <v>15</v>
      </c>
      <c r="I617" s="1">
        <v>216787300</v>
      </c>
    </row>
    <row r="618" spans="1:9" x14ac:dyDescent="0.25">
      <c r="A618" t="str">
        <f t="shared" ref="A618:A626" si="7">"13118"</f>
        <v>13118</v>
      </c>
      <c r="B618" t="s">
        <v>35</v>
      </c>
      <c r="C618" t="s">
        <v>336</v>
      </c>
      <c r="D618" t="str">
        <f>"002"</f>
        <v>002</v>
      </c>
      <c r="E618">
        <v>2009</v>
      </c>
      <c r="F618">
        <v>27900</v>
      </c>
      <c r="G618">
        <v>42753200</v>
      </c>
      <c r="H618">
        <v>42725300</v>
      </c>
    </row>
    <row r="619" spans="1:9" x14ac:dyDescent="0.25">
      <c r="A619" t="str">
        <f t="shared" si="7"/>
        <v>13118</v>
      </c>
      <c r="B619" t="s">
        <v>35</v>
      </c>
      <c r="C619" t="s">
        <v>336</v>
      </c>
      <c r="D619" t="str">
        <f>"003"</f>
        <v>003</v>
      </c>
      <c r="E619">
        <v>2009</v>
      </c>
      <c r="F619">
        <v>981900</v>
      </c>
      <c r="G619">
        <v>15521900</v>
      </c>
      <c r="H619">
        <v>14540000</v>
      </c>
    </row>
    <row r="620" spans="1:9" x14ac:dyDescent="0.25">
      <c r="A620" t="str">
        <f t="shared" si="7"/>
        <v>13118</v>
      </c>
      <c r="B620" t="s">
        <v>35</v>
      </c>
      <c r="C620" t="s">
        <v>336</v>
      </c>
      <c r="D620" t="str">
        <f>"004"</f>
        <v>004</v>
      </c>
      <c r="E620">
        <v>2009</v>
      </c>
      <c r="F620">
        <v>345700</v>
      </c>
      <c r="G620">
        <v>39031500</v>
      </c>
      <c r="H620">
        <v>38685800</v>
      </c>
    </row>
    <row r="621" spans="1:9" x14ac:dyDescent="0.25">
      <c r="A621" t="str">
        <f t="shared" si="7"/>
        <v>13118</v>
      </c>
      <c r="B621" t="s">
        <v>35</v>
      </c>
      <c r="C621" t="s">
        <v>336</v>
      </c>
      <c r="D621" t="str">
        <f>"005"</f>
        <v>005</v>
      </c>
      <c r="E621">
        <v>2010</v>
      </c>
      <c r="F621">
        <v>350500</v>
      </c>
      <c r="G621">
        <v>15788500</v>
      </c>
      <c r="H621">
        <v>15438000</v>
      </c>
    </row>
    <row r="622" spans="1:9" x14ac:dyDescent="0.25">
      <c r="A622" t="str">
        <f t="shared" si="7"/>
        <v>13118</v>
      </c>
      <c r="B622" t="s">
        <v>35</v>
      </c>
      <c r="C622" t="s">
        <v>336</v>
      </c>
      <c r="D622" t="str">
        <f>"006"</f>
        <v>006</v>
      </c>
      <c r="E622">
        <v>2011</v>
      </c>
      <c r="F622">
        <v>2764600</v>
      </c>
      <c r="G622">
        <v>29853100</v>
      </c>
      <c r="H622">
        <v>27088500</v>
      </c>
    </row>
    <row r="623" spans="1:9" x14ac:dyDescent="0.25">
      <c r="A623" t="str">
        <f t="shared" si="7"/>
        <v>13118</v>
      </c>
      <c r="B623" t="s">
        <v>35</v>
      </c>
      <c r="C623" t="s">
        <v>336</v>
      </c>
      <c r="D623" t="str">
        <f>"007"</f>
        <v>007</v>
      </c>
      <c r="E623">
        <v>2011</v>
      </c>
      <c r="F623">
        <v>4492000</v>
      </c>
      <c r="G623">
        <v>19322800</v>
      </c>
      <c r="H623">
        <v>14830800</v>
      </c>
    </row>
    <row r="624" spans="1:9" x14ac:dyDescent="0.25">
      <c r="A624" t="str">
        <f t="shared" si="7"/>
        <v>13118</v>
      </c>
      <c r="B624" t="s">
        <v>35</v>
      </c>
      <c r="C624" t="s">
        <v>336</v>
      </c>
      <c r="D624" t="str">
        <f>"008"</f>
        <v>008</v>
      </c>
      <c r="E624">
        <v>2017</v>
      </c>
      <c r="F624">
        <v>6728400</v>
      </c>
      <c r="G624">
        <v>34330800</v>
      </c>
      <c r="H624">
        <v>27602400</v>
      </c>
    </row>
    <row r="625" spans="1:9" x14ac:dyDescent="0.25">
      <c r="A625" t="str">
        <f t="shared" si="7"/>
        <v>13118</v>
      </c>
      <c r="B625" t="s">
        <v>35</v>
      </c>
      <c r="C625" t="s">
        <v>336</v>
      </c>
      <c r="D625" t="str">
        <f>"009"</f>
        <v>009</v>
      </c>
      <c r="E625">
        <v>2017</v>
      </c>
      <c r="F625">
        <v>7580900</v>
      </c>
      <c r="G625">
        <v>21891200</v>
      </c>
      <c r="H625">
        <v>14310300</v>
      </c>
    </row>
    <row r="626" spans="1:9" x14ac:dyDescent="0.25">
      <c r="A626" t="str">
        <f t="shared" si="7"/>
        <v>13118</v>
      </c>
      <c r="B626" t="s">
        <v>35</v>
      </c>
      <c r="C626" t="s">
        <v>336</v>
      </c>
      <c r="D626" t="s">
        <v>13</v>
      </c>
      <c r="E626" t="s">
        <v>14</v>
      </c>
      <c r="F626" t="s">
        <v>15</v>
      </c>
      <c r="G626" t="s">
        <v>15</v>
      </c>
      <c r="H626" t="s">
        <v>15</v>
      </c>
      <c r="I626" s="1">
        <v>1140802000</v>
      </c>
    </row>
    <row r="627" spans="1:9" x14ac:dyDescent="0.25">
      <c r="A627" t="str">
        <f>"13151"</f>
        <v>13151</v>
      </c>
      <c r="B627" t="s">
        <v>35</v>
      </c>
      <c r="C627" t="s">
        <v>337</v>
      </c>
      <c r="D627" t="str">
        <f>"001"</f>
        <v>001</v>
      </c>
      <c r="E627">
        <v>2014</v>
      </c>
      <c r="F627">
        <v>5689400</v>
      </c>
      <c r="G627">
        <v>8178900</v>
      </c>
      <c r="H627">
        <v>2489500</v>
      </c>
    </row>
    <row r="628" spans="1:9" x14ac:dyDescent="0.25">
      <c r="A628" t="str">
        <f>"13151"</f>
        <v>13151</v>
      </c>
      <c r="B628" t="s">
        <v>35</v>
      </c>
      <c r="C628" t="s">
        <v>337</v>
      </c>
      <c r="D628" t="s">
        <v>13</v>
      </c>
      <c r="E628" t="s">
        <v>14</v>
      </c>
      <c r="F628" t="s">
        <v>15</v>
      </c>
      <c r="G628" t="s">
        <v>15</v>
      </c>
      <c r="H628" t="s">
        <v>15</v>
      </c>
      <c r="I628" s="1">
        <v>467585100</v>
      </c>
    </row>
    <row r="629" spans="1:9" x14ac:dyDescent="0.25">
      <c r="A629" t="str">
        <f>"13152"</f>
        <v>13152</v>
      </c>
      <c r="B629" t="s">
        <v>35</v>
      </c>
      <c r="C629" t="s">
        <v>338</v>
      </c>
      <c r="D629" t="str">
        <f>"002"</f>
        <v>002</v>
      </c>
      <c r="E629">
        <v>2018</v>
      </c>
      <c r="F629">
        <v>14377100</v>
      </c>
      <c r="G629">
        <v>19103700</v>
      </c>
      <c r="H629">
        <v>4726600</v>
      </c>
    </row>
    <row r="630" spans="1:9" x14ac:dyDescent="0.25">
      <c r="A630" t="str">
        <f>"13152"</f>
        <v>13152</v>
      </c>
      <c r="B630" t="s">
        <v>35</v>
      </c>
      <c r="C630" t="s">
        <v>338</v>
      </c>
      <c r="D630" t="s">
        <v>13</v>
      </c>
      <c r="E630" t="s">
        <v>14</v>
      </c>
      <c r="F630" t="s">
        <v>15</v>
      </c>
      <c r="G630" t="s">
        <v>15</v>
      </c>
      <c r="H630" t="s">
        <v>15</v>
      </c>
      <c r="I630" s="1">
        <v>230117300</v>
      </c>
    </row>
    <row r="631" spans="1:9" x14ac:dyDescent="0.25">
      <c r="A631" t="str">
        <f>"13153"</f>
        <v>13153</v>
      </c>
      <c r="B631" t="s">
        <v>35</v>
      </c>
      <c r="C631" t="s">
        <v>316</v>
      </c>
      <c r="D631" t="str">
        <f>"004"</f>
        <v>004</v>
      </c>
      <c r="E631">
        <v>2005</v>
      </c>
      <c r="F631">
        <v>5583500</v>
      </c>
      <c r="G631">
        <v>17604800</v>
      </c>
      <c r="H631">
        <v>12021300</v>
      </c>
    </row>
    <row r="632" spans="1:9" x14ac:dyDescent="0.25">
      <c r="A632" t="str">
        <f>"13153"</f>
        <v>13153</v>
      </c>
      <c r="B632" t="s">
        <v>35</v>
      </c>
      <c r="C632" t="s">
        <v>316</v>
      </c>
      <c r="D632" t="str">
        <f>"005"</f>
        <v>005</v>
      </c>
      <c r="E632">
        <v>2005</v>
      </c>
      <c r="F632">
        <v>4594600</v>
      </c>
      <c r="G632">
        <v>5394200</v>
      </c>
      <c r="H632">
        <v>799600</v>
      </c>
    </row>
    <row r="633" spans="1:9" x14ac:dyDescent="0.25">
      <c r="A633" t="str">
        <f>"13153"</f>
        <v>13153</v>
      </c>
      <c r="B633" t="s">
        <v>35</v>
      </c>
      <c r="C633" t="s">
        <v>316</v>
      </c>
      <c r="D633" t="s">
        <v>13</v>
      </c>
      <c r="E633" t="s">
        <v>14</v>
      </c>
      <c r="F633" t="s">
        <v>15</v>
      </c>
      <c r="G633" t="s">
        <v>15</v>
      </c>
      <c r="H633" t="s">
        <v>15</v>
      </c>
      <c r="I633" s="1">
        <v>160331500</v>
      </c>
    </row>
    <row r="634" spans="1:9" x14ac:dyDescent="0.25">
      <c r="A634" t="str">
        <f>"13154"</f>
        <v>13154</v>
      </c>
      <c r="B634" t="s">
        <v>35</v>
      </c>
      <c r="C634" t="s">
        <v>339</v>
      </c>
      <c r="D634" t="str">
        <f>"003"</f>
        <v>003</v>
      </c>
      <c r="E634">
        <v>2004</v>
      </c>
      <c r="F634">
        <v>26997400</v>
      </c>
      <c r="G634">
        <v>65976300</v>
      </c>
      <c r="H634">
        <v>38978900</v>
      </c>
    </row>
    <row r="635" spans="1:9" x14ac:dyDescent="0.25">
      <c r="A635" t="str">
        <f>"13154"</f>
        <v>13154</v>
      </c>
      <c r="B635" t="s">
        <v>35</v>
      </c>
      <c r="C635" t="s">
        <v>339</v>
      </c>
      <c r="D635" t="str">
        <f>"004"</f>
        <v>004</v>
      </c>
      <c r="E635">
        <v>2008</v>
      </c>
      <c r="F635">
        <v>7583100</v>
      </c>
      <c r="G635">
        <v>11661500</v>
      </c>
      <c r="H635">
        <v>4078400</v>
      </c>
    </row>
    <row r="636" spans="1:9" x14ac:dyDescent="0.25">
      <c r="A636" t="str">
        <f>"13154"</f>
        <v>13154</v>
      </c>
      <c r="B636" t="s">
        <v>35</v>
      </c>
      <c r="C636" t="s">
        <v>339</v>
      </c>
      <c r="D636" t="str">
        <f>"005"</f>
        <v>005</v>
      </c>
      <c r="E636">
        <v>2018</v>
      </c>
      <c r="F636">
        <v>17030100</v>
      </c>
      <c r="G636">
        <v>17863700</v>
      </c>
      <c r="H636">
        <v>833600</v>
      </c>
    </row>
    <row r="637" spans="1:9" x14ac:dyDescent="0.25">
      <c r="A637" t="str">
        <f>"13154"</f>
        <v>13154</v>
      </c>
      <c r="B637" t="s">
        <v>35</v>
      </c>
      <c r="C637" t="s">
        <v>339</v>
      </c>
      <c r="D637" t="s">
        <v>13</v>
      </c>
      <c r="E637" t="s">
        <v>14</v>
      </c>
      <c r="F637" t="s">
        <v>15</v>
      </c>
      <c r="G637" t="s">
        <v>15</v>
      </c>
      <c r="H637" t="s">
        <v>15</v>
      </c>
      <c r="I637" s="1">
        <v>1012262700</v>
      </c>
    </row>
    <row r="638" spans="1:9" x14ac:dyDescent="0.25">
      <c r="A638" t="str">
        <f>"13157"</f>
        <v>13157</v>
      </c>
      <c r="B638" t="s">
        <v>35</v>
      </c>
      <c r="C638" t="s">
        <v>340</v>
      </c>
      <c r="D638" t="str">
        <f>"003"</f>
        <v>003</v>
      </c>
      <c r="E638">
        <v>2004</v>
      </c>
      <c r="F638">
        <v>2588300</v>
      </c>
      <c r="G638">
        <v>35510700</v>
      </c>
      <c r="H638">
        <v>32922400</v>
      </c>
    </row>
    <row r="639" spans="1:9" x14ac:dyDescent="0.25">
      <c r="A639" t="str">
        <f>"13157"</f>
        <v>13157</v>
      </c>
      <c r="B639" t="s">
        <v>35</v>
      </c>
      <c r="C639" t="s">
        <v>340</v>
      </c>
      <c r="D639" t="str">
        <f>"004"</f>
        <v>004</v>
      </c>
      <c r="E639">
        <v>2007</v>
      </c>
      <c r="F639">
        <v>3948100</v>
      </c>
      <c r="G639">
        <v>8699100</v>
      </c>
      <c r="H639">
        <v>4751000</v>
      </c>
    </row>
    <row r="640" spans="1:9" x14ac:dyDescent="0.25">
      <c r="A640" t="str">
        <f>"13157"</f>
        <v>13157</v>
      </c>
      <c r="B640" t="s">
        <v>35</v>
      </c>
      <c r="C640" t="s">
        <v>340</v>
      </c>
      <c r="D640" t="str">
        <f>"005"</f>
        <v>005</v>
      </c>
      <c r="E640">
        <v>2016</v>
      </c>
      <c r="F640">
        <v>25350000</v>
      </c>
      <c r="G640">
        <v>53132900</v>
      </c>
      <c r="H640">
        <v>27782900</v>
      </c>
    </row>
    <row r="641" spans="1:9" x14ac:dyDescent="0.25">
      <c r="A641" t="str">
        <f>"13157"</f>
        <v>13157</v>
      </c>
      <c r="B641" t="s">
        <v>35</v>
      </c>
      <c r="C641" t="s">
        <v>340</v>
      </c>
      <c r="D641" t="s">
        <v>13</v>
      </c>
      <c r="E641" t="s">
        <v>14</v>
      </c>
      <c r="F641" t="s">
        <v>15</v>
      </c>
      <c r="G641" t="s">
        <v>15</v>
      </c>
      <c r="H641" t="s">
        <v>15</v>
      </c>
      <c r="I641" s="1">
        <v>728367800</v>
      </c>
    </row>
    <row r="642" spans="1:9" x14ac:dyDescent="0.25">
      <c r="A642" t="str">
        <f>"13165"</f>
        <v>13165</v>
      </c>
      <c r="B642" t="s">
        <v>35</v>
      </c>
      <c r="C642" t="s">
        <v>320</v>
      </c>
      <c r="D642" t="str">
        <f>"003"</f>
        <v>003</v>
      </c>
      <c r="E642">
        <v>2005</v>
      </c>
      <c r="F642">
        <v>15880800</v>
      </c>
      <c r="G642">
        <v>25918800</v>
      </c>
      <c r="H642">
        <v>10038000</v>
      </c>
    </row>
    <row r="643" spans="1:9" x14ac:dyDescent="0.25">
      <c r="A643" t="str">
        <f>"13165"</f>
        <v>13165</v>
      </c>
      <c r="B643" t="s">
        <v>35</v>
      </c>
      <c r="C643" t="s">
        <v>320</v>
      </c>
      <c r="D643" t="str">
        <f>"004"</f>
        <v>004</v>
      </c>
      <c r="E643">
        <v>2008</v>
      </c>
      <c r="F643">
        <v>12818100</v>
      </c>
      <c r="G643">
        <v>15147500</v>
      </c>
      <c r="H643">
        <v>2329400</v>
      </c>
    </row>
    <row r="644" spans="1:9" x14ac:dyDescent="0.25">
      <c r="A644" t="str">
        <f>"13165"</f>
        <v>13165</v>
      </c>
      <c r="B644" t="s">
        <v>35</v>
      </c>
      <c r="C644" t="s">
        <v>320</v>
      </c>
      <c r="D644" t="str">
        <f>"005"</f>
        <v>005</v>
      </c>
      <c r="E644">
        <v>2017</v>
      </c>
      <c r="F644">
        <v>53696700</v>
      </c>
      <c r="G644">
        <v>60910200</v>
      </c>
      <c r="H644">
        <v>7213500</v>
      </c>
    </row>
    <row r="645" spans="1:9" x14ac:dyDescent="0.25">
      <c r="A645" t="str">
        <f>"13165"</f>
        <v>13165</v>
      </c>
      <c r="B645" t="s">
        <v>35</v>
      </c>
      <c r="C645" t="s">
        <v>320</v>
      </c>
      <c r="D645" t="s">
        <v>13</v>
      </c>
      <c r="E645" t="s">
        <v>14</v>
      </c>
      <c r="F645" t="s">
        <v>15</v>
      </c>
      <c r="G645" t="s">
        <v>15</v>
      </c>
      <c r="H645" t="s">
        <v>15</v>
      </c>
      <c r="I645" s="1">
        <v>1212814500</v>
      </c>
    </row>
    <row r="646" spans="1:9" x14ac:dyDescent="0.25">
      <c r="A646" t="str">
        <f>"13176"</f>
        <v>13176</v>
      </c>
      <c r="B646" t="s">
        <v>35</v>
      </c>
      <c r="C646" t="s">
        <v>341</v>
      </c>
      <c r="D646" t="s">
        <v>13</v>
      </c>
      <c r="E646" t="s">
        <v>14</v>
      </c>
      <c r="F646" t="s">
        <v>15</v>
      </c>
      <c r="G646" t="s">
        <v>15</v>
      </c>
      <c r="H646" t="s">
        <v>15</v>
      </c>
      <c r="I646" s="1">
        <v>16260700</v>
      </c>
    </row>
    <row r="647" spans="1:9" x14ac:dyDescent="0.25">
      <c r="A647" t="str">
        <f>"13181"</f>
        <v>13181</v>
      </c>
      <c r="B647" t="s">
        <v>35</v>
      </c>
      <c r="C647" t="s">
        <v>342</v>
      </c>
      <c r="D647" t="str">
        <f>"003"</f>
        <v>003</v>
      </c>
      <c r="E647">
        <v>2008</v>
      </c>
      <c r="F647">
        <v>21225400</v>
      </c>
      <c r="G647">
        <v>64617600</v>
      </c>
      <c r="H647">
        <v>43392200</v>
      </c>
    </row>
    <row r="648" spans="1:9" x14ac:dyDescent="0.25">
      <c r="A648" t="str">
        <f>"13181"</f>
        <v>13181</v>
      </c>
      <c r="B648" t="s">
        <v>35</v>
      </c>
      <c r="C648" t="s">
        <v>342</v>
      </c>
      <c r="D648" t="str">
        <f>"004"</f>
        <v>004</v>
      </c>
      <c r="E648">
        <v>2010</v>
      </c>
      <c r="F648">
        <v>8265800</v>
      </c>
      <c r="G648">
        <v>22423700</v>
      </c>
      <c r="H648">
        <v>14157900</v>
      </c>
    </row>
    <row r="649" spans="1:9" x14ac:dyDescent="0.25">
      <c r="A649" t="str">
        <f>"13181"</f>
        <v>13181</v>
      </c>
      <c r="B649" t="s">
        <v>35</v>
      </c>
      <c r="C649" t="s">
        <v>342</v>
      </c>
      <c r="D649" t="str">
        <f>"005"</f>
        <v>005</v>
      </c>
      <c r="E649">
        <v>2016</v>
      </c>
      <c r="F649">
        <v>4252600</v>
      </c>
      <c r="G649">
        <v>12148800</v>
      </c>
      <c r="H649">
        <v>7896200</v>
      </c>
    </row>
    <row r="650" spans="1:9" x14ac:dyDescent="0.25">
      <c r="A650" t="str">
        <f>"13181"</f>
        <v>13181</v>
      </c>
      <c r="B650" t="s">
        <v>35</v>
      </c>
      <c r="C650" t="s">
        <v>342</v>
      </c>
      <c r="D650" t="s">
        <v>13</v>
      </c>
      <c r="E650" t="s">
        <v>14</v>
      </c>
      <c r="F650" t="s">
        <v>15</v>
      </c>
      <c r="G650" t="s">
        <v>15</v>
      </c>
      <c r="H650" t="s">
        <v>15</v>
      </c>
      <c r="I650" s="1">
        <v>569924000</v>
      </c>
    </row>
    <row r="651" spans="1:9" x14ac:dyDescent="0.25">
      <c r="A651" t="str">
        <f t="shared" ref="A651:A659" si="8">"13191"</f>
        <v>13191</v>
      </c>
      <c r="B651" t="s">
        <v>35</v>
      </c>
      <c r="C651" t="s">
        <v>343</v>
      </c>
      <c r="D651" t="str">
        <f>"002"</f>
        <v>002</v>
      </c>
      <c r="E651">
        <v>2000</v>
      </c>
      <c r="F651">
        <v>98800</v>
      </c>
      <c r="G651">
        <v>20477100</v>
      </c>
      <c r="H651">
        <v>20378300</v>
      </c>
    </row>
    <row r="652" spans="1:9" x14ac:dyDescent="0.25">
      <c r="A652" t="str">
        <f t="shared" si="8"/>
        <v>13191</v>
      </c>
      <c r="B652" t="s">
        <v>35</v>
      </c>
      <c r="C652" t="s">
        <v>343</v>
      </c>
      <c r="D652" t="str">
        <f>"003"</f>
        <v>003</v>
      </c>
      <c r="E652">
        <v>2000</v>
      </c>
      <c r="F652">
        <v>634700</v>
      </c>
      <c r="G652">
        <v>40691900</v>
      </c>
      <c r="H652">
        <v>40057200</v>
      </c>
    </row>
    <row r="653" spans="1:9" x14ac:dyDescent="0.25">
      <c r="A653" t="str">
        <f t="shared" si="8"/>
        <v>13191</v>
      </c>
      <c r="B653" t="s">
        <v>35</v>
      </c>
      <c r="C653" t="s">
        <v>343</v>
      </c>
      <c r="D653" t="str">
        <f>"004"</f>
        <v>004</v>
      </c>
      <c r="E653">
        <v>2003</v>
      </c>
      <c r="F653">
        <v>677400</v>
      </c>
      <c r="G653">
        <v>5642400</v>
      </c>
      <c r="H653">
        <v>4965000</v>
      </c>
    </row>
    <row r="654" spans="1:9" x14ac:dyDescent="0.25">
      <c r="A654" t="str">
        <f t="shared" si="8"/>
        <v>13191</v>
      </c>
      <c r="B654" t="s">
        <v>35</v>
      </c>
      <c r="C654" t="s">
        <v>343</v>
      </c>
      <c r="D654" t="str">
        <f>"005"</f>
        <v>005</v>
      </c>
      <c r="E654">
        <v>2005</v>
      </c>
      <c r="F654">
        <v>27543200</v>
      </c>
      <c r="G654">
        <v>50837500</v>
      </c>
      <c r="H654">
        <v>23294300</v>
      </c>
    </row>
    <row r="655" spans="1:9" x14ac:dyDescent="0.25">
      <c r="A655" t="str">
        <f t="shared" si="8"/>
        <v>13191</v>
      </c>
      <c r="B655" t="s">
        <v>35</v>
      </c>
      <c r="C655" t="s">
        <v>343</v>
      </c>
      <c r="D655" t="str">
        <f>"006"</f>
        <v>006</v>
      </c>
      <c r="E655">
        <v>2015</v>
      </c>
      <c r="F655">
        <v>11761100</v>
      </c>
      <c r="G655">
        <v>56905600</v>
      </c>
      <c r="H655">
        <v>45144500</v>
      </c>
    </row>
    <row r="656" spans="1:9" x14ac:dyDescent="0.25">
      <c r="A656" t="str">
        <f t="shared" si="8"/>
        <v>13191</v>
      </c>
      <c r="B656" t="s">
        <v>35</v>
      </c>
      <c r="C656" t="s">
        <v>343</v>
      </c>
      <c r="D656" t="str">
        <f>"007"</f>
        <v>007</v>
      </c>
      <c r="E656">
        <v>2016</v>
      </c>
      <c r="F656">
        <v>4445700</v>
      </c>
      <c r="G656">
        <v>9421800</v>
      </c>
      <c r="H656">
        <v>4976100</v>
      </c>
    </row>
    <row r="657" spans="1:9" x14ac:dyDescent="0.25">
      <c r="A657" t="str">
        <f t="shared" si="8"/>
        <v>13191</v>
      </c>
      <c r="B657" t="s">
        <v>35</v>
      </c>
      <c r="C657" t="s">
        <v>343</v>
      </c>
      <c r="D657" t="str">
        <f>"008"</f>
        <v>008</v>
      </c>
      <c r="E657">
        <v>2018</v>
      </c>
      <c r="F657">
        <v>15985400</v>
      </c>
      <c r="G657">
        <v>18413400</v>
      </c>
      <c r="H657">
        <v>2428000</v>
      </c>
    </row>
    <row r="658" spans="1:9" x14ac:dyDescent="0.25">
      <c r="A658" t="str">
        <f t="shared" si="8"/>
        <v>13191</v>
      </c>
      <c r="B658" t="s">
        <v>35</v>
      </c>
      <c r="C658" t="s">
        <v>343</v>
      </c>
      <c r="D658" t="str">
        <f>"009"</f>
        <v>009</v>
      </c>
      <c r="E658">
        <v>2018</v>
      </c>
      <c r="F658">
        <v>1147000</v>
      </c>
      <c r="G658">
        <v>958500</v>
      </c>
      <c r="H658">
        <v>0</v>
      </c>
    </row>
    <row r="659" spans="1:9" x14ac:dyDescent="0.25">
      <c r="A659" t="str">
        <f t="shared" si="8"/>
        <v>13191</v>
      </c>
      <c r="B659" t="s">
        <v>35</v>
      </c>
      <c r="C659" t="s">
        <v>343</v>
      </c>
      <c r="D659" t="s">
        <v>13</v>
      </c>
      <c r="E659" t="s">
        <v>14</v>
      </c>
      <c r="F659" t="s">
        <v>15</v>
      </c>
      <c r="G659" t="s">
        <v>15</v>
      </c>
      <c r="H659" t="s">
        <v>15</v>
      </c>
      <c r="I659" s="1">
        <v>1929469200</v>
      </c>
    </row>
    <row r="660" spans="1:9" x14ac:dyDescent="0.25">
      <c r="A660" t="str">
        <f>"13196"</f>
        <v>13196</v>
      </c>
      <c r="B660" t="s">
        <v>35</v>
      </c>
      <c r="C660" t="s">
        <v>344</v>
      </c>
      <c r="D660" t="str">
        <f>"001"</f>
        <v>001</v>
      </c>
      <c r="E660">
        <v>2014</v>
      </c>
      <c r="F660">
        <v>382600</v>
      </c>
      <c r="G660">
        <v>21939100</v>
      </c>
      <c r="H660">
        <v>21556500</v>
      </c>
    </row>
    <row r="661" spans="1:9" x14ac:dyDescent="0.25">
      <c r="A661" t="str">
        <f>"13196"</f>
        <v>13196</v>
      </c>
      <c r="B661" t="s">
        <v>35</v>
      </c>
      <c r="C661" t="s">
        <v>344</v>
      </c>
      <c r="D661" t="s">
        <v>13</v>
      </c>
      <c r="E661" t="s">
        <v>14</v>
      </c>
      <c r="F661" t="s">
        <v>15</v>
      </c>
      <c r="G661" t="s">
        <v>15</v>
      </c>
      <c r="H661" t="s">
        <v>15</v>
      </c>
      <c r="I661" s="1">
        <v>978601000</v>
      </c>
    </row>
    <row r="662" spans="1:9" x14ac:dyDescent="0.25">
      <c r="A662" t="s">
        <v>32</v>
      </c>
      <c r="B662" t="s">
        <v>37</v>
      </c>
      <c r="C662" t="s">
        <v>34</v>
      </c>
      <c r="D662" t="s">
        <v>13</v>
      </c>
      <c r="E662" t="s">
        <v>14</v>
      </c>
      <c r="F662" t="s">
        <v>15</v>
      </c>
      <c r="G662" t="s">
        <v>15</v>
      </c>
      <c r="H662" t="s">
        <v>15</v>
      </c>
      <c r="I662" s="1">
        <v>10498502000</v>
      </c>
    </row>
    <row r="663" spans="1:9" x14ac:dyDescent="0.25">
      <c r="A663" t="str">
        <f>"13221"</f>
        <v>13221</v>
      </c>
      <c r="B663" t="s">
        <v>38</v>
      </c>
      <c r="C663" t="s">
        <v>345</v>
      </c>
      <c r="D663" t="str">
        <f>"005"</f>
        <v>005</v>
      </c>
      <c r="E663">
        <v>1998</v>
      </c>
      <c r="F663">
        <v>632600</v>
      </c>
      <c r="G663">
        <v>15057900</v>
      </c>
      <c r="H663">
        <v>14425300</v>
      </c>
    </row>
    <row r="664" spans="1:9" x14ac:dyDescent="0.25">
      <c r="A664" t="str">
        <f>"13221"</f>
        <v>13221</v>
      </c>
      <c r="B664" t="s">
        <v>38</v>
      </c>
      <c r="C664" t="s">
        <v>345</v>
      </c>
      <c r="D664" t="s">
        <v>13</v>
      </c>
      <c r="E664" t="s">
        <v>14</v>
      </c>
      <c r="F664" t="s">
        <v>15</v>
      </c>
      <c r="G664" t="s">
        <v>15</v>
      </c>
      <c r="H664" t="s">
        <v>15</v>
      </c>
      <c r="I664" s="1">
        <v>10733100</v>
      </c>
    </row>
    <row r="665" spans="1:9" x14ac:dyDescent="0.25">
      <c r="A665" t="str">
        <f t="shared" ref="A665:A672" si="9">"13225"</f>
        <v>13225</v>
      </c>
      <c r="B665" t="s">
        <v>38</v>
      </c>
      <c r="C665" t="s">
        <v>346</v>
      </c>
      <c r="D665" t="str">
        <f>"004"</f>
        <v>004</v>
      </c>
      <c r="E665">
        <v>2003</v>
      </c>
      <c r="F665">
        <v>49144000</v>
      </c>
      <c r="G665">
        <v>265060700</v>
      </c>
      <c r="H665">
        <v>215916700</v>
      </c>
    </row>
    <row r="666" spans="1:9" x14ac:dyDescent="0.25">
      <c r="A666" t="str">
        <f t="shared" si="9"/>
        <v>13225</v>
      </c>
      <c r="B666" t="s">
        <v>38</v>
      </c>
      <c r="C666" t="s">
        <v>346</v>
      </c>
      <c r="D666" t="str">
        <f>"006"</f>
        <v>006</v>
      </c>
      <c r="E666">
        <v>2006</v>
      </c>
      <c r="F666">
        <v>86800800</v>
      </c>
      <c r="G666">
        <v>183069400</v>
      </c>
      <c r="H666">
        <v>96268600</v>
      </c>
    </row>
    <row r="667" spans="1:9" x14ac:dyDescent="0.25">
      <c r="A667" t="str">
        <f t="shared" si="9"/>
        <v>13225</v>
      </c>
      <c r="B667" t="s">
        <v>38</v>
      </c>
      <c r="C667" t="s">
        <v>346</v>
      </c>
      <c r="D667" t="str">
        <f>"009"</f>
        <v>009</v>
      </c>
      <c r="E667">
        <v>2015</v>
      </c>
      <c r="F667">
        <v>43552400</v>
      </c>
      <c r="G667">
        <v>70169600</v>
      </c>
      <c r="H667">
        <v>26617200</v>
      </c>
    </row>
    <row r="668" spans="1:9" x14ac:dyDescent="0.25">
      <c r="A668" t="str">
        <f t="shared" si="9"/>
        <v>13225</v>
      </c>
      <c r="B668" t="s">
        <v>38</v>
      </c>
      <c r="C668" t="s">
        <v>346</v>
      </c>
      <c r="D668" t="str">
        <f>"010"</f>
        <v>010</v>
      </c>
      <c r="E668">
        <v>2016</v>
      </c>
      <c r="F668">
        <v>42872500</v>
      </c>
      <c r="G668">
        <v>44313300</v>
      </c>
      <c r="H668">
        <v>1440800</v>
      </c>
    </row>
    <row r="669" spans="1:9" x14ac:dyDescent="0.25">
      <c r="A669" t="str">
        <f t="shared" si="9"/>
        <v>13225</v>
      </c>
      <c r="B669" t="s">
        <v>38</v>
      </c>
      <c r="C669" t="s">
        <v>346</v>
      </c>
      <c r="D669" t="str">
        <f>"011"</f>
        <v>011</v>
      </c>
      <c r="E669">
        <v>2018</v>
      </c>
      <c r="F669">
        <v>436200</v>
      </c>
      <c r="G669">
        <v>448300</v>
      </c>
      <c r="H669">
        <v>12100</v>
      </c>
    </row>
    <row r="670" spans="1:9" x14ac:dyDescent="0.25">
      <c r="A670" t="str">
        <f t="shared" si="9"/>
        <v>13225</v>
      </c>
      <c r="B670" t="s">
        <v>38</v>
      </c>
      <c r="C670" t="s">
        <v>346</v>
      </c>
      <c r="D670" t="str">
        <f>"012"</f>
        <v>012</v>
      </c>
      <c r="E670">
        <v>2018</v>
      </c>
      <c r="F670">
        <v>128190000</v>
      </c>
      <c r="G670">
        <v>138041900</v>
      </c>
      <c r="H670">
        <v>9851900</v>
      </c>
    </row>
    <row r="671" spans="1:9" x14ac:dyDescent="0.25">
      <c r="A671" t="str">
        <f t="shared" si="9"/>
        <v>13225</v>
      </c>
      <c r="B671" t="s">
        <v>38</v>
      </c>
      <c r="C671" t="s">
        <v>346</v>
      </c>
      <c r="D671" t="str">
        <f>"013"</f>
        <v>013</v>
      </c>
      <c r="E671">
        <v>2018</v>
      </c>
      <c r="F671">
        <v>16000</v>
      </c>
      <c r="G671">
        <v>3049000</v>
      </c>
      <c r="H671">
        <v>3033000</v>
      </c>
    </row>
    <row r="672" spans="1:9" x14ac:dyDescent="0.25">
      <c r="A672" t="str">
        <f t="shared" si="9"/>
        <v>13225</v>
      </c>
      <c r="B672" t="s">
        <v>38</v>
      </c>
      <c r="C672" t="s">
        <v>346</v>
      </c>
      <c r="D672" t="s">
        <v>13</v>
      </c>
      <c r="E672" t="s">
        <v>14</v>
      </c>
      <c r="F672" t="s">
        <v>15</v>
      </c>
      <c r="G672" t="s">
        <v>15</v>
      </c>
      <c r="H672" t="s">
        <v>15</v>
      </c>
      <c r="I672" s="1">
        <v>3065972600</v>
      </c>
    </row>
    <row r="673" spans="1:9" x14ac:dyDescent="0.25">
      <c r="A673" t="str">
        <f t="shared" ref="A673:A686" si="10">"13251"</f>
        <v>13251</v>
      </c>
      <c r="B673" t="s">
        <v>38</v>
      </c>
      <c r="C673" t="s">
        <v>315</v>
      </c>
      <c r="D673" t="str">
        <f>"025"</f>
        <v>025</v>
      </c>
      <c r="E673">
        <v>1995</v>
      </c>
      <c r="F673">
        <v>38606700</v>
      </c>
      <c r="G673">
        <v>222869700</v>
      </c>
      <c r="H673">
        <v>184263000</v>
      </c>
    </row>
    <row r="674" spans="1:9" x14ac:dyDescent="0.25">
      <c r="A674" t="str">
        <f t="shared" si="10"/>
        <v>13251</v>
      </c>
      <c r="B674" t="s">
        <v>38</v>
      </c>
      <c r="C674" t="s">
        <v>315</v>
      </c>
      <c r="D674" t="str">
        <f>"029"</f>
        <v>029</v>
      </c>
      <c r="E674">
        <v>2000</v>
      </c>
      <c r="F674">
        <v>41741400</v>
      </c>
      <c r="G674">
        <v>66015800</v>
      </c>
      <c r="H674">
        <v>24274400</v>
      </c>
    </row>
    <row r="675" spans="1:9" x14ac:dyDescent="0.25">
      <c r="A675" t="str">
        <f t="shared" si="10"/>
        <v>13251</v>
      </c>
      <c r="B675" t="s">
        <v>38</v>
      </c>
      <c r="C675" t="s">
        <v>315</v>
      </c>
      <c r="D675" t="str">
        <f>"035"</f>
        <v>035</v>
      </c>
      <c r="E675">
        <v>2005</v>
      </c>
      <c r="F675">
        <v>25800600</v>
      </c>
      <c r="G675">
        <v>78038100</v>
      </c>
      <c r="H675">
        <v>52237500</v>
      </c>
    </row>
    <row r="676" spans="1:9" x14ac:dyDescent="0.25">
      <c r="A676" t="str">
        <f t="shared" si="10"/>
        <v>13251</v>
      </c>
      <c r="B676" t="s">
        <v>38</v>
      </c>
      <c r="C676" t="s">
        <v>315</v>
      </c>
      <c r="D676" t="str">
        <f>"036"</f>
        <v>036</v>
      </c>
      <c r="E676">
        <v>2005</v>
      </c>
      <c r="F676">
        <v>97652400</v>
      </c>
      <c r="G676">
        <v>424702800</v>
      </c>
      <c r="H676">
        <v>327050400</v>
      </c>
    </row>
    <row r="677" spans="1:9" x14ac:dyDescent="0.25">
      <c r="A677" t="str">
        <f t="shared" si="10"/>
        <v>13251</v>
      </c>
      <c r="B677" t="s">
        <v>38</v>
      </c>
      <c r="C677" t="s">
        <v>315</v>
      </c>
      <c r="D677" t="str">
        <f>"037"</f>
        <v>037</v>
      </c>
      <c r="E677">
        <v>2006</v>
      </c>
      <c r="F677">
        <v>43466900</v>
      </c>
      <c r="G677">
        <v>131820000</v>
      </c>
      <c r="H677">
        <v>88353100</v>
      </c>
    </row>
    <row r="678" spans="1:9" x14ac:dyDescent="0.25">
      <c r="A678" t="str">
        <f t="shared" si="10"/>
        <v>13251</v>
      </c>
      <c r="B678" t="s">
        <v>38</v>
      </c>
      <c r="C678" t="s">
        <v>315</v>
      </c>
      <c r="D678" t="str">
        <f>"038"</f>
        <v>038</v>
      </c>
      <c r="E678">
        <v>2008</v>
      </c>
      <c r="F678">
        <v>54203700</v>
      </c>
      <c r="G678">
        <v>51525200</v>
      </c>
      <c r="H678">
        <v>0</v>
      </c>
    </row>
    <row r="679" spans="1:9" x14ac:dyDescent="0.25">
      <c r="A679" t="str">
        <f t="shared" si="10"/>
        <v>13251</v>
      </c>
      <c r="B679" t="s">
        <v>38</v>
      </c>
      <c r="C679" t="s">
        <v>315</v>
      </c>
      <c r="D679" t="str">
        <f>"039"</f>
        <v>039</v>
      </c>
      <c r="E679">
        <v>2008</v>
      </c>
      <c r="F679">
        <v>263256500</v>
      </c>
      <c r="G679">
        <v>367152600</v>
      </c>
      <c r="H679">
        <v>103896100</v>
      </c>
    </row>
    <row r="680" spans="1:9" x14ac:dyDescent="0.25">
      <c r="A680" t="str">
        <f t="shared" si="10"/>
        <v>13251</v>
      </c>
      <c r="B680" t="s">
        <v>38</v>
      </c>
      <c r="C680" t="s">
        <v>315</v>
      </c>
      <c r="D680" t="str">
        <f>"041"</f>
        <v>041</v>
      </c>
      <c r="E680">
        <v>2011</v>
      </c>
      <c r="F680">
        <v>18703300</v>
      </c>
      <c r="G680">
        <v>61047000</v>
      </c>
      <c r="H680">
        <v>42343700</v>
      </c>
    </row>
    <row r="681" spans="1:9" x14ac:dyDescent="0.25">
      <c r="A681" t="str">
        <f t="shared" si="10"/>
        <v>13251</v>
      </c>
      <c r="B681" t="s">
        <v>38</v>
      </c>
      <c r="C681" t="s">
        <v>315</v>
      </c>
      <c r="D681" t="str">
        <f>"042"</f>
        <v>042</v>
      </c>
      <c r="E681">
        <v>2012</v>
      </c>
      <c r="F681">
        <v>50866200</v>
      </c>
      <c r="G681">
        <v>79118500</v>
      </c>
      <c r="H681">
        <v>28252300</v>
      </c>
    </row>
    <row r="682" spans="1:9" x14ac:dyDescent="0.25">
      <c r="A682" t="str">
        <f t="shared" si="10"/>
        <v>13251</v>
      </c>
      <c r="B682" t="s">
        <v>38</v>
      </c>
      <c r="C682" t="s">
        <v>315</v>
      </c>
      <c r="D682" t="str">
        <f>"044"</f>
        <v>044</v>
      </c>
      <c r="E682">
        <v>2013</v>
      </c>
      <c r="F682">
        <v>30448400</v>
      </c>
      <c r="G682">
        <v>56383300</v>
      </c>
      <c r="H682">
        <v>25934900</v>
      </c>
    </row>
    <row r="683" spans="1:9" x14ac:dyDescent="0.25">
      <c r="A683" t="str">
        <f t="shared" si="10"/>
        <v>13251</v>
      </c>
      <c r="B683" t="s">
        <v>38</v>
      </c>
      <c r="C683" t="s">
        <v>315</v>
      </c>
      <c r="D683" t="str">
        <f>"045"</f>
        <v>045</v>
      </c>
      <c r="E683">
        <v>2015</v>
      </c>
      <c r="F683">
        <v>79304000</v>
      </c>
      <c r="G683">
        <v>151102600</v>
      </c>
      <c r="H683">
        <v>71798600</v>
      </c>
    </row>
    <row r="684" spans="1:9" x14ac:dyDescent="0.25">
      <c r="A684" t="str">
        <f t="shared" si="10"/>
        <v>13251</v>
      </c>
      <c r="B684" t="s">
        <v>38</v>
      </c>
      <c r="C684" t="s">
        <v>315</v>
      </c>
      <c r="D684" t="str">
        <f>"046"</f>
        <v>046</v>
      </c>
      <c r="E684">
        <v>2015</v>
      </c>
      <c r="F684">
        <v>129904000</v>
      </c>
      <c r="G684">
        <v>272846500</v>
      </c>
      <c r="H684">
        <v>142942500</v>
      </c>
    </row>
    <row r="685" spans="1:9" x14ac:dyDescent="0.25">
      <c r="A685" t="str">
        <f t="shared" si="10"/>
        <v>13251</v>
      </c>
      <c r="B685" t="s">
        <v>38</v>
      </c>
      <c r="C685" t="s">
        <v>315</v>
      </c>
      <c r="D685" t="str">
        <f>"047"</f>
        <v>047</v>
      </c>
      <c r="E685">
        <v>2017</v>
      </c>
      <c r="F685">
        <v>10032600</v>
      </c>
      <c r="G685">
        <v>26487400</v>
      </c>
      <c r="H685">
        <v>16454800</v>
      </c>
    </row>
    <row r="686" spans="1:9" x14ac:dyDescent="0.25">
      <c r="A686" t="str">
        <f t="shared" si="10"/>
        <v>13251</v>
      </c>
      <c r="B686" t="s">
        <v>38</v>
      </c>
      <c r="C686" t="s">
        <v>315</v>
      </c>
      <c r="D686" t="s">
        <v>13</v>
      </c>
      <c r="E686" t="s">
        <v>14</v>
      </c>
      <c r="F686" t="s">
        <v>15</v>
      </c>
      <c r="G686" t="s">
        <v>15</v>
      </c>
      <c r="H686" t="s">
        <v>15</v>
      </c>
      <c r="I686" s="1">
        <v>29802896700</v>
      </c>
    </row>
    <row r="687" spans="1:9" x14ac:dyDescent="0.25">
      <c r="A687" t="str">
        <f>"13255"</f>
        <v>13255</v>
      </c>
      <c r="B687" t="s">
        <v>38</v>
      </c>
      <c r="C687" t="s">
        <v>318</v>
      </c>
      <c r="D687" t="str">
        <f>"003"</f>
        <v>003</v>
      </c>
      <c r="E687">
        <v>1993</v>
      </c>
      <c r="F687">
        <v>59669200</v>
      </c>
      <c r="G687">
        <v>638136000</v>
      </c>
      <c r="H687">
        <v>578466800</v>
      </c>
    </row>
    <row r="688" spans="1:9" x14ac:dyDescent="0.25">
      <c r="A688" t="str">
        <f>"13255"</f>
        <v>13255</v>
      </c>
      <c r="B688" t="s">
        <v>38</v>
      </c>
      <c r="C688" t="s">
        <v>318</v>
      </c>
      <c r="D688" t="str">
        <f>"005"</f>
        <v>005</v>
      </c>
      <c r="E688">
        <v>2009</v>
      </c>
      <c r="F688">
        <v>89665500</v>
      </c>
      <c r="G688">
        <v>159954500</v>
      </c>
      <c r="H688">
        <v>70289000</v>
      </c>
    </row>
    <row r="689" spans="1:9" x14ac:dyDescent="0.25">
      <c r="A689" t="str">
        <f>"13255"</f>
        <v>13255</v>
      </c>
      <c r="B689" t="s">
        <v>38</v>
      </c>
      <c r="C689" t="s">
        <v>318</v>
      </c>
      <c r="D689" t="s">
        <v>13</v>
      </c>
      <c r="E689" t="s">
        <v>14</v>
      </c>
      <c r="F689" t="s">
        <v>15</v>
      </c>
      <c r="G689" t="s">
        <v>15</v>
      </c>
      <c r="H689" t="s">
        <v>15</v>
      </c>
      <c r="I689" s="1">
        <v>3180754300</v>
      </c>
    </row>
    <row r="690" spans="1:9" x14ac:dyDescent="0.25">
      <c r="A690" t="str">
        <f t="shared" ref="A690:A696" si="11">"13258"</f>
        <v>13258</v>
      </c>
      <c r="B690" t="s">
        <v>38</v>
      </c>
      <c r="C690" t="s">
        <v>347</v>
      </c>
      <c r="D690" t="str">
        <f>"004"</f>
        <v>004</v>
      </c>
      <c r="E690">
        <v>2000</v>
      </c>
      <c r="F690">
        <v>29942500</v>
      </c>
      <c r="G690">
        <v>68952900</v>
      </c>
      <c r="H690">
        <v>39010400</v>
      </c>
    </row>
    <row r="691" spans="1:9" x14ac:dyDescent="0.25">
      <c r="A691" t="str">
        <f t="shared" si="11"/>
        <v>13258</v>
      </c>
      <c r="B691" t="s">
        <v>38</v>
      </c>
      <c r="C691" t="s">
        <v>347</v>
      </c>
      <c r="D691" t="str">
        <f>"005"</f>
        <v>005</v>
      </c>
      <c r="E691">
        <v>2008</v>
      </c>
      <c r="F691">
        <v>8979700</v>
      </c>
      <c r="G691">
        <v>28054500</v>
      </c>
      <c r="H691">
        <v>19074800</v>
      </c>
    </row>
    <row r="692" spans="1:9" x14ac:dyDescent="0.25">
      <c r="A692" t="str">
        <f t="shared" si="11"/>
        <v>13258</v>
      </c>
      <c r="B692" t="s">
        <v>38</v>
      </c>
      <c r="C692" t="s">
        <v>347</v>
      </c>
      <c r="D692" t="str">
        <f>"006"</f>
        <v>006</v>
      </c>
      <c r="E692">
        <v>2010</v>
      </c>
      <c r="F692">
        <v>17693000</v>
      </c>
      <c r="G692">
        <v>44671200</v>
      </c>
      <c r="H692">
        <v>26978200</v>
      </c>
    </row>
    <row r="693" spans="1:9" x14ac:dyDescent="0.25">
      <c r="A693" t="str">
        <f t="shared" si="11"/>
        <v>13258</v>
      </c>
      <c r="B693" t="s">
        <v>38</v>
      </c>
      <c r="C693" t="s">
        <v>347</v>
      </c>
      <c r="D693" t="str">
        <f>"007"</f>
        <v>007</v>
      </c>
      <c r="E693">
        <v>2012</v>
      </c>
      <c r="F693">
        <v>8247500</v>
      </c>
      <c r="G693">
        <v>17204800</v>
      </c>
      <c r="H693">
        <v>8957300</v>
      </c>
    </row>
    <row r="694" spans="1:9" x14ac:dyDescent="0.25">
      <c r="A694" t="str">
        <f t="shared" si="11"/>
        <v>13258</v>
      </c>
      <c r="B694" t="s">
        <v>38</v>
      </c>
      <c r="C694" t="s">
        <v>347</v>
      </c>
      <c r="D694" t="str">
        <f>"008"</f>
        <v>008</v>
      </c>
      <c r="E694">
        <v>2012</v>
      </c>
      <c r="F694">
        <v>416000</v>
      </c>
      <c r="G694">
        <v>26908000</v>
      </c>
      <c r="H694">
        <v>26492000</v>
      </c>
    </row>
    <row r="695" spans="1:9" x14ac:dyDescent="0.25">
      <c r="A695" t="str">
        <f t="shared" si="11"/>
        <v>13258</v>
      </c>
      <c r="B695" t="s">
        <v>38</v>
      </c>
      <c r="C695" t="s">
        <v>347</v>
      </c>
      <c r="D695" t="str">
        <f>"009"</f>
        <v>009</v>
      </c>
      <c r="E695">
        <v>2015</v>
      </c>
      <c r="F695">
        <v>7246100</v>
      </c>
      <c r="G695">
        <v>14625000</v>
      </c>
      <c r="H695">
        <v>7378900</v>
      </c>
    </row>
    <row r="696" spans="1:9" x14ac:dyDescent="0.25">
      <c r="A696" t="str">
        <f t="shared" si="11"/>
        <v>13258</v>
      </c>
      <c r="B696" t="s">
        <v>38</v>
      </c>
      <c r="C696" t="s">
        <v>347</v>
      </c>
      <c r="D696" t="s">
        <v>13</v>
      </c>
      <c r="E696" t="s">
        <v>14</v>
      </c>
      <c r="F696" t="s">
        <v>15</v>
      </c>
      <c r="G696" t="s">
        <v>15</v>
      </c>
      <c r="H696" t="s">
        <v>15</v>
      </c>
      <c r="I696" s="1">
        <v>1258410700</v>
      </c>
    </row>
    <row r="697" spans="1:9" x14ac:dyDescent="0.25">
      <c r="A697" t="str">
        <f t="shared" ref="A697:A703" si="12">"13281"</f>
        <v>13281</v>
      </c>
      <c r="B697" t="s">
        <v>38</v>
      </c>
      <c r="C697" t="s">
        <v>348</v>
      </c>
      <c r="D697" t="str">
        <f>"003"</f>
        <v>003</v>
      </c>
      <c r="E697">
        <v>1993</v>
      </c>
      <c r="F697">
        <v>94000</v>
      </c>
      <c r="G697">
        <v>22007500</v>
      </c>
      <c r="H697">
        <v>21913500</v>
      </c>
    </row>
    <row r="698" spans="1:9" x14ac:dyDescent="0.25">
      <c r="A698" t="str">
        <f t="shared" si="12"/>
        <v>13281</v>
      </c>
      <c r="B698" t="s">
        <v>38</v>
      </c>
      <c r="C698" t="s">
        <v>348</v>
      </c>
      <c r="D698" t="str">
        <f>"004"</f>
        <v>004</v>
      </c>
      <c r="E698">
        <v>1999</v>
      </c>
      <c r="F698">
        <v>9765300</v>
      </c>
      <c r="G698">
        <v>17752700</v>
      </c>
      <c r="H698">
        <v>7987400</v>
      </c>
    </row>
    <row r="699" spans="1:9" x14ac:dyDescent="0.25">
      <c r="A699" t="str">
        <f t="shared" si="12"/>
        <v>13281</v>
      </c>
      <c r="B699" t="s">
        <v>38</v>
      </c>
      <c r="C699" t="s">
        <v>348</v>
      </c>
      <c r="D699" t="str">
        <f>"005"</f>
        <v>005</v>
      </c>
      <c r="E699">
        <v>2010</v>
      </c>
      <c r="F699">
        <v>10269200</v>
      </c>
      <c r="G699">
        <v>12513400</v>
      </c>
      <c r="H699">
        <v>2244200</v>
      </c>
    </row>
    <row r="700" spans="1:9" x14ac:dyDescent="0.25">
      <c r="A700" t="str">
        <f t="shared" si="12"/>
        <v>13281</v>
      </c>
      <c r="B700" t="s">
        <v>38</v>
      </c>
      <c r="C700" t="s">
        <v>348</v>
      </c>
      <c r="D700" t="str">
        <f>"006"</f>
        <v>006</v>
      </c>
      <c r="E700">
        <v>2015</v>
      </c>
      <c r="F700">
        <v>10000</v>
      </c>
      <c r="G700">
        <v>1109600</v>
      </c>
      <c r="H700">
        <v>1099600</v>
      </c>
    </row>
    <row r="701" spans="1:9" x14ac:dyDescent="0.25">
      <c r="A701" t="str">
        <f t="shared" si="12"/>
        <v>13281</v>
      </c>
      <c r="B701" t="s">
        <v>38</v>
      </c>
      <c r="C701" t="s">
        <v>348</v>
      </c>
      <c r="D701" t="str">
        <f>"007"</f>
        <v>007</v>
      </c>
      <c r="E701">
        <v>2015</v>
      </c>
      <c r="F701">
        <v>1111800</v>
      </c>
      <c r="G701">
        <v>25308200</v>
      </c>
      <c r="H701">
        <v>24196400</v>
      </c>
    </row>
    <row r="702" spans="1:9" x14ac:dyDescent="0.25">
      <c r="A702" t="str">
        <f t="shared" si="12"/>
        <v>13281</v>
      </c>
      <c r="B702" t="s">
        <v>38</v>
      </c>
      <c r="C702" t="s">
        <v>348</v>
      </c>
      <c r="D702" t="str">
        <f>"008"</f>
        <v>008</v>
      </c>
      <c r="E702">
        <v>2018</v>
      </c>
      <c r="F702">
        <v>7376600</v>
      </c>
      <c r="G702">
        <v>7364300</v>
      </c>
      <c r="H702">
        <v>0</v>
      </c>
    </row>
    <row r="703" spans="1:9" x14ac:dyDescent="0.25">
      <c r="A703" t="str">
        <f t="shared" si="12"/>
        <v>13281</v>
      </c>
      <c r="B703" t="s">
        <v>38</v>
      </c>
      <c r="C703" t="s">
        <v>348</v>
      </c>
      <c r="D703" t="s">
        <v>13</v>
      </c>
      <c r="E703" t="s">
        <v>14</v>
      </c>
      <c r="F703" t="s">
        <v>15</v>
      </c>
      <c r="G703" t="s">
        <v>15</v>
      </c>
      <c r="H703" t="s">
        <v>15</v>
      </c>
      <c r="I703" s="1">
        <v>1176283200</v>
      </c>
    </row>
    <row r="704" spans="1:9" x14ac:dyDescent="0.25">
      <c r="A704" t="str">
        <f t="shared" ref="A704:A710" si="13">"13282"</f>
        <v>13282</v>
      </c>
      <c r="B704" t="s">
        <v>38</v>
      </c>
      <c r="C704" t="s">
        <v>328</v>
      </c>
      <c r="D704" t="str">
        <f>"006"</f>
        <v>006</v>
      </c>
      <c r="E704">
        <v>1997</v>
      </c>
      <c r="F704">
        <v>117600</v>
      </c>
      <c r="G704">
        <v>7009400</v>
      </c>
      <c r="H704">
        <v>6891800</v>
      </c>
    </row>
    <row r="705" spans="1:9" x14ac:dyDescent="0.25">
      <c r="A705" t="str">
        <f t="shared" si="13"/>
        <v>13282</v>
      </c>
      <c r="B705" t="s">
        <v>38</v>
      </c>
      <c r="C705" t="s">
        <v>328</v>
      </c>
      <c r="D705" t="str">
        <f>"008"</f>
        <v>008</v>
      </c>
      <c r="E705">
        <v>2002</v>
      </c>
      <c r="F705">
        <v>22279000</v>
      </c>
      <c r="G705">
        <v>114751900</v>
      </c>
      <c r="H705">
        <v>92472900</v>
      </c>
    </row>
    <row r="706" spans="1:9" x14ac:dyDescent="0.25">
      <c r="A706" t="str">
        <f t="shared" si="13"/>
        <v>13282</v>
      </c>
      <c r="B706" t="s">
        <v>38</v>
      </c>
      <c r="C706" t="s">
        <v>328</v>
      </c>
      <c r="D706" t="str">
        <f>"009"</f>
        <v>009</v>
      </c>
      <c r="E706">
        <v>2007</v>
      </c>
      <c r="F706">
        <v>12294900</v>
      </c>
      <c r="G706">
        <v>91421800</v>
      </c>
      <c r="H706">
        <v>79126900</v>
      </c>
    </row>
    <row r="707" spans="1:9" x14ac:dyDescent="0.25">
      <c r="A707" t="str">
        <f t="shared" si="13"/>
        <v>13282</v>
      </c>
      <c r="B707" t="s">
        <v>38</v>
      </c>
      <c r="C707" t="s">
        <v>328</v>
      </c>
      <c r="D707" t="str">
        <f>"011"</f>
        <v>011</v>
      </c>
      <c r="E707">
        <v>2015</v>
      </c>
      <c r="F707">
        <v>32499300</v>
      </c>
      <c r="G707">
        <v>56851800</v>
      </c>
      <c r="H707">
        <v>24352500</v>
      </c>
    </row>
    <row r="708" spans="1:9" x14ac:dyDescent="0.25">
      <c r="A708" t="str">
        <f t="shared" si="13"/>
        <v>13282</v>
      </c>
      <c r="B708" t="s">
        <v>38</v>
      </c>
      <c r="C708" t="s">
        <v>328</v>
      </c>
      <c r="D708" t="str">
        <f>"012"</f>
        <v>012</v>
      </c>
      <c r="E708">
        <v>2016</v>
      </c>
      <c r="F708">
        <v>3774500</v>
      </c>
      <c r="G708">
        <v>13502000</v>
      </c>
      <c r="H708">
        <v>9727500</v>
      </c>
    </row>
    <row r="709" spans="1:9" x14ac:dyDescent="0.25">
      <c r="A709" t="str">
        <f t="shared" si="13"/>
        <v>13282</v>
      </c>
      <c r="B709" t="s">
        <v>38</v>
      </c>
      <c r="C709" t="s">
        <v>328</v>
      </c>
      <c r="D709" t="str">
        <f>"013"</f>
        <v>013</v>
      </c>
      <c r="E709">
        <v>2017</v>
      </c>
      <c r="F709">
        <v>618200</v>
      </c>
      <c r="G709">
        <v>17600000</v>
      </c>
      <c r="H709">
        <v>16981800</v>
      </c>
    </row>
    <row r="710" spans="1:9" x14ac:dyDescent="0.25">
      <c r="A710" t="str">
        <f t="shared" si="13"/>
        <v>13282</v>
      </c>
      <c r="B710" t="s">
        <v>38</v>
      </c>
      <c r="C710" t="s">
        <v>328</v>
      </c>
      <c r="D710" t="s">
        <v>13</v>
      </c>
      <c r="E710" t="s">
        <v>14</v>
      </c>
      <c r="F710" t="s">
        <v>15</v>
      </c>
      <c r="G710" t="s">
        <v>15</v>
      </c>
      <c r="H710" t="s">
        <v>15</v>
      </c>
      <c r="I710" s="1">
        <v>3404540900</v>
      </c>
    </row>
    <row r="711" spans="1:9" x14ac:dyDescent="0.25">
      <c r="A711" t="str">
        <f>"13286"</f>
        <v>13286</v>
      </c>
      <c r="B711" t="s">
        <v>38</v>
      </c>
      <c r="C711" t="s">
        <v>330</v>
      </c>
      <c r="D711" t="str">
        <f>"004"</f>
        <v>004</v>
      </c>
      <c r="E711">
        <v>1996</v>
      </c>
      <c r="F711">
        <v>8842400</v>
      </c>
      <c r="G711">
        <v>42394800</v>
      </c>
      <c r="H711">
        <v>33552400</v>
      </c>
    </row>
    <row r="712" spans="1:9" x14ac:dyDescent="0.25">
      <c r="A712" t="str">
        <f>"13286"</f>
        <v>13286</v>
      </c>
      <c r="B712" t="s">
        <v>38</v>
      </c>
      <c r="C712" t="s">
        <v>330</v>
      </c>
      <c r="D712" t="str">
        <f>"006"</f>
        <v>006</v>
      </c>
      <c r="E712">
        <v>2000</v>
      </c>
      <c r="F712">
        <v>475200</v>
      </c>
      <c r="G712">
        <v>69351600</v>
      </c>
      <c r="H712">
        <v>68876400</v>
      </c>
    </row>
    <row r="713" spans="1:9" x14ac:dyDescent="0.25">
      <c r="A713" t="str">
        <f>"13286"</f>
        <v>13286</v>
      </c>
      <c r="B713" t="s">
        <v>38</v>
      </c>
      <c r="C713" t="s">
        <v>330</v>
      </c>
      <c r="D713" t="str">
        <f>"008"</f>
        <v>008</v>
      </c>
      <c r="E713">
        <v>2017</v>
      </c>
      <c r="F713">
        <v>29164700</v>
      </c>
      <c r="G713">
        <v>29164700</v>
      </c>
      <c r="H713">
        <v>0</v>
      </c>
    </row>
    <row r="714" spans="1:9" x14ac:dyDescent="0.25">
      <c r="A714" t="str">
        <f>"13286"</f>
        <v>13286</v>
      </c>
      <c r="B714" t="s">
        <v>38</v>
      </c>
      <c r="C714" t="s">
        <v>330</v>
      </c>
      <c r="D714" t="str">
        <f>"009"</f>
        <v>009</v>
      </c>
      <c r="E714">
        <v>2017</v>
      </c>
      <c r="F714">
        <v>5619100</v>
      </c>
      <c r="G714">
        <v>6019000</v>
      </c>
      <c r="H714">
        <v>399900</v>
      </c>
    </row>
    <row r="715" spans="1:9" x14ac:dyDescent="0.25">
      <c r="A715" t="str">
        <f>"13286"</f>
        <v>13286</v>
      </c>
      <c r="B715" t="s">
        <v>38</v>
      </c>
      <c r="C715" t="s">
        <v>330</v>
      </c>
      <c r="D715" t="s">
        <v>13</v>
      </c>
      <c r="E715" t="s">
        <v>14</v>
      </c>
      <c r="F715" t="s">
        <v>15</v>
      </c>
      <c r="G715" t="s">
        <v>15</v>
      </c>
      <c r="H715" t="s">
        <v>15</v>
      </c>
      <c r="I715" s="1">
        <v>2969335200</v>
      </c>
    </row>
    <row r="716" spans="1:9" x14ac:dyDescent="0.25">
      <c r="A716" t="s">
        <v>32</v>
      </c>
      <c r="B716" t="s">
        <v>40</v>
      </c>
      <c r="C716" t="s">
        <v>34</v>
      </c>
      <c r="D716" t="s">
        <v>13</v>
      </c>
      <c r="E716" t="s">
        <v>14</v>
      </c>
      <c r="F716" t="s">
        <v>15</v>
      </c>
      <c r="G716" t="s">
        <v>15</v>
      </c>
      <c r="H716" t="s">
        <v>15</v>
      </c>
      <c r="I716" s="1">
        <v>44868926700</v>
      </c>
    </row>
    <row r="717" spans="1:9" x14ac:dyDescent="0.25">
      <c r="A717" t="s">
        <v>32</v>
      </c>
      <c r="B717" t="s">
        <v>41</v>
      </c>
      <c r="C717" t="s">
        <v>311</v>
      </c>
      <c r="D717" t="s">
        <v>13</v>
      </c>
      <c r="E717" t="s">
        <v>14</v>
      </c>
      <c r="F717" t="s">
        <v>15</v>
      </c>
      <c r="G717" t="s">
        <v>15</v>
      </c>
      <c r="H717" t="s">
        <v>15</v>
      </c>
      <c r="I717" s="1">
        <v>66499944400</v>
      </c>
    </row>
    <row r="718" spans="1:9" x14ac:dyDescent="0.25">
      <c r="A718" t="str">
        <f>"14002"</f>
        <v>14002</v>
      </c>
      <c r="B718" t="s">
        <v>11</v>
      </c>
      <c r="C718" t="s">
        <v>349</v>
      </c>
      <c r="D718" t="s">
        <v>13</v>
      </c>
      <c r="E718" t="s">
        <v>14</v>
      </c>
      <c r="F718" t="s">
        <v>15</v>
      </c>
      <c r="G718" t="s">
        <v>15</v>
      </c>
      <c r="H718" t="s">
        <v>15</v>
      </c>
      <c r="I718" s="1">
        <v>286994200</v>
      </c>
    </row>
    <row r="719" spans="1:9" x14ac:dyDescent="0.25">
      <c r="A719" t="str">
        <f>"14004"</f>
        <v>14004</v>
      </c>
      <c r="B719" t="s">
        <v>11</v>
      </c>
      <c r="C719" t="s">
        <v>350</v>
      </c>
      <c r="D719" t="s">
        <v>13</v>
      </c>
      <c r="E719" t="s">
        <v>14</v>
      </c>
      <c r="F719" t="s">
        <v>15</v>
      </c>
      <c r="G719" t="s">
        <v>15</v>
      </c>
      <c r="H719" t="s">
        <v>15</v>
      </c>
      <c r="I719" s="1">
        <v>353540800</v>
      </c>
    </row>
    <row r="720" spans="1:9" x14ac:dyDescent="0.25">
      <c r="A720" t="str">
        <f>"14006"</f>
        <v>14006</v>
      </c>
      <c r="B720" t="s">
        <v>11</v>
      </c>
      <c r="C720" t="s">
        <v>170</v>
      </c>
      <c r="D720" t="s">
        <v>13</v>
      </c>
      <c r="E720" t="s">
        <v>14</v>
      </c>
      <c r="F720" t="s">
        <v>15</v>
      </c>
      <c r="G720" t="s">
        <v>15</v>
      </c>
      <c r="H720" t="s">
        <v>15</v>
      </c>
      <c r="I720" s="1">
        <v>81080900</v>
      </c>
    </row>
    <row r="721" spans="1:9" x14ac:dyDescent="0.25">
      <c r="A721" t="str">
        <f>"14008"</f>
        <v>14008</v>
      </c>
      <c r="B721" t="s">
        <v>11</v>
      </c>
      <c r="C721" t="s">
        <v>351</v>
      </c>
      <c r="D721" t="s">
        <v>13</v>
      </c>
      <c r="E721" t="s">
        <v>14</v>
      </c>
      <c r="F721" t="s">
        <v>15</v>
      </c>
      <c r="G721" t="s">
        <v>15</v>
      </c>
      <c r="H721" t="s">
        <v>15</v>
      </c>
      <c r="I721" s="1">
        <v>100417800</v>
      </c>
    </row>
    <row r="722" spans="1:9" x14ac:dyDescent="0.25">
      <c r="A722" t="str">
        <f>"14010"</f>
        <v>14010</v>
      </c>
      <c r="B722" t="s">
        <v>11</v>
      </c>
      <c r="C722" t="s">
        <v>352</v>
      </c>
      <c r="D722" t="s">
        <v>13</v>
      </c>
      <c r="E722" t="s">
        <v>14</v>
      </c>
      <c r="F722" t="s">
        <v>15</v>
      </c>
      <c r="G722" t="s">
        <v>15</v>
      </c>
      <c r="H722" t="s">
        <v>15</v>
      </c>
      <c r="I722" s="1">
        <v>56378100</v>
      </c>
    </row>
    <row r="723" spans="1:9" x14ac:dyDescent="0.25">
      <c r="A723" t="str">
        <f>"14012"</f>
        <v>14012</v>
      </c>
      <c r="B723" t="s">
        <v>11</v>
      </c>
      <c r="C723" t="s">
        <v>353</v>
      </c>
      <c r="D723" t="s">
        <v>13</v>
      </c>
      <c r="E723" t="s">
        <v>14</v>
      </c>
      <c r="F723" t="s">
        <v>15</v>
      </c>
      <c r="G723" t="s">
        <v>15</v>
      </c>
      <c r="H723" t="s">
        <v>15</v>
      </c>
      <c r="I723" s="1">
        <v>79623400</v>
      </c>
    </row>
    <row r="724" spans="1:9" x14ac:dyDescent="0.25">
      <c r="A724" t="str">
        <f>"14014"</f>
        <v>14014</v>
      </c>
      <c r="B724" t="s">
        <v>11</v>
      </c>
      <c r="C724" t="s">
        <v>354</v>
      </c>
      <c r="D724" t="str">
        <f>"001T"</f>
        <v>001T</v>
      </c>
      <c r="E724">
        <v>2010</v>
      </c>
      <c r="F724">
        <v>1575500</v>
      </c>
      <c r="G724">
        <v>2295600</v>
      </c>
      <c r="H724">
        <v>720100</v>
      </c>
    </row>
    <row r="725" spans="1:9" x14ac:dyDescent="0.25">
      <c r="A725" t="str">
        <f>"14014"</f>
        <v>14014</v>
      </c>
      <c r="B725" t="s">
        <v>11</v>
      </c>
      <c r="C725" t="s">
        <v>354</v>
      </c>
      <c r="D725" t="s">
        <v>13</v>
      </c>
      <c r="E725" t="s">
        <v>14</v>
      </c>
      <c r="F725" t="s">
        <v>15</v>
      </c>
      <c r="G725" t="s">
        <v>15</v>
      </c>
      <c r="H725" t="s">
        <v>15</v>
      </c>
      <c r="I725" s="1">
        <v>114192700</v>
      </c>
    </row>
    <row r="726" spans="1:9" x14ac:dyDescent="0.25">
      <c r="A726" t="str">
        <f>"14016"</f>
        <v>14016</v>
      </c>
      <c r="B726" t="s">
        <v>11</v>
      </c>
      <c r="C726" t="s">
        <v>355</v>
      </c>
      <c r="D726" t="s">
        <v>13</v>
      </c>
      <c r="E726" t="s">
        <v>14</v>
      </c>
      <c r="F726" t="s">
        <v>15</v>
      </c>
      <c r="G726" t="s">
        <v>15</v>
      </c>
      <c r="H726" t="s">
        <v>15</v>
      </c>
      <c r="I726" s="1">
        <v>141423900</v>
      </c>
    </row>
    <row r="727" spans="1:9" x14ac:dyDescent="0.25">
      <c r="A727" t="str">
        <f>"14018"</f>
        <v>14018</v>
      </c>
      <c r="B727" t="s">
        <v>11</v>
      </c>
      <c r="C727" t="s">
        <v>356</v>
      </c>
      <c r="D727" t="s">
        <v>13</v>
      </c>
      <c r="E727" t="s">
        <v>14</v>
      </c>
      <c r="F727" t="s">
        <v>15</v>
      </c>
      <c r="G727" t="s">
        <v>15</v>
      </c>
      <c r="H727" t="s">
        <v>15</v>
      </c>
      <c r="I727" s="1">
        <v>221277400</v>
      </c>
    </row>
    <row r="728" spans="1:9" x14ac:dyDescent="0.25">
      <c r="A728" t="str">
        <f>"14020"</f>
        <v>14020</v>
      </c>
      <c r="B728" t="s">
        <v>11</v>
      </c>
      <c r="C728" t="s">
        <v>357</v>
      </c>
      <c r="D728" t="s">
        <v>13</v>
      </c>
      <c r="E728" t="s">
        <v>14</v>
      </c>
      <c r="F728" t="s">
        <v>15</v>
      </c>
      <c r="G728" t="s">
        <v>15</v>
      </c>
      <c r="H728" t="s">
        <v>15</v>
      </c>
      <c r="I728" s="1">
        <v>113655100</v>
      </c>
    </row>
    <row r="729" spans="1:9" x14ac:dyDescent="0.25">
      <c r="A729" t="str">
        <f>"14022"</f>
        <v>14022</v>
      </c>
      <c r="B729" t="s">
        <v>11</v>
      </c>
      <c r="C729" t="s">
        <v>358</v>
      </c>
      <c r="D729" t="s">
        <v>13</v>
      </c>
      <c r="E729" t="s">
        <v>14</v>
      </c>
      <c r="F729" t="s">
        <v>15</v>
      </c>
      <c r="G729" t="s">
        <v>15</v>
      </c>
      <c r="H729" t="s">
        <v>15</v>
      </c>
      <c r="I729" s="1">
        <v>221889100</v>
      </c>
    </row>
    <row r="730" spans="1:9" x14ac:dyDescent="0.25">
      <c r="A730" t="str">
        <f>"14024"</f>
        <v>14024</v>
      </c>
      <c r="B730" t="s">
        <v>11</v>
      </c>
      <c r="C730" t="s">
        <v>359</v>
      </c>
      <c r="D730" t="s">
        <v>13</v>
      </c>
      <c r="E730" t="s">
        <v>14</v>
      </c>
      <c r="F730" t="s">
        <v>15</v>
      </c>
      <c r="G730" t="s">
        <v>15</v>
      </c>
      <c r="H730" t="s">
        <v>15</v>
      </c>
      <c r="I730" s="1">
        <v>160139300</v>
      </c>
    </row>
    <row r="731" spans="1:9" x14ac:dyDescent="0.25">
      <c r="A731" t="str">
        <f>"14026"</f>
        <v>14026</v>
      </c>
      <c r="B731" t="s">
        <v>11</v>
      </c>
      <c r="C731" t="s">
        <v>360</v>
      </c>
      <c r="D731" t="s">
        <v>13</v>
      </c>
      <c r="E731" t="s">
        <v>14</v>
      </c>
      <c r="F731" t="s">
        <v>15</v>
      </c>
      <c r="G731" t="s">
        <v>15</v>
      </c>
      <c r="H731" t="s">
        <v>15</v>
      </c>
      <c r="I731" s="1">
        <v>139931500</v>
      </c>
    </row>
    <row r="732" spans="1:9" x14ac:dyDescent="0.25">
      <c r="A732" t="str">
        <f>"14028"</f>
        <v>14028</v>
      </c>
      <c r="B732" t="s">
        <v>11</v>
      </c>
      <c r="C732" t="s">
        <v>361</v>
      </c>
      <c r="D732" t="s">
        <v>13</v>
      </c>
      <c r="E732" t="s">
        <v>14</v>
      </c>
      <c r="F732" t="s">
        <v>15</v>
      </c>
      <c r="G732" t="s">
        <v>15</v>
      </c>
      <c r="H732" t="s">
        <v>15</v>
      </c>
      <c r="I732" s="1">
        <v>94516600</v>
      </c>
    </row>
    <row r="733" spans="1:9" x14ac:dyDescent="0.25">
      <c r="A733" t="str">
        <f>"14030"</f>
        <v>14030</v>
      </c>
      <c r="B733" t="s">
        <v>11</v>
      </c>
      <c r="C733" t="s">
        <v>362</v>
      </c>
      <c r="D733" t="s">
        <v>13</v>
      </c>
      <c r="E733" t="s">
        <v>14</v>
      </c>
      <c r="F733" t="s">
        <v>15</v>
      </c>
      <c r="G733" t="s">
        <v>15</v>
      </c>
      <c r="H733" t="s">
        <v>15</v>
      </c>
      <c r="I733" s="1">
        <v>142492300</v>
      </c>
    </row>
    <row r="734" spans="1:9" x14ac:dyDescent="0.25">
      <c r="A734" t="str">
        <f>"14032"</f>
        <v>14032</v>
      </c>
      <c r="B734" t="s">
        <v>11</v>
      </c>
      <c r="C734" t="s">
        <v>363</v>
      </c>
      <c r="D734" t="s">
        <v>13</v>
      </c>
      <c r="E734" t="s">
        <v>14</v>
      </c>
      <c r="F734" t="s">
        <v>15</v>
      </c>
      <c r="G734" t="s">
        <v>15</v>
      </c>
      <c r="H734" t="s">
        <v>15</v>
      </c>
      <c r="I734" s="1">
        <v>114779100</v>
      </c>
    </row>
    <row r="735" spans="1:9" x14ac:dyDescent="0.25">
      <c r="A735" t="str">
        <f>"14034"</f>
        <v>14034</v>
      </c>
      <c r="B735" t="s">
        <v>11</v>
      </c>
      <c r="C735" t="s">
        <v>72</v>
      </c>
      <c r="D735" t="s">
        <v>13</v>
      </c>
      <c r="E735" t="s">
        <v>14</v>
      </c>
      <c r="F735" t="s">
        <v>15</v>
      </c>
      <c r="G735" t="s">
        <v>15</v>
      </c>
      <c r="H735" t="s">
        <v>15</v>
      </c>
      <c r="I735" s="1">
        <v>103972500</v>
      </c>
    </row>
    <row r="736" spans="1:9" x14ac:dyDescent="0.25">
      <c r="A736" t="str">
        <f>"14036"</f>
        <v>14036</v>
      </c>
      <c r="B736" t="s">
        <v>11</v>
      </c>
      <c r="C736" t="s">
        <v>364</v>
      </c>
      <c r="D736" t="s">
        <v>13</v>
      </c>
      <c r="E736" t="s">
        <v>14</v>
      </c>
      <c r="F736" t="s">
        <v>15</v>
      </c>
      <c r="G736" t="s">
        <v>15</v>
      </c>
      <c r="H736" t="s">
        <v>15</v>
      </c>
      <c r="I736" s="1">
        <v>110662500</v>
      </c>
    </row>
    <row r="737" spans="1:9" x14ac:dyDescent="0.25">
      <c r="A737" t="str">
        <f>"14038"</f>
        <v>14038</v>
      </c>
      <c r="B737" t="s">
        <v>11</v>
      </c>
      <c r="C737" t="s">
        <v>365</v>
      </c>
      <c r="D737" t="s">
        <v>13</v>
      </c>
      <c r="E737" t="s">
        <v>14</v>
      </c>
      <c r="F737" t="s">
        <v>15</v>
      </c>
      <c r="G737" t="s">
        <v>15</v>
      </c>
      <c r="H737" t="s">
        <v>15</v>
      </c>
      <c r="I737" s="1">
        <v>233903500</v>
      </c>
    </row>
    <row r="738" spans="1:9" x14ac:dyDescent="0.25">
      <c r="A738" t="str">
        <f>"14040"</f>
        <v>14040</v>
      </c>
      <c r="B738" t="s">
        <v>11</v>
      </c>
      <c r="C738" t="s">
        <v>366</v>
      </c>
      <c r="D738" t="s">
        <v>13</v>
      </c>
      <c r="E738" t="s">
        <v>14</v>
      </c>
      <c r="F738" t="s">
        <v>15</v>
      </c>
      <c r="G738" t="s">
        <v>15</v>
      </c>
      <c r="H738" t="s">
        <v>15</v>
      </c>
      <c r="I738" s="1">
        <v>55190600</v>
      </c>
    </row>
    <row r="739" spans="1:9" x14ac:dyDescent="0.25">
      <c r="A739" t="str">
        <f>"14042"</f>
        <v>14042</v>
      </c>
      <c r="B739" t="s">
        <v>11</v>
      </c>
      <c r="C739" t="s">
        <v>367</v>
      </c>
      <c r="D739" t="s">
        <v>13</v>
      </c>
      <c r="E739" t="s">
        <v>14</v>
      </c>
      <c r="F739" t="s">
        <v>15</v>
      </c>
      <c r="G739" t="s">
        <v>15</v>
      </c>
      <c r="H739" t="s">
        <v>15</v>
      </c>
      <c r="I739" s="1">
        <v>99693500</v>
      </c>
    </row>
    <row r="740" spans="1:9" x14ac:dyDescent="0.25">
      <c r="A740" t="str">
        <f>"14044"</f>
        <v>14044</v>
      </c>
      <c r="B740" t="s">
        <v>11</v>
      </c>
      <c r="C740" t="s">
        <v>368</v>
      </c>
      <c r="D740" t="s">
        <v>13</v>
      </c>
      <c r="E740" t="s">
        <v>14</v>
      </c>
      <c r="F740" t="s">
        <v>15</v>
      </c>
      <c r="G740" t="s">
        <v>15</v>
      </c>
      <c r="H740" t="s">
        <v>15</v>
      </c>
      <c r="I740" s="1">
        <v>126871600</v>
      </c>
    </row>
    <row r="741" spans="1:9" x14ac:dyDescent="0.25">
      <c r="A741" t="str">
        <f>"14046"</f>
        <v>14046</v>
      </c>
      <c r="B741" t="s">
        <v>11</v>
      </c>
      <c r="C741" t="s">
        <v>369</v>
      </c>
      <c r="D741" t="s">
        <v>13</v>
      </c>
      <c r="E741" t="s">
        <v>14</v>
      </c>
      <c r="F741" t="s">
        <v>15</v>
      </c>
      <c r="G741" t="s">
        <v>15</v>
      </c>
      <c r="H741" t="s">
        <v>15</v>
      </c>
      <c r="I741" s="1">
        <v>150506500</v>
      </c>
    </row>
    <row r="742" spans="1:9" x14ac:dyDescent="0.25">
      <c r="A742" t="s">
        <v>32</v>
      </c>
      <c r="B742" t="s">
        <v>33</v>
      </c>
      <c r="C742" t="s">
        <v>34</v>
      </c>
      <c r="D742" t="s">
        <v>13</v>
      </c>
      <c r="E742" t="s">
        <v>14</v>
      </c>
      <c r="F742" t="s">
        <v>15</v>
      </c>
      <c r="G742" t="s">
        <v>15</v>
      </c>
      <c r="H742" t="s">
        <v>15</v>
      </c>
      <c r="I742" s="1">
        <v>3303132900</v>
      </c>
    </row>
    <row r="743" spans="1:9" x14ac:dyDescent="0.25">
      <c r="A743" t="str">
        <f>"14106"</f>
        <v>14106</v>
      </c>
      <c r="B743" t="s">
        <v>35</v>
      </c>
      <c r="C743" t="s">
        <v>370</v>
      </c>
      <c r="D743" t="s">
        <v>13</v>
      </c>
      <c r="E743" t="s">
        <v>14</v>
      </c>
      <c r="F743" t="s">
        <v>15</v>
      </c>
      <c r="G743" t="s">
        <v>15</v>
      </c>
      <c r="H743" t="s">
        <v>15</v>
      </c>
      <c r="I743" s="1">
        <v>92471900</v>
      </c>
    </row>
    <row r="744" spans="1:9" x14ac:dyDescent="0.25">
      <c r="A744" t="str">
        <f>"14111"</f>
        <v>14111</v>
      </c>
      <c r="B744" t="s">
        <v>35</v>
      </c>
      <c r="C744" t="s">
        <v>353</v>
      </c>
      <c r="D744" t="s">
        <v>13</v>
      </c>
      <c r="E744" t="s">
        <v>14</v>
      </c>
      <c r="F744" t="s">
        <v>15</v>
      </c>
      <c r="G744" t="s">
        <v>15</v>
      </c>
      <c r="H744" t="s">
        <v>15</v>
      </c>
      <c r="I744" s="1">
        <v>21069000</v>
      </c>
    </row>
    <row r="745" spans="1:9" x14ac:dyDescent="0.25">
      <c r="A745" t="str">
        <f>"14136"</f>
        <v>14136</v>
      </c>
      <c r="B745" t="s">
        <v>35</v>
      </c>
      <c r="C745" t="s">
        <v>359</v>
      </c>
      <c r="D745" t="str">
        <f>"001"</f>
        <v>001</v>
      </c>
      <c r="E745">
        <v>2017</v>
      </c>
      <c r="F745">
        <v>5412600</v>
      </c>
      <c r="G745">
        <v>6781700</v>
      </c>
      <c r="H745">
        <v>1369100</v>
      </c>
    </row>
    <row r="746" spans="1:9" x14ac:dyDescent="0.25">
      <c r="A746" t="str">
        <f>"14136"</f>
        <v>14136</v>
      </c>
      <c r="B746" t="s">
        <v>35</v>
      </c>
      <c r="C746" t="s">
        <v>359</v>
      </c>
      <c r="D746" t="s">
        <v>13</v>
      </c>
      <c r="E746" t="s">
        <v>14</v>
      </c>
      <c r="F746" t="s">
        <v>15</v>
      </c>
      <c r="G746" t="s">
        <v>15</v>
      </c>
      <c r="H746" t="s">
        <v>15</v>
      </c>
      <c r="I746" s="1">
        <v>76748300</v>
      </c>
    </row>
    <row r="747" spans="1:9" x14ac:dyDescent="0.25">
      <c r="A747" t="str">
        <f>"14141"</f>
        <v>14141</v>
      </c>
      <c r="B747" t="s">
        <v>35</v>
      </c>
      <c r="C747" t="s">
        <v>371</v>
      </c>
      <c r="D747" t="s">
        <v>13</v>
      </c>
      <c r="E747" t="s">
        <v>14</v>
      </c>
      <c r="F747" t="s">
        <v>15</v>
      </c>
      <c r="G747" t="s">
        <v>15</v>
      </c>
      <c r="H747" t="s">
        <v>15</v>
      </c>
      <c r="I747" s="1">
        <v>55497500</v>
      </c>
    </row>
    <row r="748" spans="1:9" x14ac:dyDescent="0.25">
      <c r="A748" t="str">
        <f>"14143"</f>
        <v>14143</v>
      </c>
      <c r="B748" t="s">
        <v>35</v>
      </c>
      <c r="C748" t="s">
        <v>372</v>
      </c>
      <c r="D748" t="s">
        <v>13</v>
      </c>
      <c r="E748" t="s">
        <v>14</v>
      </c>
      <c r="F748" t="s">
        <v>15</v>
      </c>
      <c r="G748" t="s">
        <v>15</v>
      </c>
      <c r="H748" t="s">
        <v>15</v>
      </c>
      <c r="I748" s="1">
        <v>90829200</v>
      </c>
    </row>
    <row r="749" spans="1:9" x14ac:dyDescent="0.25">
      <c r="A749" t="str">
        <f>"14146"</f>
        <v>14146</v>
      </c>
      <c r="B749" t="s">
        <v>35</v>
      </c>
      <c r="C749" t="s">
        <v>362</v>
      </c>
      <c r="D749" t="str">
        <f>"004"</f>
        <v>004</v>
      </c>
      <c r="E749">
        <v>2006</v>
      </c>
      <c r="F749">
        <v>894000</v>
      </c>
      <c r="G749">
        <v>12578400</v>
      </c>
      <c r="H749">
        <v>11684400</v>
      </c>
    </row>
    <row r="750" spans="1:9" x14ac:dyDescent="0.25">
      <c r="A750" t="str">
        <f>"14146"</f>
        <v>14146</v>
      </c>
      <c r="B750" t="s">
        <v>35</v>
      </c>
      <c r="C750" t="s">
        <v>362</v>
      </c>
      <c r="D750" t="str">
        <f>"005"</f>
        <v>005</v>
      </c>
      <c r="E750">
        <v>2015</v>
      </c>
      <c r="F750">
        <v>297600</v>
      </c>
      <c r="G750">
        <v>13752400</v>
      </c>
      <c r="H750">
        <v>13454800</v>
      </c>
    </row>
    <row r="751" spans="1:9" x14ac:dyDescent="0.25">
      <c r="A751" t="str">
        <f>"14146"</f>
        <v>14146</v>
      </c>
      <c r="B751" t="s">
        <v>35</v>
      </c>
      <c r="C751" t="s">
        <v>362</v>
      </c>
      <c r="D751" t="s">
        <v>13</v>
      </c>
      <c r="E751" t="s">
        <v>14</v>
      </c>
      <c r="F751" t="s">
        <v>15</v>
      </c>
      <c r="G751" t="s">
        <v>15</v>
      </c>
      <c r="H751" t="s">
        <v>15</v>
      </c>
      <c r="I751" s="1">
        <v>151107200</v>
      </c>
    </row>
    <row r="752" spans="1:9" x14ac:dyDescent="0.25">
      <c r="A752" t="str">
        <f>"14147"</f>
        <v>14147</v>
      </c>
      <c r="B752" t="s">
        <v>35</v>
      </c>
      <c r="C752" t="s">
        <v>363</v>
      </c>
      <c r="D752" t="s">
        <v>13</v>
      </c>
      <c r="E752" t="s">
        <v>14</v>
      </c>
      <c r="F752" t="s">
        <v>15</v>
      </c>
      <c r="G752" t="s">
        <v>15</v>
      </c>
      <c r="H752" t="s">
        <v>15</v>
      </c>
      <c r="I752" s="1">
        <v>13884400</v>
      </c>
    </row>
    <row r="753" spans="1:9" x14ac:dyDescent="0.25">
      <c r="A753" t="str">
        <f>"14161"</f>
        <v>14161</v>
      </c>
      <c r="B753" t="s">
        <v>35</v>
      </c>
      <c r="C753" t="s">
        <v>373</v>
      </c>
      <c r="D753" t="s">
        <v>13</v>
      </c>
      <c r="E753" t="s">
        <v>14</v>
      </c>
      <c r="F753" t="s">
        <v>15</v>
      </c>
      <c r="G753" t="s">
        <v>15</v>
      </c>
      <c r="H753" t="s">
        <v>15</v>
      </c>
      <c r="I753" s="1">
        <v>41514000</v>
      </c>
    </row>
    <row r="754" spans="1:9" x14ac:dyDescent="0.25">
      <c r="A754" t="str">
        <f>"14176"</f>
        <v>14176</v>
      </c>
      <c r="B754" t="s">
        <v>35</v>
      </c>
      <c r="C754" t="s">
        <v>269</v>
      </c>
      <c r="D754" t="str">
        <f>"001"</f>
        <v>001</v>
      </c>
      <c r="E754">
        <v>1993</v>
      </c>
      <c r="F754">
        <v>2421200</v>
      </c>
      <c r="G754">
        <v>14274000</v>
      </c>
      <c r="H754">
        <v>11852800</v>
      </c>
    </row>
    <row r="755" spans="1:9" x14ac:dyDescent="0.25">
      <c r="A755" t="str">
        <f>"14176"</f>
        <v>14176</v>
      </c>
      <c r="B755" t="s">
        <v>35</v>
      </c>
      <c r="C755" t="s">
        <v>269</v>
      </c>
      <c r="D755" t="str">
        <f>"002"</f>
        <v>002</v>
      </c>
      <c r="E755">
        <v>1995</v>
      </c>
      <c r="F755">
        <v>4199300</v>
      </c>
      <c r="G755">
        <v>11437500</v>
      </c>
      <c r="H755">
        <v>7238200</v>
      </c>
    </row>
    <row r="756" spans="1:9" x14ac:dyDescent="0.25">
      <c r="A756" t="str">
        <f>"14176"</f>
        <v>14176</v>
      </c>
      <c r="B756" t="s">
        <v>35</v>
      </c>
      <c r="C756" t="s">
        <v>269</v>
      </c>
      <c r="D756" t="s">
        <v>13</v>
      </c>
      <c r="E756" t="s">
        <v>14</v>
      </c>
      <c r="F756" t="s">
        <v>15</v>
      </c>
      <c r="G756" t="s">
        <v>15</v>
      </c>
      <c r="H756" t="s">
        <v>15</v>
      </c>
      <c r="I756" s="1">
        <v>56880200</v>
      </c>
    </row>
    <row r="757" spans="1:9" x14ac:dyDescent="0.25">
      <c r="A757" t="str">
        <f>"14177"</f>
        <v>14177</v>
      </c>
      <c r="B757" t="s">
        <v>35</v>
      </c>
      <c r="C757" t="s">
        <v>374</v>
      </c>
      <c r="D757" t="str">
        <f>"002"</f>
        <v>002</v>
      </c>
      <c r="E757">
        <v>1998</v>
      </c>
      <c r="F757">
        <v>26900</v>
      </c>
      <c r="G757">
        <v>8600</v>
      </c>
      <c r="H757">
        <v>0</v>
      </c>
    </row>
    <row r="758" spans="1:9" x14ac:dyDescent="0.25">
      <c r="A758" t="str">
        <f>"14177"</f>
        <v>14177</v>
      </c>
      <c r="B758" t="s">
        <v>35</v>
      </c>
      <c r="C758" t="s">
        <v>374</v>
      </c>
      <c r="D758" t="str">
        <f>"003"</f>
        <v>003</v>
      </c>
      <c r="E758">
        <v>2011</v>
      </c>
      <c r="F758">
        <v>912700</v>
      </c>
      <c r="G758">
        <v>7814400</v>
      </c>
      <c r="H758">
        <v>6901700</v>
      </c>
    </row>
    <row r="759" spans="1:9" x14ac:dyDescent="0.25">
      <c r="A759" t="str">
        <f>"14177"</f>
        <v>14177</v>
      </c>
      <c r="B759" t="s">
        <v>35</v>
      </c>
      <c r="C759" t="s">
        <v>374</v>
      </c>
      <c r="D759" t="s">
        <v>13</v>
      </c>
      <c r="E759" t="s">
        <v>14</v>
      </c>
      <c r="F759" t="s">
        <v>15</v>
      </c>
      <c r="G759" t="s">
        <v>15</v>
      </c>
      <c r="H759" t="s">
        <v>15</v>
      </c>
      <c r="I759" s="1">
        <v>31377200</v>
      </c>
    </row>
    <row r="760" spans="1:9" x14ac:dyDescent="0.25">
      <c r="A760" t="str">
        <f>"14186"</f>
        <v>14186</v>
      </c>
      <c r="B760" t="s">
        <v>35</v>
      </c>
      <c r="C760" t="s">
        <v>367</v>
      </c>
      <c r="D760" t="s">
        <v>13</v>
      </c>
      <c r="E760" t="s">
        <v>14</v>
      </c>
      <c r="F760" t="s">
        <v>15</v>
      </c>
      <c r="G760" t="s">
        <v>15</v>
      </c>
      <c r="H760" t="s">
        <v>15</v>
      </c>
      <c r="I760" s="1">
        <v>59899200</v>
      </c>
    </row>
    <row r="761" spans="1:9" x14ac:dyDescent="0.25">
      <c r="A761" t="s">
        <v>32</v>
      </c>
      <c r="B761" t="s">
        <v>37</v>
      </c>
      <c r="C761" t="s">
        <v>34</v>
      </c>
      <c r="D761" t="s">
        <v>13</v>
      </c>
      <c r="E761" t="s">
        <v>14</v>
      </c>
      <c r="F761" t="s">
        <v>15</v>
      </c>
      <c r="G761" t="s">
        <v>15</v>
      </c>
      <c r="H761" t="s">
        <v>15</v>
      </c>
      <c r="I761" s="1">
        <v>691278100</v>
      </c>
    </row>
    <row r="762" spans="1:9" x14ac:dyDescent="0.25">
      <c r="A762" t="str">
        <f>"14206"</f>
        <v>14206</v>
      </c>
      <c r="B762" t="s">
        <v>38</v>
      </c>
      <c r="C762" t="s">
        <v>350</v>
      </c>
      <c r="D762" t="str">
        <f>"004"</f>
        <v>004</v>
      </c>
      <c r="E762">
        <v>1994</v>
      </c>
      <c r="F762">
        <v>10065100</v>
      </c>
      <c r="G762">
        <v>80922600</v>
      </c>
      <c r="H762">
        <v>70857500</v>
      </c>
    </row>
    <row r="763" spans="1:9" x14ac:dyDescent="0.25">
      <c r="A763" t="str">
        <f>"14206"</f>
        <v>14206</v>
      </c>
      <c r="B763" t="s">
        <v>38</v>
      </c>
      <c r="C763" t="s">
        <v>350</v>
      </c>
      <c r="D763" t="str">
        <f>"006"</f>
        <v>006</v>
      </c>
      <c r="E763">
        <v>2009</v>
      </c>
      <c r="F763">
        <v>832700</v>
      </c>
      <c r="G763">
        <v>7027800</v>
      </c>
      <c r="H763">
        <v>6195100</v>
      </c>
    </row>
    <row r="764" spans="1:9" x14ac:dyDescent="0.25">
      <c r="A764" t="str">
        <f>"14206"</f>
        <v>14206</v>
      </c>
      <c r="B764" t="s">
        <v>38</v>
      </c>
      <c r="C764" t="s">
        <v>350</v>
      </c>
      <c r="D764" t="str">
        <f>"007"</f>
        <v>007</v>
      </c>
      <c r="E764">
        <v>2016</v>
      </c>
      <c r="F764">
        <v>0</v>
      </c>
      <c r="G764">
        <v>21978000</v>
      </c>
      <c r="H764">
        <v>21978000</v>
      </c>
    </row>
    <row r="765" spans="1:9" x14ac:dyDescent="0.25">
      <c r="A765" t="str">
        <f>"14206"</f>
        <v>14206</v>
      </c>
      <c r="B765" t="s">
        <v>38</v>
      </c>
      <c r="C765" t="s">
        <v>350</v>
      </c>
      <c r="D765" t="str">
        <f>"008"</f>
        <v>008</v>
      </c>
      <c r="E765">
        <v>2018</v>
      </c>
      <c r="F765">
        <v>7192000</v>
      </c>
      <c r="G765">
        <v>6999100</v>
      </c>
      <c r="H765">
        <v>0</v>
      </c>
    </row>
    <row r="766" spans="1:9" x14ac:dyDescent="0.25">
      <c r="A766" t="str">
        <f>"14206"</f>
        <v>14206</v>
      </c>
      <c r="B766" t="s">
        <v>38</v>
      </c>
      <c r="C766" t="s">
        <v>350</v>
      </c>
      <c r="D766" t="s">
        <v>13</v>
      </c>
      <c r="E766" t="s">
        <v>14</v>
      </c>
      <c r="F766" t="s">
        <v>15</v>
      </c>
      <c r="G766" t="s">
        <v>15</v>
      </c>
      <c r="H766" t="s">
        <v>15</v>
      </c>
      <c r="I766" s="1">
        <v>1134717500</v>
      </c>
    </row>
    <row r="767" spans="1:9" x14ac:dyDescent="0.25">
      <c r="A767" t="str">
        <f>"14211"</f>
        <v>14211</v>
      </c>
      <c r="B767" t="s">
        <v>38</v>
      </c>
      <c r="C767" t="s">
        <v>255</v>
      </c>
      <c r="D767" t="s">
        <v>13</v>
      </c>
      <c r="E767" t="s">
        <v>14</v>
      </c>
      <c r="F767" t="s">
        <v>15</v>
      </c>
      <c r="G767" t="s">
        <v>15</v>
      </c>
      <c r="H767" t="s">
        <v>15</v>
      </c>
      <c r="I767" s="1">
        <v>0</v>
      </c>
    </row>
    <row r="768" spans="1:9" x14ac:dyDescent="0.25">
      <c r="A768" t="str">
        <f>"14226"</f>
        <v>14226</v>
      </c>
      <c r="B768" t="s">
        <v>38</v>
      </c>
      <c r="C768" t="s">
        <v>356</v>
      </c>
      <c r="D768" t="str">
        <f>"002"</f>
        <v>002</v>
      </c>
      <c r="E768">
        <v>2015</v>
      </c>
      <c r="F768">
        <v>7196000</v>
      </c>
      <c r="G768">
        <v>9905100</v>
      </c>
      <c r="H768">
        <v>2709100</v>
      </c>
    </row>
    <row r="769" spans="1:9" x14ac:dyDescent="0.25">
      <c r="A769" t="str">
        <f>"14226"</f>
        <v>14226</v>
      </c>
      <c r="B769" t="s">
        <v>38</v>
      </c>
      <c r="C769" t="s">
        <v>356</v>
      </c>
      <c r="D769" t="str">
        <f>"003"</f>
        <v>003</v>
      </c>
      <c r="E769">
        <v>2016</v>
      </c>
      <c r="F769">
        <v>4634300</v>
      </c>
      <c r="G769">
        <v>7631200</v>
      </c>
      <c r="H769">
        <v>2996900</v>
      </c>
    </row>
    <row r="770" spans="1:9" x14ac:dyDescent="0.25">
      <c r="A770" t="str">
        <f>"14226"</f>
        <v>14226</v>
      </c>
      <c r="B770" t="s">
        <v>38</v>
      </c>
      <c r="C770" t="s">
        <v>356</v>
      </c>
      <c r="D770" t="s">
        <v>13</v>
      </c>
      <c r="E770" t="s">
        <v>14</v>
      </c>
      <c r="F770" t="s">
        <v>15</v>
      </c>
      <c r="G770" t="s">
        <v>15</v>
      </c>
      <c r="H770" t="s">
        <v>15</v>
      </c>
      <c r="I770" s="1">
        <v>83918800</v>
      </c>
    </row>
    <row r="771" spans="1:9" x14ac:dyDescent="0.25">
      <c r="A771" t="str">
        <f>"14230"</f>
        <v>14230</v>
      </c>
      <c r="B771" t="s">
        <v>38</v>
      </c>
      <c r="C771" t="s">
        <v>375</v>
      </c>
      <c r="D771" t="str">
        <f>"007"</f>
        <v>007</v>
      </c>
      <c r="E771">
        <v>2011</v>
      </c>
      <c r="F771">
        <v>13800</v>
      </c>
      <c r="G771">
        <v>6273100</v>
      </c>
      <c r="H771">
        <v>6259300</v>
      </c>
    </row>
    <row r="772" spans="1:9" x14ac:dyDescent="0.25">
      <c r="A772" t="str">
        <f>"14230"</f>
        <v>14230</v>
      </c>
      <c r="B772" t="s">
        <v>38</v>
      </c>
      <c r="C772" t="s">
        <v>375</v>
      </c>
      <c r="D772" t="str">
        <f>"009"</f>
        <v>009</v>
      </c>
      <c r="E772">
        <v>2015</v>
      </c>
      <c r="F772">
        <v>4428900</v>
      </c>
      <c r="G772">
        <v>9828600</v>
      </c>
      <c r="H772">
        <v>5399700</v>
      </c>
    </row>
    <row r="773" spans="1:9" x14ac:dyDescent="0.25">
      <c r="A773" t="str">
        <f>"14230"</f>
        <v>14230</v>
      </c>
      <c r="B773" t="s">
        <v>38</v>
      </c>
      <c r="C773" t="s">
        <v>375</v>
      </c>
      <c r="D773" t="s">
        <v>13</v>
      </c>
      <c r="E773" t="s">
        <v>14</v>
      </c>
      <c r="F773" t="s">
        <v>15</v>
      </c>
      <c r="G773" t="s">
        <v>15</v>
      </c>
      <c r="H773" t="s">
        <v>15</v>
      </c>
      <c r="I773" s="1">
        <v>53896300</v>
      </c>
    </row>
    <row r="774" spans="1:9" x14ac:dyDescent="0.25">
      <c r="A774" t="str">
        <f>"14236"</f>
        <v>14236</v>
      </c>
      <c r="B774" t="s">
        <v>38</v>
      </c>
      <c r="C774" t="s">
        <v>376</v>
      </c>
      <c r="D774" t="str">
        <f>"004"</f>
        <v>004</v>
      </c>
      <c r="E774">
        <v>2007</v>
      </c>
      <c r="F774">
        <v>4962700</v>
      </c>
      <c r="G774">
        <v>12663100</v>
      </c>
      <c r="H774">
        <v>7700400</v>
      </c>
    </row>
    <row r="775" spans="1:9" x14ac:dyDescent="0.25">
      <c r="A775" t="str">
        <f>"14236"</f>
        <v>14236</v>
      </c>
      <c r="B775" t="s">
        <v>38</v>
      </c>
      <c r="C775" t="s">
        <v>376</v>
      </c>
      <c r="D775" t="str">
        <f>"005"</f>
        <v>005</v>
      </c>
      <c r="E775">
        <v>2015</v>
      </c>
      <c r="F775">
        <v>4402600</v>
      </c>
      <c r="G775">
        <v>32308600</v>
      </c>
      <c r="H775">
        <v>27906000</v>
      </c>
    </row>
    <row r="776" spans="1:9" x14ac:dyDescent="0.25">
      <c r="A776" t="str">
        <f>"14236"</f>
        <v>14236</v>
      </c>
      <c r="B776" t="s">
        <v>38</v>
      </c>
      <c r="C776" t="s">
        <v>376</v>
      </c>
      <c r="D776" t="str">
        <f>"006"</f>
        <v>006</v>
      </c>
      <c r="E776">
        <v>2017</v>
      </c>
      <c r="F776">
        <v>13427800</v>
      </c>
      <c r="G776">
        <v>14194500</v>
      </c>
      <c r="H776">
        <v>766700</v>
      </c>
    </row>
    <row r="777" spans="1:9" x14ac:dyDescent="0.25">
      <c r="A777" t="str">
        <f>"14236"</f>
        <v>14236</v>
      </c>
      <c r="B777" t="s">
        <v>38</v>
      </c>
      <c r="C777" t="s">
        <v>376</v>
      </c>
      <c r="D777" t="s">
        <v>13</v>
      </c>
      <c r="E777" t="s">
        <v>14</v>
      </c>
      <c r="F777" t="s">
        <v>15</v>
      </c>
      <c r="G777" t="s">
        <v>15</v>
      </c>
      <c r="H777" t="s">
        <v>15</v>
      </c>
      <c r="I777" s="1">
        <v>233047600</v>
      </c>
    </row>
    <row r="778" spans="1:9" x14ac:dyDescent="0.25">
      <c r="A778" t="str">
        <f>"14241"</f>
        <v>14241</v>
      </c>
      <c r="B778" t="s">
        <v>38</v>
      </c>
      <c r="C778" t="s">
        <v>377</v>
      </c>
      <c r="D778" t="str">
        <f>"004"</f>
        <v>004</v>
      </c>
      <c r="E778">
        <v>2018</v>
      </c>
      <c r="F778">
        <v>7477100</v>
      </c>
      <c r="G778">
        <v>7907600</v>
      </c>
      <c r="H778">
        <v>430500</v>
      </c>
    </row>
    <row r="779" spans="1:9" x14ac:dyDescent="0.25">
      <c r="A779" t="str">
        <f>"14241"</f>
        <v>14241</v>
      </c>
      <c r="B779" t="s">
        <v>38</v>
      </c>
      <c r="C779" t="s">
        <v>377</v>
      </c>
      <c r="D779" t="s">
        <v>13</v>
      </c>
      <c r="E779" t="s">
        <v>14</v>
      </c>
      <c r="F779" t="s">
        <v>15</v>
      </c>
      <c r="G779" t="s">
        <v>15</v>
      </c>
      <c r="H779" t="s">
        <v>15</v>
      </c>
      <c r="I779" s="1">
        <v>115372000</v>
      </c>
    </row>
    <row r="780" spans="1:9" x14ac:dyDescent="0.25">
      <c r="A780" t="str">
        <f>"14251"</f>
        <v>14251</v>
      </c>
      <c r="B780" t="s">
        <v>38</v>
      </c>
      <c r="C780" t="s">
        <v>231</v>
      </c>
      <c r="D780" t="str">
        <f>"004"</f>
        <v>004</v>
      </c>
      <c r="E780">
        <v>2009</v>
      </c>
      <c r="F780">
        <v>1548600</v>
      </c>
      <c r="G780">
        <v>2303500</v>
      </c>
      <c r="H780">
        <v>754900</v>
      </c>
    </row>
    <row r="781" spans="1:9" x14ac:dyDescent="0.25">
      <c r="A781" t="str">
        <f>"14251"</f>
        <v>14251</v>
      </c>
      <c r="B781" t="s">
        <v>38</v>
      </c>
      <c r="C781" t="s">
        <v>231</v>
      </c>
      <c r="D781" t="str">
        <f>"005"</f>
        <v>005</v>
      </c>
      <c r="E781">
        <v>2013</v>
      </c>
      <c r="F781">
        <v>2333200</v>
      </c>
      <c r="G781">
        <v>6086900</v>
      </c>
      <c r="H781">
        <v>3753700</v>
      </c>
    </row>
    <row r="782" spans="1:9" x14ac:dyDescent="0.25">
      <c r="A782" t="str">
        <f>"14251"</f>
        <v>14251</v>
      </c>
      <c r="B782" t="s">
        <v>38</v>
      </c>
      <c r="C782" t="s">
        <v>231</v>
      </c>
      <c r="D782" t="s">
        <v>13</v>
      </c>
      <c r="E782" t="s">
        <v>14</v>
      </c>
      <c r="F782" t="s">
        <v>15</v>
      </c>
      <c r="G782" t="s">
        <v>15</v>
      </c>
      <c r="H782" t="s">
        <v>15</v>
      </c>
      <c r="I782" s="1">
        <v>371206600</v>
      </c>
    </row>
    <row r="783" spans="1:9" x14ac:dyDescent="0.25">
      <c r="A783" t="str">
        <f>"14291"</f>
        <v>14291</v>
      </c>
      <c r="B783" t="s">
        <v>38</v>
      </c>
      <c r="C783" t="s">
        <v>378</v>
      </c>
      <c r="D783" t="s">
        <v>13</v>
      </c>
      <c r="E783" t="s">
        <v>14</v>
      </c>
      <c r="F783" t="s">
        <v>15</v>
      </c>
      <c r="G783" t="s">
        <v>15</v>
      </c>
      <c r="H783" t="s">
        <v>15</v>
      </c>
      <c r="I783" s="1">
        <v>525021500</v>
      </c>
    </row>
    <row r="784" spans="1:9" x14ac:dyDescent="0.25">
      <c r="A784" t="str">
        <f t="shared" ref="A784:A789" si="14">"14292"</f>
        <v>14292</v>
      </c>
      <c r="B784" t="s">
        <v>38</v>
      </c>
      <c r="C784" t="s">
        <v>379</v>
      </c>
      <c r="D784" t="str">
        <f>"001"</f>
        <v>001</v>
      </c>
      <c r="E784">
        <v>1987</v>
      </c>
      <c r="F784">
        <v>858500</v>
      </c>
      <c r="G784">
        <v>12605900</v>
      </c>
      <c r="H784">
        <v>11747400</v>
      </c>
    </row>
    <row r="785" spans="1:9" x14ac:dyDescent="0.25">
      <c r="A785" t="str">
        <f t="shared" si="14"/>
        <v>14292</v>
      </c>
      <c r="B785" t="s">
        <v>38</v>
      </c>
      <c r="C785" t="s">
        <v>379</v>
      </c>
      <c r="D785" t="str">
        <f>"003"</f>
        <v>003</v>
      </c>
      <c r="E785">
        <v>2005</v>
      </c>
      <c r="F785">
        <v>7038800</v>
      </c>
      <c r="G785">
        <v>8448100</v>
      </c>
      <c r="H785">
        <v>1409300</v>
      </c>
    </row>
    <row r="786" spans="1:9" x14ac:dyDescent="0.25">
      <c r="A786" t="str">
        <f t="shared" si="14"/>
        <v>14292</v>
      </c>
      <c r="B786" t="s">
        <v>38</v>
      </c>
      <c r="C786" t="s">
        <v>379</v>
      </c>
      <c r="D786" t="str">
        <f>"005"</f>
        <v>005</v>
      </c>
      <c r="E786">
        <v>2008</v>
      </c>
      <c r="F786">
        <v>1950300</v>
      </c>
      <c r="G786">
        <v>18121800</v>
      </c>
      <c r="H786">
        <v>16171500</v>
      </c>
    </row>
    <row r="787" spans="1:9" x14ac:dyDescent="0.25">
      <c r="A787" t="str">
        <f t="shared" si="14"/>
        <v>14292</v>
      </c>
      <c r="B787" t="s">
        <v>38</v>
      </c>
      <c r="C787" t="s">
        <v>379</v>
      </c>
      <c r="D787" t="str">
        <f>"006"</f>
        <v>006</v>
      </c>
      <c r="E787">
        <v>2012</v>
      </c>
      <c r="F787">
        <v>5180600</v>
      </c>
      <c r="G787">
        <v>10398000</v>
      </c>
      <c r="H787">
        <v>5217400</v>
      </c>
    </row>
    <row r="788" spans="1:9" x14ac:dyDescent="0.25">
      <c r="A788" t="str">
        <f t="shared" si="14"/>
        <v>14292</v>
      </c>
      <c r="B788" t="s">
        <v>38</v>
      </c>
      <c r="C788" t="s">
        <v>379</v>
      </c>
      <c r="D788" t="str">
        <f>"007"</f>
        <v>007</v>
      </c>
      <c r="E788">
        <v>2017</v>
      </c>
      <c r="F788">
        <v>22100</v>
      </c>
      <c r="G788">
        <v>2215600</v>
      </c>
      <c r="H788">
        <v>2193500</v>
      </c>
    </row>
    <row r="789" spans="1:9" x14ac:dyDescent="0.25">
      <c r="A789" t="str">
        <f t="shared" si="14"/>
        <v>14292</v>
      </c>
      <c r="B789" t="s">
        <v>38</v>
      </c>
      <c r="C789" t="s">
        <v>379</v>
      </c>
      <c r="D789" t="s">
        <v>13</v>
      </c>
      <c r="E789" t="s">
        <v>14</v>
      </c>
      <c r="F789" t="s">
        <v>15</v>
      </c>
      <c r="G789" t="s">
        <v>15</v>
      </c>
      <c r="H789" t="s">
        <v>15</v>
      </c>
      <c r="I789" s="1">
        <v>212673800</v>
      </c>
    </row>
    <row r="790" spans="1:9" x14ac:dyDescent="0.25">
      <c r="A790" t="s">
        <v>32</v>
      </c>
      <c r="B790" t="s">
        <v>40</v>
      </c>
      <c r="C790" t="s">
        <v>34</v>
      </c>
      <c r="D790" t="s">
        <v>13</v>
      </c>
      <c r="E790" t="s">
        <v>14</v>
      </c>
      <c r="F790" t="s">
        <v>15</v>
      </c>
      <c r="G790" t="s">
        <v>15</v>
      </c>
      <c r="H790" t="s">
        <v>15</v>
      </c>
      <c r="I790" s="1">
        <v>2729854100</v>
      </c>
    </row>
    <row r="791" spans="1:9" x14ac:dyDescent="0.25">
      <c r="A791" t="s">
        <v>32</v>
      </c>
      <c r="B791" t="s">
        <v>41</v>
      </c>
      <c r="C791" t="s">
        <v>380</v>
      </c>
      <c r="D791" t="s">
        <v>13</v>
      </c>
      <c r="E791" t="s">
        <v>14</v>
      </c>
      <c r="F791" t="s">
        <v>15</v>
      </c>
      <c r="G791" t="s">
        <v>15</v>
      </c>
      <c r="H791" t="s">
        <v>15</v>
      </c>
      <c r="I791" s="1">
        <v>6724265100</v>
      </c>
    </row>
    <row r="792" spans="1:9" x14ac:dyDescent="0.25">
      <c r="A792" t="str">
        <f>"15002"</f>
        <v>15002</v>
      </c>
      <c r="B792" t="s">
        <v>11</v>
      </c>
      <c r="C792" t="s">
        <v>381</v>
      </c>
      <c r="D792" t="s">
        <v>13</v>
      </c>
      <c r="E792" t="s">
        <v>14</v>
      </c>
      <c r="F792" t="s">
        <v>15</v>
      </c>
      <c r="G792" t="s">
        <v>15</v>
      </c>
      <c r="H792" t="s">
        <v>15</v>
      </c>
      <c r="I792" s="1">
        <v>506334900</v>
      </c>
    </row>
    <row r="793" spans="1:9" x14ac:dyDescent="0.25">
      <c r="A793" t="str">
        <f>"15004"</f>
        <v>15004</v>
      </c>
      <c r="B793" t="s">
        <v>11</v>
      </c>
      <c r="C793" t="s">
        <v>382</v>
      </c>
      <c r="D793" t="s">
        <v>13</v>
      </c>
      <c r="E793" t="s">
        <v>14</v>
      </c>
      <c r="F793" t="s">
        <v>15</v>
      </c>
      <c r="G793" t="s">
        <v>15</v>
      </c>
      <c r="H793" t="s">
        <v>15</v>
      </c>
      <c r="I793" s="1">
        <v>89040400</v>
      </c>
    </row>
    <row r="794" spans="1:9" x14ac:dyDescent="0.25">
      <c r="A794" t="str">
        <f>"15006"</f>
        <v>15006</v>
      </c>
      <c r="B794" t="s">
        <v>11</v>
      </c>
      <c r="C794" t="s">
        <v>383</v>
      </c>
      <c r="D794" t="s">
        <v>13</v>
      </c>
      <c r="E794" t="s">
        <v>14</v>
      </c>
      <c r="F794" t="s">
        <v>15</v>
      </c>
      <c r="G794" t="s">
        <v>15</v>
      </c>
      <c r="H794" t="s">
        <v>15</v>
      </c>
      <c r="I794" s="1">
        <v>68922300</v>
      </c>
    </row>
    <row r="795" spans="1:9" x14ac:dyDescent="0.25">
      <c r="A795" t="str">
        <f>"15008"</f>
        <v>15008</v>
      </c>
      <c r="B795" t="s">
        <v>11</v>
      </c>
      <c r="C795" t="s">
        <v>384</v>
      </c>
      <c r="D795" t="s">
        <v>13</v>
      </c>
      <c r="E795" t="s">
        <v>14</v>
      </c>
      <c r="F795" t="s">
        <v>15</v>
      </c>
      <c r="G795" t="s">
        <v>15</v>
      </c>
      <c r="H795" t="s">
        <v>15</v>
      </c>
      <c r="I795" s="1">
        <v>571143500</v>
      </c>
    </row>
    <row r="796" spans="1:9" x14ac:dyDescent="0.25">
      <c r="A796" t="str">
        <f>"15010"</f>
        <v>15010</v>
      </c>
      <c r="B796" t="s">
        <v>11</v>
      </c>
      <c r="C796" t="s">
        <v>385</v>
      </c>
      <c r="D796" t="s">
        <v>13</v>
      </c>
      <c r="E796" t="s">
        <v>14</v>
      </c>
      <c r="F796" t="s">
        <v>15</v>
      </c>
      <c r="G796" t="s">
        <v>15</v>
      </c>
      <c r="H796" t="s">
        <v>15</v>
      </c>
      <c r="I796" s="1">
        <v>85323600</v>
      </c>
    </row>
    <row r="797" spans="1:9" x14ac:dyDescent="0.25">
      <c r="A797" t="str">
        <f>"15012"</f>
        <v>15012</v>
      </c>
      <c r="B797" t="s">
        <v>11</v>
      </c>
      <c r="C797" t="s">
        <v>386</v>
      </c>
      <c r="D797" t="s">
        <v>13</v>
      </c>
      <c r="E797" t="s">
        <v>14</v>
      </c>
      <c r="F797" t="s">
        <v>15</v>
      </c>
      <c r="G797" t="s">
        <v>15</v>
      </c>
      <c r="H797" t="s">
        <v>15</v>
      </c>
      <c r="I797" s="1">
        <v>252015400</v>
      </c>
    </row>
    <row r="798" spans="1:9" x14ac:dyDescent="0.25">
      <c r="A798" t="str">
        <f>"15014"</f>
        <v>15014</v>
      </c>
      <c r="B798" t="s">
        <v>11</v>
      </c>
      <c r="C798" t="s">
        <v>387</v>
      </c>
      <c r="D798" t="s">
        <v>13</v>
      </c>
      <c r="E798" t="s">
        <v>14</v>
      </c>
      <c r="F798" t="s">
        <v>15</v>
      </c>
      <c r="G798" t="s">
        <v>15</v>
      </c>
      <c r="H798" t="s">
        <v>15</v>
      </c>
      <c r="I798" s="1">
        <v>762053100</v>
      </c>
    </row>
    <row r="799" spans="1:9" x14ac:dyDescent="0.25">
      <c r="A799" t="str">
        <f>"15016"</f>
        <v>15016</v>
      </c>
      <c r="B799" t="s">
        <v>11</v>
      </c>
      <c r="C799" t="s">
        <v>388</v>
      </c>
      <c r="D799" t="s">
        <v>13</v>
      </c>
      <c r="E799" t="s">
        <v>14</v>
      </c>
      <c r="F799" t="s">
        <v>15</v>
      </c>
      <c r="G799" t="s">
        <v>15</v>
      </c>
      <c r="H799" t="s">
        <v>15</v>
      </c>
      <c r="I799" s="1">
        <v>290655900</v>
      </c>
    </row>
    <row r="800" spans="1:9" x14ac:dyDescent="0.25">
      <c r="A800" t="str">
        <f>"15018"</f>
        <v>15018</v>
      </c>
      <c r="B800" t="s">
        <v>11</v>
      </c>
      <c r="C800" t="s">
        <v>389</v>
      </c>
      <c r="D800" t="s">
        <v>13</v>
      </c>
      <c r="E800" t="s">
        <v>14</v>
      </c>
      <c r="F800" t="s">
        <v>15</v>
      </c>
      <c r="G800" t="s">
        <v>15</v>
      </c>
      <c r="H800" t="s">
        <v>15</v>
      </c>
      <c r="I800" s="1">
        <v>963566100</v>
      </c>
    </row>
    <row r="801" spans="1:9" x14ac:dyDescent="0.25">
      <c r="A801" t="str">
        <f>"15020"</f>
        <v>15020</v>
      </c>
      <c r="B801" t="s">
        <v>11</v>
      </c>
      <c r="C801" t="s">
        <v>390</v>
      </c>
      <c r="D801" t="s">
        <v>13</v>
      </c>
      <c r="E801" t="s">
        <v>14</v>
      </c>
      <c r="F801" t="s">
        <v>15</v>
      </c>
      <c r="G801" t="s">
        <v>15</v>
      </c>
      <c r="H801" t="s">
        <v>15</v>
      </c>
      <c r="I801" s="1">
        <v>390063000</v>
      </c>
    </row>
    <row r="802" spans="1:9" x14ac:dyDescent="0.25">
      <c r="A802" t="str">
        <f>"15022"</f>
        <v>15022</v>
      </c>
      <c r="B802" t="s">
        <v>11</v>
      </c>
      <c r="C802" t="s">
        <v>391</v>
      </c>
      <c r="D802" t="s">
        <v>13</v>
      </c>
      <c r="E802" t="s">
        <v>14</v>
      </c>
      <c r="F802" t="s">
        <v>15</v>
      </c>
      <c r="G802" t="s">
        <v>15</v>
      </c>
      <c r="H802" t="s">
        <v>15</v>
      </c>
      <c r="I802" s="1">
        <v>753088400</v>
      </c>
    </row>
    <row r="803" spans="1:9" x14ac:dyDescent="0.25">
      <c r="A803" t="str">
        <f>"15024"</f>
        <v>15024</v>
      </c>
      <c r="B803" t="s">
        <v>11</v>
      </c>
      <c r="C803" t="s">
        <v>392</v>
      </c>
      <c r="D803" t="s">
        <v>13</v>
      </c>
      <c r="E803" t="s">
        <v>14</v>
      </c>
      <c r="F803" t="s">
        <v>15</v>
      </c>
      <c r="G803" t="s">
        <v>15</v>
      </c>
      <c r="H803" t="s">
        <v>15</v>
      </c>
      <c r="I803" s="1">
        <v>181339400</v>
      </c>
    </row>
    <row r="804" spans="1:9" x14ac:dyDescent="0.25">
      <c r="A804" t="str">
        <f>"15026"</f>
        <v>15026</v>
      </c>
      <c r="B804" t="s">
        <v>11</v>
      </c>
      <c r="C804" t="s">
        <v>165</v>
      </c>
      <c r="D804" t="s">
        <v>13</v>
      </c>
      <c r="E804" t="s">
        <v>14</v>
      </c>
      <c r="F804" t="s">
        <v>15</v>
      </c>
      <c r="G804" t="s">
        <v>15</v>
      </c>
      <c r="H804" t="s">
        <v>15</v>
      </c>
      <c r="I804" s="1">
        <v>153687400</v>
      </c>
    </row>
    <row r="805" spans="1:9" x14ac:dyDescent="0.25">
      <c r="A805" t="str">
        <f>"15028"</f>
        <v>15028</v>
      </c>
      <c r="B805" t="s">
        <v>11</v>
      </c>
      <c r="C805" t="s">
        <v>393</v>
      </c>
      <c r="D805" t="s">
        <v>13</v>
      </c>
      <c r="E805" t="s">
        <v>14</v>
      </c>
      <c r="F805" t="s">
        <v>15</v>
      </c>
      <c r="G805" t="s">
        <v>15</v>
      </c>
      <c r="H805" t="s">
        <v>15</v>
      </c>
      <c r="I805" s="1">
        <v>290539400</v>
      </c>
    </row>
    <row r="806" spans="1:9" x14ac:dyDescent="0.25">
      <c r="A806" t="s">
        <v>32</v>
      </c>
      <c r="B806" t="s">
        <v>33</v>
      </c>
      <c r="C806" t="s">
        <v>34</v>
      </c>
      <c r="D806" t="s">
        <v>13</v>
      </c>
      <c r="E806" t="s">
        <v>14</v>
      </c>
      <c r="F806" t="s">
        <v>15</v>
      </c>
      <c r="G806" t="s">
        <v>15</v>
      </c>
      <c r="H806" t="s">
        <v>15</v>
      </c>
      <c r="I806" s="1">
        <v>5357772800</v>
      </c>
    </row>
    <row r="807" spans="1:9" x14ac:dyDescent="0.25">
      <c r="A807" t="str">
        <f>"15118"</f>
        <v>15118</v>
      </c>
      <c r="B807" t="s">
        <v>35</v>
      </c>
      <c r="C807" t="s">
        <v>384</v>
      </c>
      <c r="D807" t="s">
        <v>13</v>
      </c>
      <c r="E807" t="s">
        <v>14</v>
      </c>
      <c r="F807" t="s">
        <v>15</v>
      </c>
      <c r="G807" t="s">
        <v>15</v>
      </c>
      <c r="H807" t="s">
        <v>15</v>
      </c>
      <c r="I807" s="1">
        <v>384892000</v>
      </c>
    </row>
    <row r="808" spans="1:9" x14ac:dyDescent="0.25">
      <c r="A808" t="str">
        <f>"15121"</f>
        <v>15121</v>
      </c>
      <c r="B808" t="s">
        <v>35</v>
      </c>
      <c r="C808" t="s">
        <v>394</v>
      </c>
      <c r="D808" t="s">
        <v>13</v>
      </c>
      <c r="E808" t="s">
        <v>14</v>
      </c>
      <c r="F808" t="s">
        <v>15</v>
      </c>
      <c r="G808" t="s">
        <v>15</v>
      </c>
      <c r="H808" t="s">
        <v>15</v>
      </c>
      <c r="I808" s="1">
        <v>372795100</v>
      </c>
    </row>
    <row r="809" spans="1:9" x14ac:dyDescent="0.25">
      <c r="A809" t="str">
        <f>"15127"</f>
        <v>15127</v>
      </c>
      <c r="B809" t="s">
        <v>35</v>
      </c>
      <c r="C809" t="s">
        <v>385</v>
      </c>
      <c r="D809" t="s">
        <v>13</v>
      </c>
      <c r="E809" t="s">
        <v>14</v>
      </c>
      <c r="F809" t="s">
        <v>15</v>
      </c>
      <c r="G809" t="s">
        <v>15</v>
      </c>
      <c r="H809" t="s">
        <v>15</v>
      </c>
      <c r="I809" s="1">
        <v>23197600</v>
      </c>
    </row>
    <row r="810" spans="1:9" x14ac:dyDescent="0.25">
      <c r="A810" t="str">
        <f>"15181"</f>
        <v>15181</v>
      </c>
      <c r="B810" t="s">
        <v>35</v>
      </c>
      <c r="C810" t="s">
        <v>395</v>
      </c>
      <c r="D810" t="str">
        <f>"001"</f>
        <v>001</v>
      </c>
      <c r="E810">
        <v>2008</v>
      </c>
      <c r="F810">
        <v>44718300</v>
      </c>
      <c r="G810">
        <v>61326100</v>
      </c>
      <c r="H810">
        <v>16607800</v>
      </c>
    </row>
    <row r="811" spans="1:9" x14ac:dyDescent="0.25">
      <c r="A811" t="str">
        <f>"15181"</f>
        <v>15181</v>
      </c>
      <c r="B811" t="s">
        <v>35</v>
      </c>
      <c r="C811" t="s">
        <v>395</v>
      </c>
      <c r="D811" t="str">
        <f>"002"</f>
        <v>002</v>
      </c>
      <c r="E811">
        <v>2018</v>
      </c>
      <c r="F811">
        <v>9649500</v>
      </c>
      <c r="G811">
        <v>10004700</v>
      </c>
      <c r="H811">
        <v>355200</v>
      </c>
    </row>
    <row r="812" spans="1:9" x14ac:dyDescent="0.25">
      <c r="A812" t="str">
        <f>"15181"</f>
        <v>15181</v>
      </c>
      <c r="B812" t="s">
        <v>35</v>
      </c>
      <c r="C812" t="s">
        <v>395</v>
      </c>
      <c r="D812" t="s">
        <v>13</v>
      </c>
      <c r="E812" t="s">
        <v>14</v>
      </c>
      <c r="F812" t="s">
        <v>15</v>
      </c>
      <c r="G812" t="s">
        <v>15</v>
      </c>
      <c r="H812" t="s">
        <v>15</v>
      </c>
      <c r="I812" s="1">
        <v>419007000</v>
      </c>
    </row>
    <row r="813" spans="1:9" x14ac:dyDescent="0.25">
      <c r="A813" t="s">
        <v>32</v>
      </c>
      <c r="B813" t="s">
        <v>37</v>
      </c>
      <c r="C813" t="s">
        <v>34</v>
      </c>
      <c r="D813" t="s">
        <v>13</v>
      </c>
      <c r="E813" t="s">
        <v>14</v>
      </c>
      <c r="F813" t="s">
        <v>15</v>
      </c>
      <c r="G813" t="s">
        <v>15</v>
      </c>
      <c r="H813" t="s">
        <v>15</v>
      </c>
      <c r="I813" s="1">
        <v>1199891700</v>
      </c>
    </row>
    <row r="814" spans="1:9" x14ac:dyDescent="0.25">
      <c r="A814" t="str">
        <f>"15281"</f>
        <v>15281</v>
      </c>
      <c r="B814" t="s">
        <v>38</v>
      </c>
      <c r="C814" t="s">
        <v>392</v>
      </c>
      <c r="D814" t="str">
        <f>"001"</f>
        <v>001</v>
      </c>
      <c r="E814">
        <v>1991</v>
      </c>
      <c r="F814">
        <v>9634200</v>
      </c>
      <c r="G814">
        <v>44534700</v>
      </c>
      <c r="H814">
        <v>34900500</v>
      </c>
    </row>
    <row r="815" spans="1:9" x14ac:dyDescent="0.25">
      <c r="A815" t="str">
        <f>"15281"</f>
        <v>15281</v>
      </c>
      <c r="B815" t="s">
        <v>38</v>
      </c>
      <c r="C815" t="s">
        <v>392</v>
      </c>
      <c r="D815" t="str">
        <f>"002"</f>
        <v>002</v>
      </c>
      <c r="E815">
        <v>1994</v>
      </c>
      <c r="F815">
        <v>16123000</v>
      </c>
      <c r="G815">
        <v>73143200</v>
      </c>
      <c r="H815">
        <v>57020200</v>
      </c>
    </row>
    <row r="816" spans="1:9" x14ac:dyDescent="0.25">
      <c r="A816" t="str">
        <f>"15281"</f>
        <v>15281</v>
      </c>
      <c r="B816" t="s">
        <v>38</v>
      </c>
      <c r="C816" t="s">
        <v>392</v>
      </c>
      <c r="D816" t="str">
        <f>"003"</f>
        <v>003</v>
      </c>
      <c r="E816">
        <v>2008</v>
      </c>
      <c r="F816">
        <v>916900</v>
      </c>
      <c r="G816">
        <v>2980700</v>
      </c>
      <c r="H816">
        <v>2063800</v>
      </c>
    </row>
    <row r="817" spans="1:9" x14ac:dyDescent="0.25">
      <c r="A817" t="str">
        <f>"15281"</f>
        <v>15281</v>
      </c>
      <c r="B817" t="s">
        <v>38</v>
      </c>
      <c r="C817" t="s">
        <v>392</v>
      </c>
      <c r="D817" t="str">
        <f>"004"</f>
        <v>004</v>
      </c>
      <c r="E817">
        <v>2013</v>
      </c>
      <c r="F817">
        <v>415900</v>
      </c>
      <c r="G817">
        <v>5989000</v>
      </c>
      <c r="H817">
        <v>5573100</v>
      </c>
    </row>
    <row r="818" spans="1:9" x14ac:dyDescent="0.25">
      <c r="A818" t="str">
        <f>"15281"</f>
        <v>15281</v>
      </c>
      <c r="B818" t="s">
        <v>38</v>
      </c>
      <c r="C818" t="s">
        <v>392</v>
      </c>
      <c r="D818" t="s">
        <v>13</v>
      </c>
      <c r="E818" t="s">
        <v>14</v>
      </c>
      <c r="F818" t="s">
        <v>15</v>
      </c>
      <c r="G818" t="s">
        <v>15</v>
      </c>
      <c r="H818" t="s">
        <v>15</v>
      </c>
      <c r="I818" s="1">
        <v>858172300</v>
      </c>
    </row>
    <row r="819" spans="1:9" x14ac:dyDescent="0.25">
      <c r="A819" t="s">
        <v>32</v>
      </c>
      <c r="B819" t="s">
        <v>40</v>
      </c>
      <c r="C819" t="s">
        <v>34</v>
      </c>
      <c r="D819" t="s">
        <v>13</v>
      </c>
      <c r="E819" t="s">
        <v>14</v>
      </c>
      <c r="F819" t="s">
        <v>15</v>
      </c>
      <c r="G819" t="s">
        <v>15</v>
      </c>
      <c r="H819" t="s">
        <v>15</v>
      </c>
      <c r="I819" s="1">
        <v>858172300</v>
      </c>
    </row>
    <row r="820" spans="1:9" x14ac:dyDescent="0.25">
      <c r="A820" t="s">
        <v>32</v>
      </c>
      <c r="B820" t="s">
        <v>41</v>
      </c>
      <c r="C820" t="s">
        <v>396</v>
      </c>
      <c r="D820" t="s">
        <v>13</v>
      </c>
      <c r="E820" t="s">
        <v>14</v>
      </c>
      <c r="F820" t="s">
        <v>15</v>
      </c>
      <c r="G820" t="s">
        <v>15</v>
      </c>
      <c r="H820" t="s">
        <v>15</v>
      </c>
      <c r="I820" s="1">
        <v>7415836800</v>
      </c>
    </row>
    <row r="821" spans="1:9" x14ac:dyDescent="0.25">
      <c r="A821" t="str">
        <f>"16002"</f>
        <v>16002</v>
      </c>
      <c r="B821" t="s">
        <v>11</v>
      </c>
      <c r="C821" t="s">
        <v>397</v>
      </c>
      <c r="D821" t="s">
        <v>13</v>
      </c>
      <c r="E821" t="s">
        <v>14</v>
      </c>
      <c r="F821" t="s">
        <v>15</v>
      </c>
      <c r="G821" t="s">
        <v>15</v>
      </c>
      <c r="H821" t="s">
        <v>15</v>
      </c>
      <c r="I821" s="1">
        <v>81534900</v>
      </c>
    </row>
    <row r="822" spans="1:9" x14ac:dyDescent="0.25">
      <c r="A822" t="str">
        <f>"16004"</f>
        <v>16004</v>
      </c>
      <c r="B822" t="s">
        <v>11</v>
      </c>
      <c r="C822" t="s">
        <v>398</v>
      </c>
      <c r="D822" t="s">
        <v>13</v>
      </c>
      <c r="E822" t="s">
        <v>14</v>
      </c>
      <c r="F822" t="s">
        <v>15</v>
      </c>
      <c r="G822" t="s">
        <v>15</v>
      </c>
      <c r="H822" t="s">
        <v>15</v>
      </c>
      <c r="I822" s="1">
        <v>63899100</v>
      </c>
    </row>
    <row r="823" spans="1:9" x14ac:dyDescent="0.25">
      <c r="A823" t="str">
        <f>"16006"</f>
        <v>16006</v>
      </c>
      <c r="B823" t="s">
        <v>11</v>
      </c>
      <c r="C823" t="s">
        <v>399</v>
      </c>
      <c r="D823" t="s">
        <v>13</v>
      </c>
      <c r="E823" t="s">
        <v>14</v>
      </c>
      <c r="F823" t="s">
        <v>15</v>
      </c>
      <c r="G823" t="s">
        <v>15</v>
      </c>
      <c r="H823" t="s">
        <v>15</v>
      </c>
      <c r="I823" s="1">
        <v>56990300</v>
      </c>
    </row>
    <row r="824" spans="1:9" x14ac:dyDescent="0.25">
      <c r="A824" t="str">
        <f>"16008"</f>
        <v>16008</v>
      </c>
      <c r="B824" t="s">
        <v>11</v>
      </c>
      <c r="C824" t="s">
        <v>400</v>
      </c>
      <c r="D824" t="s">
        <v>13</v>
      </c>
      <c r="E824" t="s">
        <v>14</v>
      </c>
      <c r="F824" t="s">
        <v>15</v>
      </c>
      <c r="G824" t="s">
        <v>15</v>
      </c>
      <c r="H824" t="s">
        <v>15</v>
      </c>
      <c r="I824" s="1">
        <v>20728800</v>
      </c>
    </row>
    <row r="825" spans="1:9" x14ac:dyDescent="0.25">
      <c r="A825" t="str">
        <f>"16010"</f>
        <v>16010</v>
      </c>
      <c r="B825" t="s">
        <v>11</v>
      </c>
      <c r="C825" t="s">
        <v>401</v>
      </c>
      <c r="D825" t="s">
        <v>13</v>
      </c>
      <c r="E825" t="s">
        <v>14</v>
      </c>
      <c r="F825" t="s">
        <v>15</v>
      </c>
      <c r="G825" t="s">
        <v>15</v>
      </c>
      <c r="H825" t="s">
        <v>15</v>
      </c>
      <c r="I825" s="1">
        <v>38213000</v>
      </c>
    </row>
    <row r="826" spans="1:9" x14ac:dyDescent="0.25">
      <c r="A826" t="str">
        <f>"16012"</f>
        <v>16012</v>
      </c>
      <c r="B826" t="s">
        <v>11</v>
      </c>
      <c r="C826" t="s">
        <v>46</v>
      </c>
      <c r="D826" t="s">
        <v>13</v>
      </c>
      <c r="E826" t="s">
        <v>14</v>
      </c>
      <c r="F826" t="s">
        <v>15</v>
      </c>
      <c r="G826" t="s">
        <v>15</v>
      </c>
      <c r="H826" t="s">
        <v>15</v>
      </c>
      <c r="I826" s="1">
        <v>109583700</v>
      </c>
    </row>
    <row r="827" spans="1:9" x14ac:dyDescent="0.25">
      <c r="A827" t="str">
        <f>"16014"</f>
        <v>16014</v>
      </c>
      <c r="B827" t="s">
        <v>11</v>
      </c>
      <c r="C827" t="s">
        <v>402</v>
      </c>
      <c r="D827" t="s">
        <v>13</v>
      </c>
      <c r="E827" t="s">
        <v>14</v>
      </c>
      <c r="F827" t="s">
        <v>15</v>
      </c>
      <c r="G827" t="s">
        <v>15</v>
      </c>
      <c r="H827" t="s">
        <v>15</v>
      </c>
      <c r="I827" s="1">
        <v>77145400</v>
      </c>
    </row>
    <row r="828" spans="1:9" x14ac:dyDescent="0.25">
      <c r="A828" t="str">
        <f>"16016"</f>
        <v>16016</v>
      </c>
      <c r="B828" t="s">
        <v>11</v>
      </c>
      <c r="C828" t="s">
        <v>403</v>
      </c>
      <c r="D828" t="s">
        <v>13</v>
      </c>
      <c r="E828" t="s">
        <v>14</v>
      </c>
      <c r="F828" t="s">
        <v>15</v>
      </c>
      <c r="G828" t="s">
        <v>15</v>
      </c>
      <c r="H828" t="s">
        <v>15</v>
      </c>
      <c r="I828" s="1">
        <v>56418100</v>
      </c>
    </row>
    <row r="829" spans="1:9" x14ac:dyDescent="0.25">
      <c r="A829" t="str">
        <f>"16018"</f>
        <v>16018</v>
      </c>
      <c r="B829" t="s">
        <v>11</v>
      </c>
      <c r="C829" t="s">
        <v>404</v>
      </c>
      <c r="D829" t="s">
        <v>13</v>
      </c>
      <c r="E829" t="s">
        <v>14</v>
      </c>
      <c r="F829" t="s">
        <v>15</v>
      </c>
      <c r="G829" t="s">
        <v>15</v>
      </c>
      <c r="H829" t="s">
        <v>15</v>
      </c>
      <c r="I829" s="1">
        <v>58663500</v>
      </c>
    </row>
    <row r="830" spans="1:9" x14ac:dyDescent="0.25">
      <c r="A830" t="str">
        <f>"16020"</f>
        <v>16020</v>
      </c>
      <c r="B830" t="s">
        <v>11</v>
      </c>
      <c r="C830" t="s">
        <v>405</v>
      </c>
      <c r="D830" t="s">
        <v>13</v>
      </c>
      <c r="E830" t="s">
        <v>14</v>
      </c>
      <c r="F830" t="s">
        <v>15</v>
      </c>
      <c r="G830" t="s">
        <v>15</v>
      </c>
      <c r="H830" t="s">
        <v>15</v>
      </c>
      <c r="I830" s="1">
        <v>40018800</v>
      </c>
    </row>
    <row r="831" spans="1:9" x14ac:dyDescent="0.25">
      <c r="A831" t="str">
        <f>"16022"</f>
        <v>16022</v>
      </c>
      <c r="B831" t="s">
        <v>11</v>
      </c>
      <c r="C831" t="s">
        <v>158</v>
      </c>
      <c r="D831" t="s">
        <v>13</v>
      </c>
      <c r="E831" t="s">
        <v>14</v>
      </c>
      <c r="F831" t="s">
        <v>15</v>
      </c>
      <c r="G831" t="s">
        <v>15</v>
      </c>
      <c r="H831" t="s">
        <v>15</v>
      </c>
      <c r="I831" s="1">
        <v>95150900</v>
      </c>
    </row>
    <row r="832" spans="1:9" x14ac:dyDescent="0.25">
      <c r="A832" t="str">
        <f>"16024"</f>
        <v>16024</v>
      </c>
      <c r="B832" t="s">
        <v>11</v>
      </c>
      <c r="C832" t="s">
        <v>406</v>
      </c>
      <c r="D832" t="s">
        <v>13</v>
      </c>
      <c r="E832" t="s">
        <v>14</v>
      </c>
      <c r="F832" t="s">
        <v>15</v>
      </c>
      <c r="G832" t="s">
        <v>15</v>
      </c>
      <c r="H832" t="s">
        <v>15</v>
      </c>
      <c r="I832" s="1">
        <v>91018500</v>
      </c>
    </row>
    <row r="833" spans="1:9" x14ac:dyDescent="0.25">
      <c r="A833" t="str">
        <f>"16026"</f>
        <v>16026</v>
      </c>
      <c r="B833" t="s">
        <v>11</v>
      </c>
      <c r="C833" t="s">
        <v>407</v>
      </c>
      <c r="D833" t="s">
        <v>13</v>
      </c>
      <c r="E833" t="s">
        <v>14</v>
      </c>
      <c r="F833" t="s">
        <v>15</v>
      </c>
      <c r="G833" t="s">
        <v>15</v>
      </c>
      <c r="H833" t="s">
        <v>15</v>
      </c>
      <c r="I833" s="1">
        <v>130411200</v>
      </c>
    </row>
    <row r="834" spans="1:9" x14ac:dyDescent="0.25">
      <c r="A834" t="str">
        <f>"16028"</f>
        <v>16028</v>
      </c>
      <c r="B834" t="s">
        <v>11</v>
      </c>
      <c r="C834" t="s">
        <v>408</v>
      </c>
      <c r="D834" t="s">
        <v>13</v>
      </c>
      <c r="E834" t="s">
        <v>14</v>
      </c>
      <c r="F834" t="s">
        <v>15</v>
      </c>
      <c r="G834" t="s">
        <v>15</v>
      </c>
      <c r="H834" t="s">
        <v>15</v>
      </c>
      <c r="I834" s="1">
        <v>92301300</v>
      </c>
    </row>
    <row r="835" spans="1:9" x14ac:dyDescent="0.25">
      <c r="A835" t="str">
        <f>"16030"</f>
        <v>16030</v>
      </c>
      <c r="B835" t="s">
        <v>11</v>
      </c>
      <c r="C835" t="s">
        <v>409</v>
      </c>
      <c r="D835" t="s">
        <v>13</v>
      </c>
      <c r="E835" t="s">
        <v>14</v>
      </c>
      <c r="F835" t="s">
        <v>15</v>
      </c>
      <c r="G835" t="s">
        <v>15</v>
      </c>
      <c r="H835" t="s">
        <v>15</v>
      </c>
      <c r="I835" s="1">
        <v>210291500</v>
      </c>
    </row>
    <row r="836" spans="1:9" x14ac:dyDescent="0.25">
      <c r="A836" t="str">
        <f>"16032"</f>
        <v>16032</v>
      </c>
      <c r="B836" t="s">
        <v>11</v>
      </c>
      <c r="C836" t="s">
        <v>410</v>
      </c>
      <c r="D836" t="s">
        <v>13</v>
      </c>
      <c r="E836" t="s">
        <v>14</v>
      </c>
      <c r="F836" t="s">
        <v>15</v>
      </c>
      <c r="G836" t="s">
        <v>15</v>
      </c>
      <c r="H836" t="s">
        <v>15</v>
      </c>
      <c r="I836" s="1">
        <v>295425300</v>
      </c>
    </row>
    <row r="837" spans="1:9" x14ac:dyDescent="0.25">
      <c r="A837" t="s">
        <v>32</v>
      </c>
      <c r="B837" t="s">
        <v>33</v>
      </c>
      <c r="C837" t="s">
        <v>34</v>
      </c>
      <c r="D837" t="s">
        <v>13</v>
      </c>
      <c r="E837" t="s">
        <v>14</v>
      </c>
      <c r="F837" t="s">
        <v>15</v>
      </c>
      <c r="G837" t="s">
        <v>15</v>
      </c>
      <c r="H837" t="s">
        <v>15</v>
      </c>
      <c r="I837" s="1">
        <v>1517794300</v>
      </c>
    </row>
    <row r="838" spans="1:9" x14ac:dyDescent="0.25">
      <c r="A838" t="str">
        <f>"16146"</f>
        <v>16146</v>
      </c>
      <c r="B838" t="s">
        <v>35</v>
      </c>
      <c r="C838" t="s">
        <v>411</v>
      </c>
      <c r="D838" t="s">
        <v>13</v>
      </c>
      <c r="E838" t="s">
        <v>14</v>
      </c>
      <c r="F838" t="s">
        <v>15</v>
      </c>
      <c r="G838" t="s">
        <v>15</v>
      </c>
      <c r="H838" t="s">
        <v>15</v>
      </c>
      <c r="I838" s="1">
        <v>190507400</v>
      </c>
    </row>
    <row r="839" spans="1:9" x14ac:dyDescent="0.25">
      <c r="A839" t="str">
        <f>"16165"</f>
        <v>16165</v>
      </c>
      <c r="B839" t="s">
        <v>35</v>
      </c>
      <c r="C839" t="s">
        <v>412</v>
      </c>
      <c r="D839" t="s">
        <v>13</v>
      </c>
      <c r="E839" t="s">
        <v>14</v>
      </c>
      <c r="F839" t="s">
        <v>15</v>
      </c>
      <c r="G839" t="s">
        <v>15</v>
      </c>
      <c r="H839" t="s">
        <v>15</v>
      </c>
      <c r="I839" s="1">
        <v>27460200</v>
      </c>
    </row>
    <row r="840" spans="1:9" x14ac:dyDescent="0.25">
      <c r="A840" t="str">
        <f>"16171"</f>
        <v>16171</v>
      </c>
      <c r="B840" t="s">
        <v>35</v>
      </c>
      <c r="C840" t="s">
        <v>413</v>
      </c>
      <c r="D840" t="s">
        <v>13</v>
      </c>
      <c r="E840" t="s">
        <v>14</v>
      </c>
      <c r="F840" t="s">
        <v>15</v>
      </c>
      <c r="G840" t="s">
        <v>15</v>
      </c>
      <c r="H840" t="s">
        <v>15</v>
      </c>
      <c r="I840" s="1">
        <v>48762400</v>
      </c>
    </row>
    <row r="841" spans="1:9" x14ac:dyDescent="0.25">
      <c r="A841" t="str">
        <f>"16181"</f>
        <v>16181</v>
      </c>
      <c r="B841" t="s">
        <v>35</v>
      </c>
      <c r="C841" t="s">
        <v>407</v>
      </c>
      <c r="D841" t="str">
        <f>"002"</f>
        <v>002</v>
      </c>
      <c r="E841">
        <v>1999</v>
      </c>
      <c r="F841">
        <v>312900</v>
      </c>
      <c r="G841">
        <v>2395700</v>
      </c>
      <c r="H841">
        <v>2082800</v>
      </c>
    </row>
    <row r="842" spans="1:9" x14ac:dyDescent="0.25">
      <c r="A842" t="str">
        <f>"16181"</f>
        <v>16181</v>
      </c>
      <c r="B842" t="s">
        <v>35</v>
      </c>
      <c r="C842" t="s">
        <v>407</v>
      </c>
      <c r="D842" t="str">
        <f>"003"</f>
        <v>003</v>
      </c>
      <c r="E842">
        <v>2011</v>
      </c>
      <c r="F842">
        <v>53900</v>
      </c>
      <c r="G842">
        <v>971700</v>
      </c>
      <c r="H842">
        <v>917800</v>
      </c>
    </row>
    <row r="843" spans="1:9" x14ac:dyDescent="0.25">
      <c r="A843" t="str">
        <f>"16181"</f>
        <v>16181</v>
      </c>
      <c r="B843" t="s">
        <v>35</v>
      </c>
      <c r="C843" t="s">
        <v>407</v>
      </c>
      <c r="D843" t="s">
        <v>13</v>
      </c>
      <c r="E843" t="s">
        <v>14</v>
      </c>
      <c r="F843" t="s">
        <v>15</v>
      </c>
      <c r="G843" t="s">
        <v>15</v>
      </c>
      <c r="H843" t="s">
        <v>15</v>
      </c>
      <c r="I843" s="1">
        <v>46151100</v>
      </c>
    </row>
    <row r="844" spans="1:9" x14ac:dyDescent="0.25">
      <c r="A844" t="str">
        <f>"16182"</f>
        <v>16182</v>
      </c>
      <c r="B844" t="s">
        <v>35</v>
      </c>
      <c r="C844" t="s">
        <v>409</v>
      </c>
      <c r="D844" t="s">
        <v>13</v>
      </c>
      <c r="E844" t="s">
        <v>14</v>
      </c>
      <c r="F844" t="s">
        <v>15</v>
      </c>
      <c r="G844" t="s">
        <v>15</v>
      </c>
      <c r="H844" t="s">
        <v>15</v>
      </c>
      <c r="I844" s="1">
        <v>51281800</v>
      </c>
    </row>
    <row r="845" spans="1:9" x14ac:dyDescent="0.25">
      <c r="A845" t="s">
        <v>32</v>
      </c>
      <c r="B845" t="s">
        <v>37</v>
      </c>
      <c r="C845" t="s">
        <v>34</v>
      </c>
      <c r="D845" t="s">
        <v>13</v>
      </c>
      <c r="E845" t="s">
        <v>14</v>
      </c>
      <c r="F845" t="s">
        <v>15</v>
      </c>
      <c r="G845" t="s">
        <v>15</v>
      </c>
      <c r="H845" t="s">
        <v>15</v>
      </c>
      <c r="I845" s="1">
        <v>364162900</v>
      </c>
    </row>
    <row r="846" spans="1:9" x14ac:dyDescent="0.25">
      <c r="A846" t="str">
        <f t="shared" ref="A846:A852" si="15">"16281"</f>
        <v>16281</v>
      </c>
      <c r="B846" t="s">
        <v>38</v>
      </c>
      <c r="C846" t="s">
        <v>409</v>
      </c>
      <c r="D846" t="str">
        <f>"007"</f>
        <v>007</v>
      </c>
      <c r="E846">
        <v>1996</v>
      </c>
      <c r="F846">
        <v>7399500</v>
      </c>
      <c r="G846">
        <v>19364000</v>
      </c>
      <c r="H846">
        <v>11964500</v>
      </c>
    </row>
    <row r="847" spans="1:9" x14ac:dyDescent="0.25">
      <c r="A847" t="str">
        <f t="shared" si="15"/>
        <v>16281</v>
      </c>
      <c r="B847" t="s">
        <v>38</v>
      </c>
      <c r="C847" t="s">
        <v>409</v>
      </c>
      <c r="D847" t="str">
        <f>"008"</f>
        <v>008</v>
      </c>
      <c r="E847">
        <v>1997</v>
      </c>
      <c r="F847">
        <v>1882700</v>
      </c>
      <c r="G847">
        <v>23279300</v>
      </c>
      <c r="H847">
        <v>21396600</v>
      </c>
    </row>
    <row r="848" spans="1:9" x14ac:dyDescent="0.25">
      <c r="A848" t="str">
        <f t="shared" si="15"/>
        <v>16281</v>
      </c>
      <c r="B848" t="s">
        <v>38</v>
      </c>
      <c r="C848" t="s">
        <v>409</v>
      </c>
      <c r="D848" t="str">
        <f>"009"</f>
        <v>009</v>
      </c>
      <c r="E848">
        <v>2002</v>
      </c>
      <c r="F848">
        <v>8175600</v>
      </c>
      <c r="G848">
        <v>26450100</v>
      </c>
      <c r="H848">
        <v>18274500</v>
      </c>
    </row>
    <row r="849" spans="1:9" x14ac:dyDescent="0.25">
      <c r="A849" t="str">
        <f t="shared" si="15"/>
        <v>16281</v>
      </c>
      <c r="B849" t="s">
        <v>38</v>
      </c>
      <c r="C849" t="s">
        <v>409</v>
      </c>
      <c r="D849" t="str">
        <f>"011"</f>
        <v>011</v>
      </c>
      <c r="E849">
        <v>2008</v>
      </c>
      <c r="F849">
        <v>2387000</v>
      </c>
      <c r="G849">
        <v>10082100</v>
      </c>
      <c r="H849">
        <v>7695100</v>
      </c>
    </row>
    <row r="850" spans="1:9" x14ac:dyDescent="0.25">
      <c r="A850" t="str">
        <f t="shared" si="15"/>
        <v>16281</v>
      </c>
      <c r="B850" t="s">
        <v>38</v>
      </c>
      <c r="C850" t="s">
        <v>409</v>
      </c>
      <c r="D850" t="str">
        <f>"012"</f>
        <v>012</v>
      </c>
      <c r="E850">
        <v>2012</v>
      </c>
      <c r="F850">
        <v>0</v>
      </c>
      <c r="G850">
        <v>0</v>
      </c>
      <c r="H850">
        <v>0</v>
      </c>
    </row>
    <row r="851" spans="1:9" x14ac:dyDescent="0.25">
      <c r="A851" t="str">
        <f t="shared" si="15"/>
        <v>16281</v>
      </c>
      <c r="B851" t="s">
        <v>38</v>
      </c>
      <c r="C851" t="s">
        <v>409</v>
      </c>
      <c r="D851" t="str">
        <f>"013"</f>
        <v>013</v>
      </c>
      <c r="E851">
        <v>2014</v>
      </c>
      <c r="F851">
        <v>2400400</v>
      </c>
      <c r="G851">
        <v>8529700</v>
      </c>
      <c r="H851">
        <v>6129300</v>
      </c>
    </row>
    <row r="852" spans="1:9" x14ac:dyDescent="0.25">
      <c r="A852" t="str">
        <f t="shared" si="15"/>
        <v>16281</v>
      </c>
      <c r="B852" t="s">
        <v>38</v>
      </c>
      <c r="C852" t="s">
        <v>409</v>
      </c>
      <c r="D852" t="s">
        <v>13</v>
      </c>
      <c r="E852" t="s">
        <v>14</v>
      </c>
      <c r="F852" t="s">
        <v>15</v>
      </c>
      <c r="G852" t="s">
        <v>15</v>
      </c>
      <c r="H852" t="s">
        <v>15</v>
      </c>
      <c r="I852" s="1">
        <v>1703728200</v>
      </c>
    </row>
    <row r="853" spans="1:9" x14ac:dyDescent="0.25">
      <c r="A853" t="s">
        <v>32</v>
      </c>
      <c r="B853" t="s">
        <v>40</v>
      </c>
      <c r="C853" t="s">
        <v>34</v>
      </c>
      <c r="D853" t="s">
        <v>13</v>
      </c>
      <c r="E853" t="s">
        <v>14</v>
      </c>
      <c r="F853" t="s">
        <v>15</v>
      </c>
      <c r="G853" t="s">
        <v>15</v>
      </c>
      <c r="H853" t="s">
        <v>15</v>
      </c>
      <c r="I853" s="1">
        <v>1703728200</v>
      </c>
    </row>
    <row r="854" spans="1:9" x14ac:dyDescent="0.25">
      <c r="A854" t="s">
        <v>32</v>
      </c>
      <c r="B854" t="s">
        <v>41</v>
      </c>
      <c r="C854" t="s">
        <v>414</v>
      </c>
      <c r="D854" t="s">
        <v>13</v>
      </c>
      <c r="E854" t="s">
        <v>14</v>
      </c>
      <c r="F854" t="s">
        <v>15</v>
      </c>
      <c r="G854" t="s">
        <v>15</v>
      </c>
      <c r="H854" t="s">
        <v>15</v>
      </c>
      <c r="I854" s="1">
        <v>3585685400</v>
      </c>
    </row>
    <row r="855" spans="1:9" x14ac:dyDescent="0.25">
      <c r="A855" t="str">
        <f>"17002"</f>
        <v>17002</v>
      </c>
      <c r="B855" t="s">
        <v>11</v>
      </c>
      <c r="C855" t="s">
        <v>415</v>
      </c>
      <c r="D855" t="s">
        <v>13</v>
      </c>
      <c r="E855" t="s">
        <v>14</v>
      </c>
      <c r="F855" t="s">
        <v>15</v>
      </c>
      <c r="G855" t="s">
        <v>15</v>
      </c>
      <c r="H855" t="s">
        <v>15</v>
      </c>
      <c r="I855" s="1">
        <v>89888600</v>
      </c>
    </row>
    <row r="856" spans="1:9" x14ac:dyDescent="0.25">
      <c r="A856" t="str">
        <f>"17004"</f>
        <v>17004</v>
      </c>
      <c r="B856" t="s">
        <v>11</v>
      </c>
      <c r="C856" t="s">
        <v>314</v>
      </c>
      <c r="D856" t="s">
        <v>13</v>
      </c>
      <c r="E856" t="s">
        <v>14</v>
      </c>
      <c r="F856" t="s">
        <v>15</v>
      </c>
      <c r="G856" t="s">
        <v>15</v>
      </c>
      <c r="H856" t="s">
        <v>15</v>
      </c>
      <c r="I856" s="1">
        <v>109044900</v>
      </c>
    </row>
    <row r="857" spans="1:9" x14ac:dyDescent="0.25">
      <c r="A857" t="str">
        <f>"17006"</f>
        <v>17006</v>
      </c>
      <c r="B857" t="s">
        <v>11</v>
      </c>
      <c r="C857" t="s">
        <v>416</v>
      </c>
      <c r="D857" t="s">
        <v>13</v>
      </c>
      <c r="E857" t="s">
        <v>14</v>
      </c>
      <c r="F857" t="s">
        <v>15</v>
      </c>
      <c r="G857" t="s">
        <v>15</v>
      </c>
      <c r="H857" t="s">
        <v>15</v>
      </c>
      <c r="I857" s="1">
        <v>86459500</v>
      </c>
    </row>
    <row r="858" spans="1:9" x14ac:dyDescent="0.25">
      <c r="A858" t="str">
        <f>"17008"</f>
        <v>17008</v>
      </c>
      <c r="B858" t="s">
        <v>11</v>
      </c>
      <c r="C858" t="s">
        <v>417</v>
      </c>
      <c r="D858" t="s">
        <v>13</v>
      </c>
      <c r="E858" t="s">
        <v>14</v>
      </c>
      <c r="F858" t="s">
        <v>15</v>
      </c>
      <c r="G858" t="s">
        <v>15</v>
      </c>
      <c r="H858" t="s">
        <v>15</v>
      </c>
      <c r="I858" s="1">
        <v>142752200</v>
      </c>
    </row>
    <row r="859" spans="1:9" x14ac:dyDescent="0.25">
      <c r="A859" t="str">
        <f>"17010"</f>
        <v>17010</v>
      </c>
      <c r="B859" t="s">
        <v>11</v>
      </c>
      <c r="C859" t="s">
        <v>221</v>
      </c>
      <c r="D859" t="s">
        <v>13</v>
      </c>
      <c r="E859" t="s">
        <v>14</v>
      </c>
      <c r="F859" t="s">
        <v>15</v>
      </c>
      <c r="G859" t="s">
        <v>15</v>
      </c>
      <c r="H859" t="s">
        <v>15</v>
      </c>
      <c r="I859" s="1">
        <v>42471700</v>
      </c>
    </row>
    <row r="860" spans="1:9" x14ac:dyDescent="0.25">
      <c r="A860" t="str">
        <f>"17012"</f>
        <v>17012</v>
      </c>
      <c r="B860" t="s">
        <v>11</v>
      </c>
      <c r="C860" t="s">
        <v>418</v>
      </c>
      <c r="D860" t="s">
        <v>13</v>
      </c>
      <c r="E860" t="s">
        <v>14</v>
      </c>
      <c r="F860" t="s">
        <v>15</v>
      </c>
      <c r="G860" t="s">
        <v>15</v>
      </c>
      <c r="H860" t="s">
        <v>15</v>
      </c>
      <c r="I860" s="1">
        <v>63349900</v>
      </c>
    </row>
    <row r="861" spans="1:9" x14ac:dyDescent="0.25">
      <c r="A861" t="str">
        <f>"17014"</f>
        <v>17014</v>
      </c>
      <c r="B861" t="s">
        <v>11</v>
      </c>
      <c r="C861" t="s">
        <v>419</v>
      </c>
      <c r="D861" t="s">
        <v>13</v>
      </c>
      <c r="E861" t="s">
        <v>14</v>
      </c>
      <c r="F861" t="s">
        <v>15</v>
      </c>
      <c r="G861" t="s">
        <v>15</v>
      </c>
      <c r="H861" t="s">
        <v>15</v>
      </c>
      <c r="I861" s="1">
        <v>61813800</v>
      </c>
    </row>
    <row r="862" spans="1:9" x14ac:dyDescent="0.25">
      <c r="A862" t="str">
        <f>"17016"</f>
        <v>17016</v>
      </c>
      <c r="B862" t="s">
        <v>11</v>
      </c>
      <c r="C862" t="s">
        <v>420</v>
      </c>
      <c r="D862" t="s">
        <v>13</v>
      </c>
      <c r="E862" t="s">
        <v>14</v>
      </c>
      <c r="F862" t="s">
        <v>15</v>
      </c>
      <c r="G862" t="s">
        <v>15</v>
      </c>
      <c r="H862" t="s">
        <v>15</v>
      </c>
      <c r="I862" s="1">
        <v>256438200</v>
      </c>
    </row>
    <row r="863" spans="1:9" x14ac:dyDescent="0.25">
      <c r="A863" t="str">
        <f>"17018"</f>
        <v>17018</v>
      </c>
      <c r="B863" t="s">
        <v>11</v>
      </c>
      <c r="C863" t="s">
        <v>25</v>
      </c>
      <c r="D863" t="s">
        <v>13</v>
      </c>
      <c r="E863" t="s">
        <v>14</v>
      </c>
      <c r="F863" t="s">
        <v>15</v>
      </c>
      <c r="G863" t="s">
        <v>15</v>
      </c>
      <c r="H863" t="s">
        <v>15</v>
      </c>
      <c r="I863" s="1">
        <v>47288100</v>
      </c>
    </row>
    <row r="864" spans="1:9" x14ac:dyDescent="0.25">
      <c r="A864" t="str">
        <f>"17020"</f>
        <v>17020</v>
      </c>
      <c r="B864" t="s">
        <v>11</v>
      </c>
      <c r="C864" t="s">
        <v>421</v>
      </c>
      <c r="D864" t="s">
        <v>13</v>
      </c>
      <c r="E864" t="s">
        <v>14</v>
      </c>
      <c r="F864" t="s">
        <v>15</v>
      </c>
      <c r="G864" t="s">
        <v>15</v>
      </c>
      <c r="H864" t="s">
        <v>15</v>
      </c>
      <c r="I864" s="1">
        <v>43642700</v>
      </c>
    </row>
    <row r="865" spans="1:9" x14ac:dyDescent="0.25">
      <c r="A865" t="str">
        <f>"17022"</f>
        <v>17022</v>
      </c>
      <c r="B865" t="s">
        <v>11</v>
      </c>
      <c r="C865" t="s">
        <v>422</v>
      </c>
      <c r="D865" t="s">
        <v>13</v>
      </c>
      <c r="E865" t="s">
        <v>14</v>
      </c>
      <c r="F865" t="s">
        <v>15</v>
      </c>
      <c r="G865" t="s">
        <v>15</v>
      </c>
      <c r="H865" t="s">
        <v>15</v>
      </c>
      <c r="I865" s="1">
        <v>18165000</v>
      </c>
    </row>
    <row r="866" spans="1:9" x14ac:dyDescent="0.25">
      <c r="A866" t="str">
        <f>"17024"</f>
        <v>17024</v>
      </c>
      <c r="B866" t="s">
        <v>11</v>
      </c>
      <c r="C866" t="s">
        <v>423</v>
      </c>
      <c r="D866" t="s">
        <v>13</v>
      </c>
      <c r="E866" t="s">
        <v>14</v>
      </c>
      <c r="F866" t="s">
        <v>15</v>
      </c>
      <c r="G866" t="s">
        <v>15</v>
      </c>
      <c r="H866" t="s">
        <v>15</v>
      </c>
      <c r="I866" s="1">
        <v>216125400</v>
      </c>
    </row>
    <row r="867" spans="1:9" x14ac:dyDescent="0.25">
      <c r="A867" t="str">
        <f>"17026"</f>
        <v>17026</v>
      </c>
      <c r="B867" t="s">
        <v>11</v>
      </c>
      <c r="C867" t="s">
        <v>424</v>
      </c>
      <c r="D867" t="s">
        <v>13</v>
      </c>
      <c r="E867" t="s">
        <v>14</v>
      </c>
      <c r="F867" t="s">
        <v>15</v>
      </c>
      <c r="G867" t="s">
        <v>15</v>
      </c>
      <c r="H867" t="s">
        <v>15</v>
      </c>
      <c r="I867" s="1">
        <v>76328900</v>
      </c>
    </row>
    <row r="868" spans="1:9" x14ac:dyDescent="0.25">
      <c r="A868" t="str">
        <f>"17028"</f>
        <v>17028</v>
      </c>
      <c r="B868" t="s">
        <v>11</v>
      </c>
      <c r="C868" t="s">
        <v>425</v>
      </c>
      <c r="D868" t="s">
        <v>13</v>
      </c>
      <c r="E868" t="s">
        <v>14</v>
      </c>
      <c r="F868" t="s">
        <v>15</v>
      </c>
      <c r="G868" t="s">
        <v>15</v>
      </c>
      <c r="H868" t="s">
        <v>15</v>
      </c>
      <c r="I868" s="1">
        <v>43882000</v>
      </c>
    </row>
    <row r="869" spans="1:9" x14ac:dyDescent="0.25">
      <c r="A869" t="str">
        <f>"17030"</f>
        <v>17030</v>
      </c>
      <c r="B869" t="s">
        <v>11</v>
      </c>
      <c r="C869" t="s">
        <v>426</v>
      </c>
      <c r="D869" t="s">
        <v>13</v>
      </c>
      <c r="E869" t="s">
        <v>14</v>
      </c>
      <c r="F869" t="s">
        <v>15</v>
      </c>
      <c r="G869" t="s">
        <v>15</v>
      </c>
      <c r="H869" t="s">
        <v>15</v>
      </c>
      <c r="I869" s="1">
        <v>43265600</v>
      </c>
    </row>
    <row r="870" spans="1:9" x14ac:dyDescent="0.25">
      <c r="A870" t="str">
        <f>"17032"</f>
        <v>17032</v>
      </c>
      <c r="B870" t="s">
        <v>11</v>
      </c>
      <c r="C870" t="s">
        <v>237</v>
      </c>
      <c r="D870" t="s">
        <v>13</v>
      </c>
      <c r="E870" t="s">
        <v>14</v>
      </c>
      <c r="F870" t="s">
        <v>15</v>
      </c>
      <c r="G870" t="s">
        <v>15</v>
      </c>
      <c r="H870" t="s">
        <v>15</v>
      </c>
      <c r="I870" s="1">
        <v>78663500</v>
      </c>
    </row>
    <row r="871" spans="1:9" x14ac:dyDescent="0.25">
      <c r="A871" t="str">
        <f>"17034"</f>
        <v>17034</v>
      </c>
      <c r="B871" t="s">
        <v>11</v>
      </c>
      <c r="C871" t="s">
        <v>427</v>
      </c>
      <c r="D871" t="s">
        <v>13</v>
      </c>
      <c r="E871" t="s">
        <v>14</v>
      </c>
      <c r="F871" t="s">
        <v>15</v>
      </c>
      <c r="G871" t="s">
        <v>15</v>
      </c>
      <c r="H871" t="s">
        <v>15</v>
      </c>
      <c r="I871" s="1">
        <v>150823700</v>
      </c>
    </row>
    <row r="872" spans="1:9" x14ac:dyDescent="0.25">
      <c r="A872" t="str">
        <f>"17036"</f>
        <v>17036</v>
      </c>
      <c r="B872" t="s">
        <v>11</v>
      </c>
      <c r="C872" t="s">
        <v>428</v>
      </c>
      <c r="D872" t="s">
        <v>13</v>
      </c>
      <c r="E872" t="s">
        <v>14</v>
      </c>
      <c r="F872" t="s">
        <v>15</v>
      </c>
      <c r="G872" t="s">
        <v>15</v>
      </c>
      <c r="H872" t="s">
        <v>15</v>
      </c>
      <c r="I872" s="1">
        <v>62125500</v>
      </c>
    </row>
    <row r="873" spans="1:9" x14ac:dyDescent="0.25">
      <c r="A873" t="str">
        <f>"17038"</f>
        <v>17038</v>
      </c>
      <c r="B873" t="s">
        <v>11</v>
      </c>
      <c r="C873" t="s">
        <v>429</v>
      </c>
      <c r="D873" t="s">
        <v>13</v>
      </c>
      <c r="E873" t="s">
        <v>14</v>
      </c>
      <c r="F873" t="s">
        <v>15</v>
      </c>
      <c r="G873" t="s">
        <v>15</v>
      </c>
      <c r="H873" t="s">
        <v>15</v>
      </c>
      <c r="I873" s="1">
        <v>246420000</v>
      </c>
    </row>
    <row r="874" spans="1:9" x14ac:dyDescent="0.25">
      <c r="A874" t="str">
        <f>"17040"</f>
        <v>17040</v>
      </c>
      <c r="B874" t="s">
        <v>11</v>
      </c>
      <c r="C874" t="s">
        <v>430</v>
      </c>
      <c r="D874" t="s">
        <v>13</v>
      </c>
      <c r="E874" t="s">
        <v>14</v>
      </c>
      <c r="F874" t="s">
        <v>15</v>
      </c>
      <c r="G874" t="s">
        <v>15</v>
      </c>
      <c r="H874" t="s">
        <v>15</v>
      </c>
      <c r="I874" s="1">
        <v>45235900</v>
      </c>
    </row>
    <row r="875" spans="1:9" x14ac:dyDescent="0.25">
      <c r="A875" t="str">
        <f>"17042"</f>
        <v>17042</v>
      </c>
      <c r="B875" t="s">
        <v>11</v>
      </c>
      <c r="C875" t="s">
        <v>241</v>
      </c>
      <c r="D875" t="s">
        <v>13</v>
      </c>
      <c r="E875" t="s">
        <v>14</v>
      </c>
      <c r="F875" t="s">
        <v>15</v>
      </c>
      <c r="G875" t="s">
        <v>15</v>
      </c>
      <c r="H875" t="s">
        <v>15</v>
      </c>
      <c r="I875" s="1">
        <v>52994100</v>
      </c>
    </row>
    <row r="876" spans="1:9" x14ac:dyDescent="0.25">
      <c r="A876" t="str">
        <f>"17044"</f>
        <v>17044</v>
      </c>
      <c r="B876" t="s">
        <v>11</v>
      </c>
      <c r="C876" t="s">
        <v>431</v>
      </c>
      <c r="D876" t="s">
        <v>13</v>
      </c>
      <c r="E876" t="s">
        <v>14</v>
      </c>
      <c r="F876" t="s">
        <v>15</v>
      </c>
      <c r="G876" t="s">
        <v>15</v>
      </c>
      <c r="H876" t="s">
        <v>15</v>
      </c>
      <c r="I876" s="1">
        <v>41763300</v>
      </c>
    </row>
    <row r="877" spans="1:9" x14ac:dyDescent="0.25">
      <c r="A877" t="s">
        <v>32</v>
      </c>
      <c r="B877" t="s">
        <v>33</v>
      </c>
      <c r="C877" t="s">
        <v>34</v>
      </c>
      <c r="D877" t="s">
        <v>13</v>
      </c>
      <c r="E877" t="s">
        <v>14</v>
      </c>
      <c r="F877" t="s">
        <v>15</v>
      </c>
      <c r="G877" t="s">
        <v>15</v>
      </c>
      <c r="H877" t="s">
        <v>15</v>
      </c>
      <c r="I877" s="1">
        <v>2018942500</v>
      </c>
    </row>
    <row r="878" spans="1:9" x14ac:dyDescent="0.25">
      <c r="A878" t="str">
        <f>"17106"</f>
        <v>17106</v>
      </c>
      <c r="B878" t="s">
        <v>35</v>
      </c>
      <c r="C878" t="s">
        <v>432</v>
      </c>
      <c r="D878" t="str">
        <f>"002"</f>
        <v>002</v>
      </c>
      <c r="E878">
        <v>1996</v>
      </c>
      <c r="F878">
        <v>334900</v>
      </c>
      <c r="G878">
        <v>10282500</v>
      </c>
      <c r="H878">
        <v>9947600</v>
      </c>
    </row>
    <row r="879" spans="1:9" x14ac:dyDescent="0.25">
      <c r="A879" t="str">
        <f>"17106"</f>
        <v>17106</v>
      </c>
      <c r="B879" t="s">
        <v>35</v>
      </c>
      <c r="C879" t="s">
        <v>432</v>
      </c>
      <c r="D879" t="str">
        <f>"003"</f>
        <v>003</v>
      </c>
      <c r="E879">
        <v>2007</v>
      </c>
      <c r="F879">
        <v>1520500</v>
      </c>
      <c r="G879">
        <v>1165300</v>
      </c>
      <c r="H879">
        <v>0</v>
      </c>
    </row>
    <row r="880" spans="1:9" x14ac:dyDescent="0.25">
      <c r="A880" t="str">
        <f>"17106"</f>
        <v>17106</v>
      </c>
      <c r="B880" t="s">
        <v>35</v>
      </c>
      <c r="C880" t="s">
        <v>432</v>
      </c>
      <c r="D880" t="s">
        <v>13</v>
      </c>
      <c r="E880" t="s">
        <v>14</v>
      </c>
      <c r="F880" t="s">
        <v>15</v>
      </c>
      <c r="G880" t="s">
        <v>15</v>
      </c>
      <c r="H880" t="s">
        <v>15</v>
      </c>
      <c r="I880" s="1">
        <v>39029100</v>
      </c>
    </row>
    <row r="881" spans="1:9" x14ac:dyDescent="0.25">
      <c r="A881" t="str">
        <f>"17111"</f>
        <v>17111</v>
      </c>
      <c r="B881" t="s">
        <v>35</v>
      </c>
      <c r="C881" t="s">
        <v>415</v>
      </c>
      <c r="D881" t="str">
        <f>"003"</f>
        <v>003</v>
      </c>
      <c r="E881">
        <v>2002</v>
      </c>
      <c r="F881">
        <v>4436900</v>
      </c>
      <c r="G881">
        <v>7673500</v>
      </c>
      <c r="H881">
        <v>3236600</v>
      </c>
    </row>
    <row r="882" spans="1:9" x14ac:dyDescent="0.25">
      <c r="A882" t="str">
        <f>"17111"</f>
        <v>17111</v>
      </c>
      <c r="B882" t="s">
        <v>35</v>
      </c>
      <c r="C882" t="s">
        <v>415</v>
      </c>
      <c r="D882" t="str">
        <f>"004"</f>
        <v>004</v>
      </c>
      <c r="E882">
        <v>2006</v>
      </c>
      <c r="F882">
        <v>1876600</v>
      </c>
      <c r="G882">
        <v>3104600</v>
      </c>
      <c r="H882">
        <v>1228000</v>
      </c>
    </row>
    <row r="883" spans="1:9" x14ac:dyDescent="0.25">
      <c r="A883" t="str">
        <f>"17111"</f>
        <v>17111</v>
      </c>
      <c r="B883" t="s">
        <v>35</v>
      </c>
      <c r="C883" t="s">
        <v>415</v>
      </c>
      <c r="D883" t="s">
        <v>13</v>
      </c>
      <c r="E883" t="s">
        <v>14</v>
      </c>
      <c r="F883" t="s">
        <v>15</v>
      </c>
      <c r="G883" t="s">
        <v>15</v>
      </c>
      <c r="H883" t="s">
        <v>15</v>
      </c>
      <c r="I883" s="1">
        <v>50226300</v>
      </c>
    </row>
    <row r="884" spans="1:9" x14ac:dyDescent="0.25">
      <c r="A884" t="str">
        <f>"17116"</f>
        <v>17116</v>
      </c>
      <c r="B884" t="s">
        <v>35</v>
      </c>
      <c r="C884" t="s">
        <v>433</v>
      </c>
      <c r="D884" t="s">
        <v>13</v>
      </c>
      <c r="E884" t="s">
        <v>14</v>
      </c>
      <c r="F884" t="s">
        <v>15</v>
      </c>
      <c r="G884" t="s">
        <v>15</v>
      </c>
      <c r="H884" t="s">
        <v>15</v>
      </c>
      <c r="I884" s="1">
        <v>11030600</v>
      </c>
    </row>
    <row r="885" spans="1:9" x14ac:dyDescent="0.25">
      <c r="A885" t="str">
        <f>"17121"</f>
        <v>17121</v>
      </c>
      <c r="B885" t="s">
        <v>35</v>
      </c>
      <c r="C885" t="s">
        <v>417</v>
      </c>
      <c r="D885" t="str">
        <f>"001"</f>
        <v>001</v>
      </c>
      <c r="E885">
        <v>2007</v>
      </c>
      <c r="F885">
        <v>2499700</v>
      </c>
      <c r="G885">
        <v>4083700</v>
      </c>
      <c r="H885">
        <v>1584000</v>
      </c>
    </row>
    <row r="886" spans="1:9" x14ac:dyDescent="0.25">
      <c r="A886" t="str">
        <f>"17121"</f>
        <v>17121</v>
      </c>
      <c r="B886" t="s">
        <v>35</v>
      </c>
      <c r="C886" t="s">
        <v>417</v>
      </c>
      <c r="D886" t="s">
        <v>13</v>
      </c>
      <c r="E886" t="s">
        <v>14</v>
      </c>
      <c r="F886" t="s">
        <v>15</v>
      </c>
      <c r="G886" t="s">
        <v>15</v>
      </c>
      <c r="H886" t="s">
        <v>15</v>
      </c>
      <c r="I886" s="1">
        <v>38307500</v>
      </c>
    </row>
    <row r="887" spans="1:9" x14ac:dyDescent="0.25">
      <c r="A887" t="str">
        <f>"17141"</f>
        <v>17141</v>
      </c>
      <c r="B887" t="s">
        <v>35</v>
      </c>
      <c r="C887" t="s">
        <v>434</v>
      </c>
      <c r="D887" t="str">
        <f>"002"</f>
        <v>002</v>
      </c>
      <c r="E887">
        <v>1997</v>
      </c>
      <c r="F887">
        <v>1686000</v>
      </c>
      <c r="G887">
        <v>2194600</v>
      </c>
      <c r="H887">
        <v>508600</v>
      </c>
    </row>
    <row r="888" spans="1:9" x14ac:dyDescent="0.25">
      <c r="A888" t="str">
        <f>"17141"</f>
        <v>17141</v>
      </c>
      <c r="B888" t="s">
        <v>35</v>
      </c>
      <c r="C888" t="s">
        <v>434</v>
      </c>
      <c r="D888" t="str">
        <f>"003"</f>
        <v>003</v>
      </c>
      <c r="E888">
        <v>2005</v>
      </c>
      <c r="F888">
        <v>201200</v>
      </c>
      <c r="G888">
        <v>3084000</v>
      </c>
      <c r="H888">
        <v>2882800</v>
      </c>
    </row>
    <row r="889" spans="1:9" x14ac:dyDescent="0.25">
      <c r="A889" t="str">
        <f>"17141"</f>
        <v>17141</v>
      </c>
      <c r="B889" t="s">
        <v>35</v>
      </c>
      <c r="C889" t="s">
        <v>434</v>
      </c>
      <c r="D889" t="s">
        <v>13</v>
      </c>
      <c r="E889" t="s">
        <v>14</v>
      </c>
      <c r="F889" t="s">
        <v>15</v>
      </c>
      <c r="G889" t="s">
        <v>15</v>
      </c>
      <c r="H889" t="s">
        <v>15</v>
      </c>
      <c r="I889" s="1">
        <v>20356700</v>
      </c>
    </row>
    <row r="890" spans="1:9" x14ac:dyDescent="0.25">
      <c r="A890" t="str">
        <f>"17176"</f>
        <v>17176</v>
      </c>
      <c r="B890" t="s">
        <v>35</v>
      </c>
      <c r="C890" t="s">
        <v>435</v>
      </c>
      <c r="D890" t="str">
        <f>"001"</f>
        <v>001</v>
      </c>
      <c r="E890">
        <v>2006</v>
      </c>
      <c r="F890">
        <v>1614000</v>
      </c>
      <c r="G890">
        <v>2791100</v>
      </c>
      <c r="H890">
        <v>1177100</v>
      </c>
    </row>
    <row r="891" spans="1:9" x14ac:dyDescent="0.25">
      <c r="A891" t="str">
        <f>"17176"</f>
        <v>17176</v>
      </c>
      <c r="B891" t="s">
        <v>35</v>
      </c>
      <c r="C891" t="s">
        <v>435</v>
      </c>
      <c r="D891" t="s">
        <v>13</v>
      </c>
      <c r="E891" t="s">
        <v>14</v>
      </c>
      <c r="F891" t="s">
        <v>15</v>
      </c>
      <c r="G891" t="s">
        <v>15</v>
      </c>
      <c r="H891" t="s">
        <v>15</v>
      </c>
      <c r="I891" s="1">
        <v>13335600</v>
      </c>
    </row>
    <row r="892" spans="1:9" x14ac:dyDescent="0.25">
      <c r="A892" t="str">
        <f>"17191"</f>
        <v>17191</v>
      </c>
      <c r="B892" t="s">
        <v>35</v>
      </c>
      <c r="C892" t="s">
        <v>436</v>
      </c>
      <c r="D892" t="s">
        <v>13</v>
      </c>
      <c r="E892" t="s">
        <v>14</v>
      </c>
      <c r="F892" t="s">
        <v>15</v>
      </c>
      <c r="G892" t="s">
        <v>15</v>
      </c>
      <c r="H892" t="s">
        <v>15</v>
      </c>
      <c r="I892" s="1">
        <v>10057700</v>
      </c>
    </row>
    <row r="893" spans="1:9" x14ac:dyDescent="0.25">
      <c r="A893" t="s">
        <v>32</v>
      </c>
      <c r="B893" t="s">
        <v>37</v>
      </c>
      <c r="C893" t="s">
        <v>34</v>
      </c>
      <c r="D893" t="s">
        <v>13</v>
      </c>
      <c r="E893" t="s">
        <v>14</v>
      </c>
      <c r="F893" t="s">
        <v>15</v>
      </c>
      <c r="G893" t="s">
        <v>15</v>
      </c>
      <c r="H893" t="s">
        <v>15</v>
      </c>
      <c r="I893" s="1">
        <v>182343500</v>
      </c>
    </row>
    <row r="894" spans="1:9" x14ac:dyDescent="0.25">
      <c r="A894" t="str">
        <f t="shared" ref="A894:A899" si="16">"17251"</f>
        <v>17251</v>
      </c>
      <c r="B894" t="s">
        <v>38</v>
      </c>
      <c r="C894" t="s">
        <v>420</v>
      </c>
      <c r="D894" t="str">
        <f>"011"</f>
        <v>011</v>
      </c>
      <c r="E894">
        <v>2001</v>
      </c>
      <c r="F894">
        <v>6998100</v>
      </c>
      <c r="G894">
        <v>56131600</v>
      </c>
      <c r="H894">
        <v>49133500</v>
      </c>
    </row>
    <row r="895" spans="1:9" x14ac:dyDescent="0.25">
      <c r="A895" t="str">
        <f t="shared" si="16"/>
        <v>17251</v>
      </c>
      <c r="B895" t="s">
        <v>38</v>
      </c>
      <c r="C895" t="s">
        <v>420</v>
      </c>
      <c r="D895" t="str">
        <f>"012"</f>
        <v>012</v>
      </c>
      <c r="E895">
        <v>2003</v>
      </c>
      <c r="F895">
        <v>1671200</v>
      </c>
      <c r="G895">
        <v>21454100</v>
      </c>
      <c r="H895">
        <v>19782900</v>
      </c>
    </row>
    <row r="896" spans="1:9" x14ac:dyDescent="0.25">
      <c r="A896" t="str">
        <f t="shared" si="16"/>
        <v>17251</v>
      </c>
      <c r="B896" t="s">
        <v>38</v>
      </c>
      <c r="C896" t="s">
        <v>420</v>
      </c>
      <c r="D896" t="str">
        <f>"013"</f>
        <v>013</v>
      </c>
      <c r="E896">
        <v>2004</v>
      </c>
      <c r="F896">
        <v>161900</v>
      </c>
      <c r="G896">
        <v>5561600</v>
      </c>
      <c r="H896">
        <v>5399700</v>
      </c>
    </row>
    <row r="897" spans="1:9" x14ac:dyDescent="0.25">
      <c r="A897" t="str">
        <f t="shared" si="16"/>
        <v>17251</v>
      </c>
      <c r="B897" t="s">
        <v>38</v>
      </c>
      <c r="C897" t="s">
        <v>420</v>
      </c>
      <c r="D897" t="str">
        <f>"014"</f>
        <v>014</v>
      </c>
      <c r="E897">
        <v>2004</v>
      </c>
      <c r="F897">
        <v>7879600</v>
      </c>
      <c r="G897">
        <v>8321500</v>
      </c>
      <c r="H897">
        <v>441900</v>
      </c>
    </row>
    <row r="898" spans="1:9" x14ac:dyDescent="0.25">
      <c r="A898" t="str">
        <f t="shared" si="16"/>
        <v>17251</v>
      </c>
      <c r="B898" t="s">
        <v>38</v>
      </c>
      <c r="C898" t="s">
        <v>420</v>
      </c>
      <c r="D898" t="str">
        <f>"015"</f>
        <v>015</v>
      </c>
      <c r="E898">
        <v>2005</v>
      </c>
      <c r="F898">
        <v>22246100</v>
      </c>
      <c r="G898">
        <v>36699100</v>
      </c>
      <c r="H898">
        <v>14453000</v>
      </c>
    </row>
    <row r="899" spans="1:9" x14ac:dyDescent="0.25">
      <c r="A899" t="str">
        <f t="shared" si="16"/>
        <v>17251</v>
      </c>
      <c r="B899" t="s">
        <v>38</v>
      </c>
      <c r="C899" t="s">
        <v>420</v>
      </c>
      <c r="D899" t="s">
        <v>13</v>
      </c>
      <c r="E899" t="s">
        <v>14</v>
      </c>
      <c r="F899" t="s">
        <v>15</v>
      </c>
      <c r="G899" t="s">
        <v>15</v>
      </c>
      <c r="H899" t="s">
        <v>15</v>
      </c>
      <c r="I899" s="1">
        <v>1043182200</v>
      </c>
    </row>
    <row r="900" spans="1:9" x14ac:dyDescent="0.25">
      <c r="A900" t="s">
        <v>32</v>
      </c>
      <c r="B900" t="s">
        <v>40</v>
      </c>
      <c r="C900" t="s">
        <v>34</v>
      </c>
      <c r="D900" t="s">
        <v>13</v>
      </c>
      <c r="E900" t="s">
        <v>14</v>
      </c>
      <c r="F900" t="s">
        <v>15</v>
      </c>
      <c r="G900" t="s">
        <v>15</v>
      </c>
      <c r="H900" t="s">
        <v>15</v>
      </c>
      <c r="I900" s="1">
        <v>1043182200</v>
      </c>
    </row>
    <row r="901" spans="1:9" x14ac:dyDescent="0.25">
      <c r="A901" t="s">
        <v>32</v>
      </c>
      <c r="B901" t="s">
        <v>41</v>
      </c>
      <c r="C901" t="s">
        <v>314</v>
      </c>
      <c r="D901" t="s">
        <v>13</v>
      </c>
      <c r="E901" t="s">
        <v>14</v>
      </c>
      <c r="F901" t="s">
        <v>15</v>
      </c>
      <c r="G901" t="s">
        <v>15</v>
      </c>
      <c r="H901" t="s">
        <v>15</v>
      </c>
      <c r="I901" s="1">
        <v>3244468200</v>
      </c>
    </row>
    <row r="902" spans="1:9" x14ac:dyDescent="0.25">
      <c r="A902" t="str">
        <f>"18002"</f>
        <v>18002</v>
      </c>
      <c r="B902" t="s">
        <v>11</v>
      </c>
      <c r="C902" t="s">
        <v>437</v>
      </c>
      <c r="D902" t="s">
        <v>13</v>
      </c>
      <c r="E902" t="s">
        <v>14</v>
      </c>
      <c r="F902" t="s">
        <v>15</v>
      </c>
      <c r="G902" t="s">
        <v>15</v>
      </c>
      <c r="H902" t="s">
        <v>15</v>
      </c>
      <c r="I902" s="1">
        <v>156233700</v>
      </c>
    </row>
    <row r="903" spans="1:9" x14ac:dyDescent="0.25">
      <c r="A903" t="str">
        <f>"18004"</f>
        <v>18004</v>
      </c>
      <c r="B903" t="s">
        <v>11</v>
      </c>
      <c r="C903" t="s">
        <v>438</v>
      </c>
      <c r="D903" t="s">
        <v>13</v>
      </c>
      <c r="E903" t="s">
        <v>14</v>
      </c>
      <c r="F903" t="s">
        <v>15</v>
      </c>
      <c r="G903" t="s">
        <v>15</v>
      </c>
      <c r="H903" t="s">
        <v>15</v>
      </c>
      <c r="I903" s="1">
        <v>186146400</v>
      </c>
    </row>
    <row r="904" spans="1:9" x14ac:dyDescent="0.25">
      <c r="A904" t="str">
        <f>"18006"</f>
        <v>18006</v>
      </c>
      <c r="B904" t="s">
        <v>11</v>
      </c>
      <c r="C904" t="s">
        <v>439</v>
      </c>
      <c r="D904" t="s">
        <v>13</v>
      </c>
      <c r="E904" t="s">
        <v>14</v>
      </c>
      <c r="F904" t="s">
        <v>15</v>
      </c>
      <c r="G904" t="s">
        <v>15</v>
      </c>
      <c r="H904" t="s">
        <v>15</v>
      </c>
      <c r="I904" s="1">
        <v>64568800</v>
      </c>
    </row>
    <row r="905" spans="1:9" x14ac:dyDescent="0.25">
      <c r="A905" t="str">
        <f>"18008"</f>
        <v>18008</v>
      </c>
      <c r="B905" t="s">
        <v>11</v>
      </c>
      <c r="C905" t="s">
        <v>440</v>
      </c>
      <c r="D905" t="s">
        <v>13</v>
      </c>
      <c r="E905" t="s">
        <v>14</v>
      </c>
      <c r="F905" t="s">
        <v>15</v>
      </c>
      <c r="G905" t="s">
        <v>15</v>
      </c>
      <c r="H905" t="s">
        <v>15</v>
      </c>
      <c r="I905" s="1">
        <v>73276200</v>
      </c>
    </row>
    <row r="906" spans="1:9" x14ac:dyDescent="0.25">
      <c r="A906" t="str">
        <f>"18010"</f>
        <v>18010</v>
      </c>
      <c r="B906" t="s">
        <v>11</v>
      </c>
      <c r="C906" t="s">
        <v>441</v>
      </c>
      <c r="D906" t="s">
        <v>13</v>
      </c>
      <c r="E906" t="s">
        <v>14</v>
      </c>
      <c r="F906" t="s">
        <v>15</v>
      </c>
      <c r="G906" t="s">
        <v>15</v>
      </c>
      <c r="H906" t="s">
        <v>15</v>
      </c>
      <c r="I906" s="1">
        <v>31312200</v>
      </c>
    </row>
    <row r="907" spans="1:9" x14ac:dyDescent="0.25">
      <c r="A907" t="str">
        <f>"18012"</f>
        <v>18012</v>
      </c>
      <c r="B907" t="s">
        <v>11</v>
      </c>
      <c r="C907" t="s">
        <v>22</v>
      </c>
      <c r="D907" t="s">
        <v>13</v>
      </c>
      <c r="E907" t="s">
        <v>14</v>
      </c>
      <c r="F907" t="s">
        <v>15</v>
      </c>
      <c r="G907" t="s">
        <v>15</v>
      </c>
      <c r="H907" t="s">
        <v>15</v>
      </c>
      <c r="I907" s="1">
        <v>103987100</v>
      </c>
    </row>
    <row r="908" spans="1:9" x14ac:dyDescent="0.25">
      <c r="A908" t="str">
        <f>"18014"</f>
        <v>18014</v>
      </c>
      <c r="B908" t="s">
        <v>11</v>
      </c>
      <c r="C908" t="s">
        <v>442</v>
      </c>
      <c r="D908" t="s">
        <v>13</v>
      </c>
      <c r="E908" t="s">
        <v>14</v>
      </c>
      <c r="F908" t="s">
        <v>15</v>
      </c>
      <c r="G908" t="s">
        <v>15</v>
      </c>
      <c r="H908" t="s">
        <v>15</v>
      </c>
      <c r="I908" s="1">
        <v>98727200</v>
      </c>
    </row>
    <row r="909" spans="1:9" x14ac:dyDescent="0.25">
      <c r="A909" t="str">
        <f>"18016"</f>
        <v>18016</v>
      </c>
      <c r="B909" t="s">
        <v>11</v>
      </c>
      <c r="C909" t="s">
        <v>421</v>
      </c>
      <c r="D909" t="s">
        <v>13</v>
      </c>
      <c r="E909" t="s">
        <v>14</v>
      </c>
      <c r="F909" t="s">
        <v>15</v>
      </c>
      <c r="G909" t="s">
        <v>15</v>
      </c>
      <c r="H909" t="s">
        <v>15</v>
      </c>
      <c r="I909" s="1">
        <v>34572900</v>
      </c>
    </row>
    <row r="910" spans="1:9" x14ac:dyDescent="0.25">
      <c r="A910" t="str">
        <f>"18018"</f>
        <v>18018</v>
      </c>
      <c r="B910" t="s">
        <v>11</v>
      </c>
      <c r="C910" t="s">
        <v>443</v>
      </c>
      <c r="D910" t="s">
        <v>13</v>
      </c>
      <c r="E910" t="s">
        <v>14</v>
      </c>
      <c r="F910" t="s">
        <v>15</v>
      </c>
      <c r="G910" t="s">
        <v>15</v>
      </c>
      <c r="H910" t="s">
        <v>15</v>
      </c>
      <c r="I910" s="1">
        <v>414853400</v>
      </c>
    </row>
    <row r="911" spans="1:9" x14ac:dyDescent="0.25">
      <c r="A911" t="str">
        <f>"18020"</f>
        <v>18020</v>
      </c>
      <c r="B911" t="s">
        <v>11</v>
      </c>
      <c r="C911" t="s">
        <v>444</v>
      </c>
      <c r="D911" t="s">
        <v>13</v>
      </c>
      <c r="E911" t="s">
        <v>14</v>
      </c>
      <c r="F911" t="s">
        <v>15</v>
      </c>
      <c r="G911" t="s">
        <v>15</v>
      </c>
      <c r="H911" t="s">
        <v>15</v>
      </c>
      <c r="I911" s="1">
        <v>324339300</v>
      </c>
    </row>
    <row r="912" spans="1:9" x14ac:dyDescent="0.25">
      <c r="A912" t="str">
        <f>"18022"</f>
        <v>18022</v>
      </c>
      <c r="B912" t="s">
        <v>11</v>
      </c>
      <c r="C912" t="s">
        <v>165</v>
      </c>
      <c r="D912" t="s">
        <v>13</v>
      </c>
      <c r="E912" t="s">
        <v>14</v>
      </c>
      <c r="F912" t="s">
        <v>15</v>
      </c>
      <c r="G912" t="s">
        <v>15</v>
      </c>
      <c r="H912" t="s">
        <v>15</v>
      </c>
      <c r="I912" s="1">
        <v>450287900</v>
      </c>
    </row>
    <row r="913" spans="1:9" x14ac:dyDescent="0.25">
      <c r="A913" t="str">
        <f>"18024"</f>
        <v>18024</v>
      </c>
      <c r="B913" t="s">
        <v>11</v>
      </c>
      <c r="C913" t="s">
        <v>393</v>
      </c>
      <c r="D913" t="s">
        <v>13</v>
      </c>
      <c r="E913" t="s">
        <v>14</v>
      </c>
      <c r="F913" t="s">
        <v>15</v>
      </c>
      <c r="G913" t="s">
        <v>15</v>
      </c>
      <c r="H913" t="s">
        <v>15</v>
      </c>
      <c r="I913" s="1">
        <v>798060600</v>
      </c>
    </row>
    <row r="914" spans="1:9" x14ac:dyDescent="0.25">
      <c r="A914" t="str">
        <f>"18026"</f>
        <v>18026</v>
      </c>
      <c r="B914" t="s">
        <v>11</v>
      </c>
      <c r="C914" t="s">
        <v>431</v>
      </c>
      <c r="D914" t="s">
        <v>13</v>
      </c>
      <c r="E914" t="s">
        <v>14</v>
      </c>
      <c r="F914" t="s">
        <v>15</v>
      </c>
      <c r="G914" t="s">
        <v>15</v>
      </c>
      <c r="H914" t="s">
        <v>15</v>
      </c>
      <c r="I914" s="1">
        <v>35943200</v>
      </c>
    </row>
    <row r="915" spans="1:9" x14ac:dyDescent="0.25">
      <c r="A915" t="s">
        <v>32</v>
      </c>
      <c r="B915" t="s">
        <v>33</v>
      </c>
      <c r="C915" t="s">
        <v>34</v>
      </c>
      <c r="D915" t="s">
        <v>13</v>
      </c>
      <c r="E915" t="s">
        <v>14</v>
      </c>
      <c r="F915" t="s">
        <v>15</v>
      </c>
      <c r="G915" t="s">
        <v>15</v>
      </c>
      <c r="H915" t="s">
        <v>15</v>
      </c>
      <c r="I915" s="1">
        <v>2772308900</v>
      </c>
    </row>
    <row r="916" spans="1:9" x14ac:dyDescent="0.25">
      <c r="A916" t="str">
        <f>"18126"</f>
        <v>18126</v>
      </c>
      <c r="B916" t="s">
        <v>35</v>
      </c>
      <c r="C916" t="s">
        <v>441</v>
      </c>
      <c r="D916" t="s">
        <v>13</v>
      </c>
      <c r="E916" t="s">
        <v>14</v>
      </c>
      <c r="F916" t="s">
        <v>15</v>
      </c>
      <c r="G916" t="s">
        <v>15</v>
      </c>
      <c r="H916" t="s">
        <v>15</v>
      </c>
      <c r="I916" s="1">
        <v>13592300</v>
      </c>
    </row>
    <row r="917" spans="1:9" x14ac:dyDescent="0.25">
      <c r="A917" t="str">
        <f>"18127"</f>
        <v>18127</v>
      </c>
      <c r="B917" t="s">
        <v>35</v>
      </c>
      <c r="C917" t="s">
        <v>445</v>
      </c>
      <c r="D917" t="str">
        <f>"001"</f>
        <v>001</v>
      </c>
      <c r="E917">
        <v>2000</v>
      </c>
      <c r="F917">
        <v>72800</v>
      </c>
      <c r="G917">
        <v>1502900</v>
      </c>
      <c r="H917">
        <v>1430100</v>
      </c>
    </row>
    <row r="918" spans="1:9" x14ac:dyDescent="0.25">
      <c r="A918" t="str">
        <f>"18127"</f>
        <v>18127</v>
      </c>
      <c r="B918" t="s">
        <v>35</v>
      </c>
      <c r="C918" t="s">
        <v>445</v>
      </c>
      <c r="D918" t="str">
        <f>"002"</f>
        <v>002</v>
      </c>
      <c r="E918">
        <v>2013</v>
      </c>
      <c r="F918">
        <v>1613300</v>
      </c>
      <c r="G918">
        <v>7395100</v>
      </c>
      <c r="H918">
        <v>5781800</v>
      </c>
    </row>
    <row r="919" spans="1:9" x14ac:dyDescent="0.25">
      <c r="A919" t="str">
        <f>"18127"</f>
        <v>18127</v>
      </c>
      <c r="B919" t="s">
        <v>35</v>
      </c>
      <c r="C919" t="s">
        <v>445</v>
      </c>
      <c r="D919" t="s">
        <v>13</v>
      </c>
      <c r="E919" t="s">
        <v>14</v>
      </c>
      <c r="F919" t="s">
        <v>15</v>
      </c>
      <c r="G919" t="s">
        <v>15</v>
      </c>
      <c r="H919" t="s">
        <v>15</v>
      </c>
      <c r="I919" s="1">
        <v>79304100</v>
      </c>
    </row>
    <row r="920" spans="1:9" x14ac:dyDescent="0.25">
      <c r="A920" t="s">
        <v>32</v>
      </c>
      <c r="B920" t="s">
        <v>37</v>
      </c>
      <c r="C920" t="s">
        <v>34</v>
      </c>
      <c r="D920" t="s">
        <v>13</v>
      </c>
      <c r="E920" t="s">
        <v>14</v>
      </c>
      <c r="F920" t="s">
        <v>15</v>
      </c>
      <c r="G920" t="s">
        <v>15</v>
      </c>
      <c r="H920" t="s">
        <v>15</v>
      </c>
      <c r="I920" s="1">
        <v>92896400</v>
      </c>
    </row>
    <row r="921" spans="1:9" x14ac:dyDescent="0.25">
      <c r="A921" t="str">
        <f>"18201"</f>
        <v>18201</v>
      </c>
      <c r="B921" t="s">
        <v>38</v>
      </c>
      <c r="C921" t="s">
        <v>446</v>
      </c>
      <c r="D921" t="str">
        <f>"002"</f>
        <v>002</v>
      </c>
      <c r="E921">
        <v>2000</v>
      </c>
      <c r="F921">
        <v>1194900</v>
      </c>
      <c r="G921">
        <v>13002100</v>
      </c>
      <c r="H921">
        <v>11807200</v>
      </c>
    </row>
    <row r="922" spans="1:9" x14ac:dyDescent="0.25">
      <c r="A922" t="str">
        <f>"18201"</f>
        <v>18201</v>
      </c>
      <c r="B922" t="s">
        <v>38</v>
      </c>
      <c r="C922" t="s">
        <v>446</v>
      </c>
      <c r="D922" t="str">
        <f>"003"</f>
        <v>003</v>
      </c>
      <c r="E922">
        <v>2001</v>
      </c>
      <c r="F922">
        <v>4837300</v>
      </c>
      <c r="G922">
        <v>208945500</v>
      </c>
      <c r="H922">
        <v>204108200</v>
      </c>
    </row>
    <row r="923" spans="1:9" x14ac:dyDescent="0.25">
      <c r="A923" t="str">
        <f>"18201"</f>
        <v>18201</v>
      </c>
      <c r="B923" t="s">
        <v>38</v>
      </c>
      <c r="C923" t="s">
        <v>446</v>
      </c>
      <c r="D923" t="str">
        <f>"004"</f>
        <v>004</v>
      </c>
      <c r="E923">
        <v>2008</v>
      </c>
      <c r="F923">
        <v>7691500</v>
      </c>
      <c r="G923">
        <v>19783500</v>
      </c>
      <c r="H923">
        <v>12092000</v>
      </c>
    </row>
    <row r="924" spans="1:9" x14ac:dyDescent="0.25">
      <c r="A924" t="str">
        <f>"18201"</f>
        <v>18201</v>
      </c>
      <c r="B924" t="s">
        <v>38</v>
      </c>
      <c r="C924" t="s">
        <v>446</v>
      </c>
      <c r="D924" t="s">
        <v>13</v>
      </c>
      <c r="E924" t="s">
        <v>14</v>
      </c>
      <c r="F924" t="s">
        <v>15</v>
      </c>
      <c r="G924" t="s">
        <v>15</v>
      </c>
      <c r="H924" t="s">
        <v>15</v>
      </c>
      <c r="I924" s="1">
        <v>513661500</v>
      </c>
    </row>
    <row r="925" spans="1:9" x14ac:dyDescent="0.25">
      <c r="A925" t="str">
        <f>"18202"</f>
        <v>18202</v>
      </c>
      <c r="B925" t="s">
        <v>38</v>
      </c>
      <c r="C925" t="s">
        <v>447</v>
      </c>
      <c r="D925" t="str">
        <f>"004"</f>
        <v>004</v>
      </c>
      <c r="E925">
        <v>2005</v>
      </c>
      <c r="F925">
        <v>3955700</v>
      </c>
      <c r="G925">
        <v>20025000</v>
      </c>
      <c r="H925">
        <v>16069300</v>
      </c>
    </row>
    <row r="926" spans="1:9" x14ac:dyDescent="0.25">
      <c r="A926" t="str">
        <f>"18202"</f>
        <v>18202</v>
      </c>
      <c r="B926" t="s">
        <v>38</v>
      </c>
      <c r="C926" t="s">
        <v>447</v>
      </c>
      <c r="D926" t="s">
        <v>13</v>
      </c>
      <c r="E926" t="s">
        <v>14</v>
      </c>
      <c r="F926" t="s">
        <v>15</v>
      </c>
      <c r="G926" t="s">
        <v>15</v>
      </c>
      <c r="H926" t="s">
        <v>15</v>
      </c>
      <c r="I926" s="1">
        <v>78555300</v>
      </c>
    </row>
    <row r="927" spans="1:9" x14ac:dyDescent="0.25">
      <c r="A927" t="str">
        <f t="shared" ref="A927:A933" si="17">"18221"</f>
        <v>18221</v>
      </c>
      <c r="B927" t="s">
        <v>38</v>
      </c>
      <c r="C927" t="s">
        <v>214</v>
      </c>
      <c r="D927" t="str">
        <f>"007"</f>
        <v>007</v>
      </c>
      <c r="E927">
        <v>1997</v>
      </c>
      <c r="F927">
        <v>329100</v>
      </c>
      <c r="G927">
        <v>6691100</v>
      </c>
      <c r="H927">
        <v>6362000</v>
      </c>
    </row>
    <row r="928" spans="1:9" x14ac:dyDescent="0.25">
      <c r="A928" t="str">
        <f t="shared" si="17"/>
        <v>18221</v>
      </c>
      <c r="B928" t="s">
        <v>38</v>
      </c>
      <c r="C928" t="s">
        <v>214</v>
      </c>
      <c r="D928" t="str">
        <f>"008"</f>
        <v>008</v>
      </c>
      <c r="E928">
        <v>2002</v>
      </c>
      <c r="F928">
        <v>12418400</v>
      </c>
      <c r="G928">
        <v>71860900</v>
      </c>
      <c r="H928">
        <v>59442500</v>
      </c>
    </row>
    <row r="929" spans="1:9" x14ac:dyDescent="0.25">
      <c r="A929" t="str">
        <f t="shared" si="17"/>
        <v>18221</v>
      </c>
      <c r="B929" t="s">
        <v>38</v>
      </c>
      <c r="C929" t="s">
        <v>214</v>
      </c>
      <c r="D929" t="str">
        <f>"009"</f>
        <v>009</v>
      </c>
      <c r="E929">
        <v>2008</v>
      </c>
      <c r="F929">
        <v>11184400</v>
      </c>
      <c r="G929">
        <v>20895300</v>
      </c>
      <c r="H929">
        <v>9710900</v>
      </c>
    </row>
    <row r="930" spans="1:9" x14ac:dyDescent="0.25">
      <c r="A930" t="str">
        <f t="shared" si="17"/>
        <v>18221</v>
      </c>
      <c r="B930" t="s">
        <v>38</v>
      </c>
      <c r="C930" t="s">
        <v>214</v>
      </c>
      <c r="D930" t="str">
        <f>"010"</f>
        <v>010</v>
      </c>
      <c r="E930">
        <v>2015</v>
      </c>
      <c r="F930">
        <v>9794200</v>
      </c>
      <c r="G930">
        <v>35261200</v>
      </c>
      <c r="H930">
        <v>25467000</v>
      </c>
    </row>
    <row r="931" spans="1:9" x14ac:dyDescent="0.25">
      <c r="A931" t="str">
        <f t="shared" si="17"/>
        <v>18221</v>
      </c>
      <c r="B931" t="s">
        <v>38</v>
      </c>
      <c r="C931" t="s">
        <v>214</v>
      </c>
      <c r="D931" t="str">
        <f>"011"</f>
        <v>011</v>
      </c>
      <c r="E931">
        <v>2015</v>
      </c>
      <c r="F931">
        <v>16625200</v>
      </c>
      <c r="G931">
        <v>28764900</v>
      </c>
      <c r="H931">
        <v>12139700</v>
      </c>
    </row>
    <row r="932" spans="1:9" x14ac:dyDescent="0.25">
      <c r="A932" t="str">
        <f t="shared" si="17"/>
        <v>18221</v>
      </c>
      <c r="B932" t="s">
        <v>38</v>
      </c>
      <c r="C932" t="s">
        <v>214</v>
      </c>
      <c r="D932" t="str">
        <f>"012"</f>
        <v>012</v>
      </c>
      <c r="E932">
        <v>2017</v>
      </c>
      <c r="F932">
        <v>22281500</v>
      </c>
      <c r="G932">
        <v>31106500</v>
      </c>
      <c r="H932">
        <v>8825000</v>
      </c>
    </row>
    <row r="933" spans="1:9" x14ac:dyDescent="0.25">
      <c r="A933" t="str">
        <f t="shared" si="17"/>
        <v>18221</v>
      </c>
      <c r="B933" t="s">
        <v>38</v>
      </c>
      <c r="C933" t="s">
        <v>214</v>
      </c>
      <c r="D933" t="s">
        <v>13</v>
      </c>
      <c r="E933" t="s">
        <v>14</v>
      </c>
      <c r="F933" t="s">
        <v>15</v>
      </c>
      <c r="G933" t="s">
        <v>15</v>
      </c>
      <c r="H933" t="s">
        <v>15</v>
      </c>
      <c r="I933" s="1">
        <v>5389834500</v>
      </c>
    </row>
    <row r="934" spans="1:9" x14ac:dyDescent="0.25">
      <c r="A934" t="s">
        <v>32</v>
      </c>
      <c r="B934" t="s">
        <v>40</v>
      </c>
      <c r="C934" t="s">
        <v>34</v>
      </c>
      <c r="D934" t="s">
        <v>13</v>
      </c>
      <c r="E934" t="s">
        <v>14</v>
      </c>
      <c r="F934" t="s">
        <v>15</v>
      </c>
      <c r="G934" t="s">
        <v>15</v>
      </c>
      <c r="H934" t="s">
        <v>15</v>
      </c>
      <c r="I934" s="1">
        <v>5982051300</v>
      </c>
    </row>
    <row r="935" spans="1:9" x14ac:dyDescent="0.25">
      <c r="A935" t="s">
        <v>32</v>
      </c>
      <c r="B935" t="s">
        <v>41</v>
      </c>
      <c r="C935" t="s">
        <v>214</v>
      </c>
      <c r="D935" t="s">
        <v>13</v>
      </c>
      <c r="E935" t="s">
        <v>14</v>
      </c>
      <c r="F935" t="s">
        <v>15</v>
      </c>
      <c r="G935" t="s">
        <v>15</v>
      </c>
      <c r="H935" t="s">
        <v>15</v>
      </c>
      <c r="I935" s="1">
        <v>8847256600</v>
      </c>
    </row>
    <row r="936" spans="1:9" x14ac:dyDescent="0.25">
      <c r="A936" t="str">
        <f>"19002"</f>
        <v>19002</v>
      </c>
      <c r="B936" t="s">
        <v>11</v>
      </c>
      <c r="C936" t="s">
        <v>448</v>
      </c>
      <c r="D936" t="s">
        <v>13</v>
      </c>
      <c r="E936" t="s">
        <v>14</v>
      </c>
      <c r="F936" t="s">
        <v>15</v>
      </c>
      <c r="G936" t="s">
        <v>15</v>
      </c>
      <c r="H936" t="s">
        <v>15</v>
      </c>
      <c r="I936" s="1">
        <v>72585600</v>
      </c>
    </row>
    <row r="937" spans="1:9" x14ac:dyDescent="0.25">
      <c r="A937" t="str">
        <f>"19004"</f>
        <v>19004</v>
      </c>
      <c r="B937" t="s">
        <v>11</v>
      </c>
      <c r="C937" t="s">
        <v>449</v>
      </c>
      <c r="D937" t="s">
        <v>13</v>
      </c>
      <c r="E937" t="s">
        <v>14</v>
      </c>
      <c r="F937" t="s">
        <v>15</v>
      </c>
      <c r="G937" t="s">
        <v>15</v>
      </c>
      <c r="H937" t="s">
        <v>15</v>
      </c>
      <c r="I937" s="1">
        <v>51409700</v>
      </c>
    </row>
    <row r="938" spans="1:9" x14ac:dyDescent="0.25">
      <c r="A938" t="str">
        <f>"19006"</f>
        <v>19006</v>
      </c>
      <c r="B938" t="s">
        <v>11</v>
      </c>
      <c r="C938" t="s">
        <v>450</v>
      </c>
      <c r="D938" t="s">
        <v>13</v>
      </c>
      <c r="E938" t="s">
        <v>14</v>
      </c>
      <c r="F938" t="s">
        <v>15</v>
      </c>
      <c r="G938" t="s">
        <v>15</v>
      </c>
      <c r="H938" t="s">
        <v>15</v>
      </c>
      <c r="I938" s="1">
        <v>40154800</v>
      </c>
    </row>
    <row r="939" spans="1:9" x14ac:dyDescent="0.25">
      <c r="A939" t="str">
        <f>"19008"</f>
        <v>19008</v>
      </c>
      <c r="B939" t="s">
        <v>11</v>
      </c>
      <c r="C939" t="s">
        <v>451</v>
      </c>
      <c r="D939" t="s">
        <v>13</v>
      </c>
      <c r="E939" t="s">
        <v>14</v>
      </c>
      <c r="F939" t="s">
        <v>15</v>
      </c>
      <c r="G939" t="s">
        <v>15</v>
      </c>
      <c r="H939" t="s">
        <v>15</v>
      </c>
      <c r="I939" s="1">
        <v>49917300</v>
      </c>
    </row>
    <row r="940" spans="1:9" x14ac:dyDescent="0.25">
      <c r="A940" t="str">
        <f>"19010"</f>
        <v>19010</v>
      </c>
      <c r="B940" t="s">
        <v>11</v>
      </c>
      <c r="C940" t="s">
        <v>452</v>
      </c>
      <c r="D940" t="str">
        <f>"001R"</f>
        <v>001R</v>
      </c>
      <c r="E940">
        <v>2013</v>
      </c>
      <c r="F940">
        <v>11400400</v>
      </c>
      <c r="G940">
        <v>14368400</v>
      </c>
      <c r="H940">
        <v>2968000</v>
      </c>
    </row>
    <row r="941" spans="1:9" x14ac:dyDescent="0.25">
      <c r="A941" t="str">
        <f>"19010"</f>
        <v>19010</v>
      </c>
      <c r="B941" t="s">
        <v>11</v>
      </c>
      <c r="C941" t="s">
        <v>452</v>
      </c>
      <c r="D941" t="s">
        <v>13</v>
      </c>
      <c r="E941" t="s">
        <v>14</v>
      </c>
      <c r="F941" t="s">
        <v>15</v>
      </c>
      <c r="G941" t="s">
        <v>15</v>
      </c>
      <c r="H941" t="s">
        <v>15</v>
      </c>
      <c r="I941" s="1">
        <v>315263400</v>
      </c>
    </row>
    <row r="942" spans="1:9" x14ac:dyDescent="0.25">
      <c r="A942" t="str">
        <f>"19012"</f>
        <v>19012</v>
      </c>
      <c r="B942" t="s">
        <v>11</v>
      </c>
      <c r="C942" t="s">
        <v>453</v>
      </c>
      <c r="D942" t="s">
        <v>13</v>
      </c>
      <c r="E942" t="s">
        <v>14</v>
      </c>
      <c r="F942" t="s">
        <v>15</v>
      </c>
      <c r="G942" t="s">
        <v>15</v>
      </c>
      <c r="H942" t="s">
        <v>15</v>
      </c>
      <c r="I942" s="1">
        <v>45595600</v>
      </c>
    </row>
    <row r="943" spans="1:9" x14ac:dyDescent="0.25">
      <c r="A943" t="str">
        <f>"19014"</f>
        <v>19014</v>
      </c>
      <c r="B943" t="s">
        <v>11</v>
      </c>
      <c r="C943" t="s">
        <v>454</v>
      </c>
      <c r="D943" t="s">
        <v>13</v>
      </c>
      <c r="E943" t="s">
        <v>14</v>
      </c>
      <c r="F943" t="s">
        <v>15</v>
      </c>
      <c r="G943" t="s">
        <v>15</v>
      </c>
      <c r="H943" t="s">
        <v>15</v>
      </c>
      <c r="I943" s="1">
        <v>41373000</v>
      </c>
    </row>
    <row r="944" spans="1:9" x14ac:dyDescent="0.25">
      <c r="A944" t="str">
        <f>"19016"</f>
        <v>19016</v>
      </c>
      <c r="B944" t="s">
        <v>11</v>
      </c>
      <c r="C944" t="s">
        <v>455</v>
      </c>
      <c r="D944" t="s">
        <v>13</v>
      </c>
      <c r="E944" t="s">
        <v>14</v>
      </c>
      <c r="F944" t="s">
        <v>15</v>
      </c>
      <c r="G944" t="s">
        <v>15</v>
      </c>
      <c r="H944" t="s">
        <v>15</v>
      </c>
      <c r="I944" s="1">
        <v>28040600</v>
      </c>
    </row>
    <row r="945" spans="1:9" x14ac:dyDescent="0.25">
      <c r="A945" t="s">
        <v>32</v>
      </c>
      <c r="B945" t="s">
        <v>33</v>
      </c>
      <c r="C945" t="s">
        <v>34</v>
      </c>
      <c r="D945" t="s">
        <v>13</v>
      </c>
      <c r="E945" t="s">
        <v>14</v>
      </c>
      <c r="F945" t="s">
        <v>15</v>
      </c>
      <c r="G945" t="s">
        <v>15</v>
      </c>
      <c r="H945" t="s">
        <v>15</v>
      </c>
      <c r="I945" s="1">
        <v>644340000</v>
      </c>
    </row>
    <row r="946" spans="1:9" x14ac:dyDescent="0.25">
      <c r="A946" t="s">
        <v>32</v>
      </c>
      <c r="B946" t="s">
        <v>41</v>
      </c>
      <c r="C946" t="s">
        <v>452</v>
      </c>
      <c r="D946" t="s">
        <v>13</v>
      </c>
      <c r="E946" t="s">
        <v>14</v>
      </c>
      <c r="F946" t="s">
        <v>15</v>
      </c>
      <c r="G946" t="s">
        <v>15</v>
      </c>
      <c r="H946" t="s">
        <v>15</v>
      </c>
      <c r="I946" s="1">
        <v>644340000</v>
      </c>
    </row>
    <row r="947" spans="1:9" x14ac:dyDescent="0.25">
      <c r="A947" t="str">
        <f>"20002"</f>
        <v>20002</v>
      </c>
      <c r="B947" t="s">
        <v>11</v>
      </c>
      <c r="C947" t="s">
        <v>456</v>
      </c>
      <c r="D947" t="s">
        <v>13</v>
      </c>
      <c r="E947" t="s">
        <v>14</v>
      </c>
      <c r="F947" t="s">
        <v>15</v>
      </c>
      <c r="G947" t="s">
        <v>15</v>
      </c>
      <c r="H947" t="s">
        <v>15</v>
      </c>
      <c r="I947" s="1">
        <v>106807400</v>
      </c>
    </row>
    <row r="948" spans="1:9" x14ac:dyDescent="0.25">
      <c r="A948" t="str">
        <f>"20004"</f>
        <v>20004</v>
      </c>
      <c r="B948" t="s">
        <v>11</v>
      </c>
      <c r="C948" t="s">
        <v>457</v>
      </c>
      <c r="D948" t="s">
        <v>13</v>
      </c>
      <c r="E948" t="s">
        <v>14</v>
      </c>
      <c r="F948" t="s">
        <v>15</v>
      </c>
      <c r="G948" t="s">
        <v>15</v>
      </c>
      <c r="H948" t="s">
        <v>15</v>
      </c>
      <c r="I948" s="1">
        <v>165354000</v>
      </c>
    </row>
    <row r="949" spans="1:9" x14ac:dyDescent="0.25">
      <c r="A949" t="str">
        <f>"20006"</f>
        <v>20006</v>
      </c>
      <c r="B949" t="s">
        <v>11</v>
      </c>
      <c r="C949" t="s">
        <v>190</v>
      </c>
      <c r="D949" t="s">
        <v>13</v>
      </c>
      <c r="E949" t="s">
        <v>14</v>
      </c>
      <c r="F949" t="s">
        <v>15</v>
      </c>
      <c r="G949" t="s">
        <v>15</v>
      </c>
      <c r="H949" t="s">
        <v>15</v>
      </c>
      <c r="I949" s="1">
        <v>259808200</v>
      </c>
    </row>
    <row r="950" spans="1:9" x14ac:dyDescent="0.25">
      <c r="A950" t="str">
        <f>"20008"</f>
        <v>20008</v>
      </c>
      <c r="B950" t="s">
        <v>11</v>
      </c>
      <c r="C950" t="s">
        <v>458</v>
      </c>
      <c r="D950" t="s">
        <v>13</v>
      </c>
      <c r="E950" t="s">
        <v>14</v>
      </c>
      <c r="F950" t="s">
        <v>15</v>
      </c>
      <c r="G950" t="s">
        <v>15</v>
      </c>
      <c r="H950" t="s">
        <v>15</v>
      </c>
      <c r="I950" s="1">
        <v>167730200</v>
      </c>
    </row>
    <row r="951" spans="1:9" x14ac:dyDescent="0.25">
      <c r="A951" t="str">
        <f>"20010"</f>
        <v>20010</v>
      </c>
      <c r="B951" t="s">
        <v>11</v>
      </c>
      <c r="C951" t="s">
        <v>187</v>
      </c>
      <c r="D951" t="s">
        <v>13</v>
      </c>
      <c r="E951" t="s">
        <v>14</v>
      </c>
      <c r="F951" t="s">
        <v>15</v>
      </c>
      <c r="G951" t="s">
        <v>15</v>
      </c>
      <c r="H951" t="s">
        <v>15</v>
      </c>
      <c r="I951" s="1">
        <v>201409700</v>
      </c>
    </row>
    <row r="952" spans="1:9" x14ac:dyDescent="0.25">
      <c r="A952" t="str">
        <f>"20012"</f>
        <v>20012</v>
      </c>
      <c r="B952" t="s">
        <v>11</v>
      </c>
      <c r="C952" t="s">
        <v>459</v>
      </c>
      <c r="D952" t="s">
        <v>13</v>
      </c>
      <c r="E952" t="s">
        <v>14</v>
      </c>
      <c r="F952" t="s">
        <v>15</v>
      </c>
      <c r="G952" t="s">
        <v>15</v>
      </c>
      <c r="H952" t="s">
        <v>15</v>
      </c>
      <c r="I952" s="1">
        <v>115601500</v>
      </c>
    </row>
    <row r="953" spans="1:9" x14ac:dyDescent="0.25">
      <c r="A953" t="str">
        <f>"20014"</f>
        <v>20014</v>
      </c>
      <c r="B953" t="s">
        <v>11</v>
      </c>
      <c r="C953" t="s">
        <v>460</v>
      </c>
      <c r="D953" t="s">
        <v>13</v>
      </c>
      <c r="E953" t="s">
        <v>14</v>
      </c>
      <c r="F953" t="s">
        <v>15</v>
      </c>
      <c r="G953" t="s">
        <v>15</v>
      </c>
      <c r="H953" t="s">
        <v>15</v>
      </c>
      <c r="I953" s="1">
        <v>127053900</v>
      </c>
    </row>
    <row r="954" spans="1:9" x14ac:dyDescent="0.25">
      <c r="A954" t="str">
        <f>"20016"</f>
        <v>20016</v>
      </c>
      <c r="B954" t="s">
        <v>11</v>
      </c>
      <c r="C954" t="s">
        <v>461</v>
      </c>
      <c r="D954" t="s">
        <v>13</v>
      </c>
      <c r="E954" t="s">
        <v>14</v>
      </c>
      <c r="F954" t="s">
        <v>15</v>
      </c>
      <c r="G954" t="s">
        <v>15</v>
      </c>
      <c r="H954" t="s">
        <v>15</v>
      </c>
      <c r="I954" s="1">
        <v>333834700</v>
      </c>
    </row>
    <row r="955" spans="1:9" x14ac:dyDescent="0.25">
      <c r="A955" t="str">
        <f>"20018"</f>
        <v>20018</v>
      </c>
      <c r="B955" t="s">
        <v>11</v>
      </c>
      <c r="C955" t="s">
        <v>462</v>
      </c>
      <c r="D955" t="s">
        <v>13</v>
      </c>
      <c r="E955" t="s">
        <v>14</v>
      </c>
      <c r="F955" t="s">
        <v>15</v>
      </c>
      <c r="G955" t="s">
        <v>15</v>
      </c>
      <c r="H955" t="s">
        <v>15</v>
      </c>
      <c r="I955" s="1">
        <v>383475800</v>
      </c>
    </row>
    <row r="956" spans="1:9" x14ac:dyDescent="0.25">
      <c r="A956" t="str">
        <f>"20020"</f>
        <v>20020</v>
      </c>
      <c r="B956" t="s">
        <v>11</v>
      </c>
      <c r="C956" t="s">
        <v>463</v>
      </c>
      <c r="D956" t="s">
        <v>13</v>
      </c>
      <c r="E956" t="s">
        <v>14</v>
      </c>
      <c r="F956" t="s">
        <v>15</v>
      </c>
      <c r="G956" t="s">
        <v>15</v>
      </c>
      <c r="H956" t="s">
        <v>15</v>
      </c>
      <c r="I956" s="1">
        <v>109378600</v>
      </c>
    </row>
    <row r="957" spans="1:9" x14ac:dyDescent="0.25">
      <c r="A957" t="str">
        <f>"20022"</f>
        <v>20022</v>
      </c>
      <c r="B957" t="s">
        <v>11</v>
      </c>
      <c r="C957" t="s">
        <v>36</v>
      </c>
      <c r="D957" t="s">
        <v>13</v>
      </c>
      <c r="E957" t="s">
        <v>14</v>
      </c>
      <c r="F957" t="s">
        <v>15</v>
      </c>
      <c r="G957" t="s">
        <v>15</v>
      </c>
      <c r="H957" t="s">
        <v>15</v>
      </c>
      <c r="I957" s="1">
        <v>191336300</v>
      </c>
    </row>
    <row r="958" spans="1:9" x14ac:dyDescent="0.25">
      <c r="A958" t="str">
        <f>"20024"</f>
        <v>20024</v>
      </c>
      <c r="B958" t="s">
        <v>11</v>
      </c>
      <c r="C958" t="s">
        <v>464</v>
      </c>
      <c r="D958" t="s">
        <v>13</v>
      </c>
      <c r="E958" t="s">
        <v>14</v>
      </c>
      <c r="F958" t="s">
        <v>15</v>
      </c>
      <c r="G958" t="s">
        <v>15</v>
      </c>
      <c r="H958" t="s">
        <v>15</v>
      </c>
      <c r="I958" s="1">
        <v>157359100</v>
      </c>
    </row>
    <row r="959" spans="1:9" x14ac:dyDescent="0.25">
      <c r="A959" t="str">
        <f>"20026"</f>
        <v>20026</v>
      </c>
      <c r="B959" t="s">
        <v>11</v>
      </c>
      <c r="C959" t="s">
        <v>465</v>
      </c>
      <c r="D959" t="s">
        <v>13</v>
      </c>
      <c r="E959" t="s">
        <v>14</v>
      </c>
      <c r="F959" t="s">
        <v>15</v>
      </c>
      <c r="G959" t="s">
        <v>15</v>
      </c>
      <c r="H959" t="s">
        <v>15</v>
      </c>
      <c r="I959" s="1">
        <v>124192800</v>
      </c>
    </row>
    <row r="960" spans="1:9" x14ac:dyDescent="0.25">
      <c r="A960" t="str">
        <f>"20028"</f>
        <v>20028</v>
      </c>
      <c r="B960" t="s">
        <v>11</v>
      </c>
      <c r="C960" t="s">
        <v>466</v>
      </c>
      <c r="D960" t="s">
        <v>13</v>
      </c>
      <c r="E960" t="s">
        <v>14</v>
      </c>
      <c r="F960" t="s">
        <v>15</v>
      </c>
      <c r="G960" t="s">
        <v>15</v>
      </c>
      <c r="H960" t="s">
        <v>15</v>
      </c>
      <c r="I960" s="1">
        <v>66687000</v>
      </c>
    </row>
    <row r="961" spans="1:9" x14ac:dyDescent="0.25">
      <c r="A961" t="str">
        <f>"20030"</f>
        <v>20030</v>
      </c>
      <c r="B961" t="s">
        <v>11</v>
      </c>
      <c r="C961" t="s">
        <v>467</v>
      </c>
      <c r="D961" t="s">
        <v>13</v>
      </c>
      <c r="E961" t="s">
        <v>14</v>
      </c>
      <c r="F961" t="s">
        <v>15</v>
      </c>
      <c r="G961" t="s">
        <v>15</v>
      </c>
      <c r="H961" t="s">
        <v>15</v>
      </c>
      <c r="I961" s="1">
        <v>62760600</v>
      </c>
    </row>
    <row r="962" spans="1:9" x14ac:dyDescent="0.25">
      <c r="A962" t="str">
        <f>"20032"</f>
        <v>20032</v>
      </c>
      <c r="B962" t="s">
        <v>11</v>
      </c>
      <c r="C962" t="s">
        <v>468</v>
      </c>
      <c r="D962" t="s">
        <v>13</v>
      </c>
      <c r="E962" t="s">
        <v>14</v>
      </c>
      <c r="F962" t="s">
        <v>15</v>
      </c>
      <c r="G962" t="s">
        <v>15</v>
      </c>
      <c r="H962" t="s">
        <v>15</v>
      </c>
      <c r="I962" s="1">
        <v>234627800</v>
      </c>
    </row>
    <row r="963" spans="1:9" x14ac:dyDescent="0.25">
      <c r="A963" t="str">
        <f>"20034"</f>
        <v>20034</v>
      </c>
      <c r="B963" t="s">
        <v>11</v>
      </c>
      <c r="C963" t="s">
        <v>469</v>
      </c>
      <c r="D963" t="s">
        <v>13</v>
      </c>
      <c r="E963" t="s">
        <v>14</v>
      </c>
      <c r="F963" t="s">
        <v>15</v>
      </c>
      <c r="G963" t="s">
        <v>15</v>
      </c>
      <c r="H963" t="s">
        <v>15</v>
      </c>
      <c r="I963" s="1">
        <v>111079400</v>
      </c>
    </row>
    <row r="964" spans="1:9" x14ac:dyDescent="0.25">
      <c r="A964" t="str">
        <f>"20036"</f>
        <v>20036</v>
      </c>
      <c r="B964" t="s">
        <v>11</v>
      </c>
      <c r="C964" t="s">
        <v>470</v>
      </c>
      <c r="D964" t="s">
        <v>13</v>
      </c>
      <c r="E964" t="s">
        <v>14</v>
      </c>
      <c r="F964" t="s">
        <v>15</v>
      </c>
      <c r="G964" t="s">
        <v>15</v>
      </c>
      <c r="H964" t="s">
        <v>15</v>
      </c>
      <c r="I964" s="1">
        <v>74001500</v>
      </c>
    </row>
    <row r="965" spans="1:9" x14ac:dyDescent="0.25">
      <c r="A965" t="str">
        <f>"20038"</f>
        <v>20038</v>
      </c>
      <c r="B965" t="s">
        <v>11</v>
      </c>
      <c r="C965" t="s">
        <v>270</v>
      </c>
      <c r="D965" t="s">
        <v>13</v>
      </c>
      <c r="E965" t="s">
        <v>14</v>
      </c>
      <c r="F965" t="s">
        <v>15</v>
      </c>
      <c r="G965" t="s">
        <v>15</v>
      </c>
      <c r="H965" t="s">
        <v>15</v>
      </c>
      <c r="I965" s="1">
        <v>63677500</v>
      </c>
    </row>
    <row r="966" spans="1:9" x14ac:dyDescent="0.25">
      <c r="A966" t="str">
        <f>"20040"</f>
        <v>20040</v>
      </c>
      <c r="B966" t="s">
        <v>11</v>
      </c>
      <c r="C966" t="s">
        <v>471</v>
      </c>
      <c r="D966" t="s">
        <v>13</v>
      </c>
      <c r="E966" t="s">
        <v>14</v>
      </c>
      <c r="F966" t="s">
        <v>15</v>
      </c>
      <c r="G966" t="s">
        <v>15</v>
      </c>
      <c r="H966" t="s">
        <v>15</v>
      </c>
      <c r="I966" s="1">
        <v>509335100</v>
      </c>
    </row>
    <row r="967" spans="1:9" x14ac:dyDescent="0.25">
      <c r="A967" t="str">
        <f>"20042"</f>
        <v>20042</v>
      </c>
      <c r="B967" t="s">
        <v>11</v>
      </c>
      <c r="C967" t="s">
        <v>379</v>
      </c>
      <c r="D967" t="s">
        <v>13</v>
      </c>
      <c r="E967" t="s">
        <v>14</v>
      </c>
      <c r="F967" t="s">
        <v>15</v>
      </c>
      <c r="G967" t="s">
        <v>15</v>
      </c>
      <c r="H967" t="s">
        <v>15</v>
      </c>
      <c r="I967" s="1">
        <v>129668300</v>
      </c>
    </row>
    <row r="968" spans="1:9" x14ac:dyDescent="0.25">
      <c r="A968" t="s">
        <v>32</v>
      </c>
      <c r="B968" t="s">
        <v>33</v>
      </c>
      <c r="C968" t="s">
        <v>34</v>
      </c>
      <c r="D968" t="s">
        <v>13</v>
      </c>
      <c r="E968" t="s">
        <v>14</v>
      </c>
      <c r="F968" t="s">
        <v>15</v>
      </c>
      <c r="G968" t="s">
        <v>15</v>
      </c>
      <c r="H968" t="s">
        <v>15</v>
      </c>
      <c r="I968" s="1">
        <v>3695179400</v>
      </c>
    </row>
    <row r="969" spans="1:9" x14ac:dyDescent="0.25">
      <c r="A969" t="str">
        <f>"20106"</f>
        <v>20106</v>
      </c>
      <c r="B969" t="s">
        <v>35</v>
      </c>
      <c r="C969" t="s">
        <v>472</v>
      </c>
      <c r="D969" t="s">
        <v>13</v>
      </c>
      <c r="E969" t="s">
        <v>14</v>
      </c>
      <c r="F969" t="s">
        <v>15</v>
      </c>
      <c r="G969" t="s">
        <v>15</v>
      </c>
      <c r="H969" t="s">
        <v>15</v>
      </c>
      <c r="I969" s="1">
        <v>45818500</v>
      </c>
    </row>
    <row r="970" spans="1:9" x14ac:dyDescent="0.25">
      <c r="A970" t="str">
        <f>"20111"</f>
        <v>20111</v>
      </c>
      <c r="B970" t="s">
        <v>35</v>
      </c>
      <c r="C970" t="s">
        <v>473</v>
      </c>
      <c r="D970" t="str">
        <f>"001"</f>
        <v>001</v>
      </c>
      <c r="E970">
        <v>2011</v>
      </c>
      <c r="F970">
        <v>1763300</v>
      </c>
      <c r="G970">
        <v>2655100</v>
      </c>
      <c r="H970">
        <v>891800</v>
      </c>
    </row>
    <row r="971" spans="1:9" x14ac:dyDescent="0.25">
      <c r="A971" t="str">
        <f>"20111"</f>
        <v>20111</v>
      </c>
      <c r="B971" t="s">
        <v>35</v>
      </c>
      <c r="C971" t="s">
        <v>473</v>
      </c>
      <c r="D971" t="s">
        <v>13</v>
      </c>
      <c r="E971" t="s">
        <v>14</v>
      </c>
      <c r="F971" t="s">
        <v>15</v>
      </c>
      <c r="G971" t="s">
        <v>15</v>
      </c>
      <c r="H971" t="s">
        <v>15</v>
      </c>
      <c r="I971" s="1">
        <v>117106100</v>
      </c>
    </row>
    <row r="972" spans="1:9" x14ac:dyDescent="0.25">
      <c r="A972" t="str">
        <f>"20121"</f>
        <v>20121</v>
      </c>
      <c r="B972" t="s">
        <v>35</v>
      </c>
      <c r="C972" t="s">
        <v>459</v>
      </c>
      <c r="D972" t="s">
        <v>13</v>
      </c>
      <c r="E972" t="s">
        <v>14</v>
      </c>
      <c r="F972" t="s">
        <v>15</v>
      </c>
      <c r="G972" t="s">
        <v>15</v>
      </c>
      <c r="H972" t="s">
        <v>15</v>
      </c>
      <c r="I972" s="1">
        <v>47731900</v>
      </c>
    </row>
    <row r="973" spans="1:9" x14ac:dyDescent="0.25">
      <c r="A973" t="str">
        <f>"20126"</f>
        <v>20126</v>
      </c>
      <c r="B973" t="s">
        <v>35</v>
      </c>
      <c r="C973" t="s">
        <v>474</v>
      </c>
      <c r="D973" t="str">
        <f>"001"</f>
        <v>001</v>
      </c>
      <c r="E973">
        <v>1997</v>
      </c>
      <c r="F973">
        <v>751400</v>
      </c>
      <c r="G973">
        <v>4562800</v>
      </c>
      <c r="H973">
        <v>3811400</v>
      </c>
    </row>
    <row r="974" spans="1:9" x14ac:dyDescent="0.25">
      <c r="A974" t="str">
        <f>"20126"</f>
        <v>20126</v>
      </c>
      <c r="B974" t="s">
        <v>35</v>
      </c>
      <c r="C974" t="s">
        <v>474</v>
      </c>
      <c r="D974" t="s">
        <v>13</v>
      </c>
      <c r="E974" t="s">
        <v>14</v>
      </c>
      <c r="F974" t="s">
        <v>15</v>
      </c>
      <c r="G974" t="s">
        <v>15</v>
      </c>
      <c r="H974" t="s">
        <v>15</v>
      </c>
      <c r="I974" s="1">
        <v>18142000</v>
      </c>
    </row>
    <row r="975" spans="1:9" x14ac:dyDescent="0.25">
      <c r="A975" t="str">
        <f>"20142"</f>
        <v>20142</v>
      </c>
      <c r="B975" t="s">
        <v>35</v>
      </c>
      <c r="C975" t="s">
        <v>475</v>
      </c>
      <c r="D975" t="s">
        <v>13</v>
      </c>
      <c r="E975" t="s">
        <v>14</v>
      </c>
      <c r="F975" t="s">
        <v>15</v>
      </c>
      <c r="G975" t="s">
        <v>15</v>
      </c>
      <c r="H975" t="s">
        <v>15</v>
      </c>
      <c r="I975" s="1">
        <v>0</v>
      </c>
    </row>
    <row r="976" spans="1:9" x14ac:dyDescent="0.25">
      <c r="A976" t="str">
        <f>"20151"</f>
        <v>20151</v>
      </c>
      <c r="B976" t="s">
        <v>35</v>
      </c>
      <c r="C976" t="s">
        <v>476</v>
      </c>
      <c r="D976" t="s">
        <v>13</v>
      </c>
      <c r="E976" t="s">
        <v>14</v>
      </c>
      <c r="F976" t="s">
        <v>15</v>
      </c>
      <c r="G976" t="s">
        <v>15</v>
      </c>
      <c r="H976" t="s">
        <v>15</v>
      </c>
      <c r="I976" s="1">
        <v>35498400</v>
      </c>
    </row>
    <row r="977" spans="1:9" x14ac:dyDescent="0.25">
      <c r="A977" t="str">
        <f>"20161"</f>
        <v>20161</v>
      </c>
      <c r="B977" t="s">
        <v>35</v>
      </c>
      <c r="C977" t="s">
        <v>477</v>
      </c>
      <c r="D977" t="str">
        <f>"001"</f>
        <v>001</v>
      </c>
      <c r="E977">
        <v>1999</v>
      </c>
      <c r="F977">
        <v>200500</v>
      </c>
      <c r="G977">
        <v>21820200</v>
      </c>
      <c r="H977">
        <v>21619700</v>
      </c>
    </row>
    <row r="978" spans="1:9" x14ac:dyDescent="0.25">
      <c r="A978" t="str">
        <f>"20161"</f>
        <v>20161</v>
      </c>
      <c r="B978" t="s">
        <v>35</v>
      </c>
      <c r="C978" t="s">
        <v>477</v>
      </c>
      <c r="D978" t="str">
        <f>"002"</f>
        <v>002</v>
      </c>
      <c r="E978">
        <v>2008</v>
      </c>
      <c r="F978">
        <v>4175100</v>
      </c>
      <c r="G978">
        <v>3945100</v>
      </c>
      <c r="H978">
        <v>0</v>
      </c>
    </row>
    <row r="979" spans="1:9" x14ac:dyDescent="0.25">
      <c r="A979" t="str">
        <f>"20161"</f>
        <v>20161</v>
      </c>
      <c r="B979" t="s">
        <v>35</v>
      </c>
      <c r="C979" t="s">
        <v>477</v>
      </c>
      <c r="D979" t="s">
        <v>13</v>
      </c>
      <c r="E979" t="s">
        <v>14</v>
      </c>
      <c r="F979" t="s">
        <v>15</v>
      </c>
      <c r="G979" t="s">
        <v>15</v>
      </c>
      <c r="H979" t="s">
        <v>15</v>
      </c>
      <c r="I979" s="1">
        <v>188242300</v>
      </c>
    </row>
    <row r="980" spans="1:9" x14ac:dyDescent="0.25">
      <c r="A980" t="str">
        <f>"20165"</f>
        <v>20165</v>
      </c>
      <c r="B980" t="s">
        <v>35</v>
      </c>
      <c r="C980" t="s">
        <v>467</v>
      </c>
      <c r="D980" t="str">
        <f>"001"</f>
        <v>001</v>
      </c>
      <c r="E980">
        <v>1995</v>
      </c>
      <c r="F980">
        <v>1707500</v>
      </c>
      <c r="G980">
        <v>10654400</v>
      </c>
      <c r="H980">
        <v>8946900</v>
      </c>
    </row>
    <row r="981" spans="1:9" x14ac:dyDescent="0.25">
      <c r="A981" t="str">
        <f>"20165"</f>
        <v>20165</v>
      </c>
      <c r="B981" t="s">
        <v>35</v>
      </c>
      <c r="C981" t="s">
        <v>467</v>
      </c>
      <c r="D981" t="str">
        <f>"002"</f>
        <v>002</v>
      </c>
      <c r="E981">
        <v>1997</v>
      </c>
      <c r="F981">
        <v>888200</v>
      </c>
      <c r="G981">
        <v>3531900</v>
      </c>
      <c r="H981">
        <v>2643700</v>
      </c>
    </row>
    <row r="982" spans="1:9" x14ac:dyDescent="0.25">
      <c r="A982" t="str">
        <f>"20165"</f>
        <v>20165</v>
      </c>
      <c r="B982" t="s">
        <v>35</v>
      </c>
      <c r="C982" t="s">
        <v>467</v>
      </c>
      <c r="D982" t="s">
        <v>13</v>
      </c>
      <c r="E982" t="s">
        <v>14</v>
      </c>
      <c r="F982" t="s">
        <v>15</v>
      </c>
      <c r="G982" t="s">
        <v>15</v>
      </c>
      <c r="H982" t="s">
        <v>15</v>
      </c>
      <c r="I982" s="1">
        <v>53668200</v>
      </c>
    </row>
    <row r="983" spans="1:9" x14ac:dyDescent="0.25">
      <c r="A983" t="str">
        <f>"20176"</f>
        <v>20176</v>
      </c>
      <c r="B983" t="s">
        <v>35</v>
      </c>
      <c r="C983" t="s">
        <v>470</v>
      </c>
      <c r="D983" t="str">
        <f>"001"</f>
        <v>001</v>
      </c>
      <c r="E983">
        <v>2011</v>
      </c>
      <c r="F983">
        <v>3464400</v>
      </c>
      <c r="G983">
        <v>4080200</v>
      </c>
      <c r="H983">
        <v>615800</v>
      </c>
    </row>
    <row r="984" spans="1:9" x14ac:dyDescent="0.25">
      <c r="A984" t="str">
        <f>"20176"</f>
        <v>20176</v>
      </c>
      <c r="B984" t="s">
        <v>35</v>
      </c>
      <c r="C984" t="s">
        <v>470</v>
      </c>
      <c r="D984" t="s">
        <v>13</v>
      </c>
      <c r="E984" t="s">
        <v>14</v>
      </c>
      <c r="F984" t="s">
        <v>15</v>
      </c>
      <c r="G984" t="s">
        <v>15</v>
      </c>
      <c r="H984" t="s">
        <v>15</v>
      </c>
      <c r="I984" s="1">
        <v>65784100</v>
      </c>
    </row>
    <row r="985" spans="1:9" x14ac:dyDescent="0.25">
      <c r="A985" t="str">
        <f>"20181"</f>
        <v>20181</v>
      </c>
      <c r="B985" t="s">
        <v>35</v>
      </c>
      <c r="C985" t="s">
        <v>478</v>
      </c>
      <c r="D985" t="s">
        <v>13</v>
      </c>
      <c r="E985" t="s">
        <v>14</v>
      </c>
      <c r="F985" t="s">
        <v>15</v>
      </c>
      <c r="G985" t="s">
        <v>15</v>
      </c>
      <c r="H985" t="s">
        <v>15</v>
      </c>
      <c r="I985" s="1">
        <v>28996100</v>
      </c>
    </row>
    <row r="986" spans="1:9" x14ac:dyDescent="0.25">
      <c r="A986" t="s">
        <v>32</v>
      </c>
      <c r="B986" t="s">
        <v>37</v>
      </c>
      <c r="C986" t="s">
        <v>34</v>
      </c>
      <c r="D986" t="s">
        <v>13</v>
      </c>
      <c r="E986" t="s">
        <v>14</v>
      </c>
      <c r="F986" t="s">
        <v>15</v>
      </c>
      <c r="G986" t="s">
        <v>15</v>
      </c>
      <c r="H986" t="s">
        <v>15</v>
      </c>
      <c r="I986" s="1">
        <v>600987600</v>
      </c>
    </row>
    <row r="987" spans="1:9" x14ac:dyDescent="0.25">
      <c r="A987" t="str">
        <f t="shared" ref="A987:A1001" si="18">"20226"</f>
        <v>20226</v>
      </c>
      <c r="B987" t="s">
        <v>38</v>
      </c>
      <c r="C987" t="s">
        <v>462</v>
      </c>
      <c r="D987" t="str">
        <f>"010"</f>
        <v>010</v>
      </c>
      <c r="E987">
        <v>2004</v>
      </c>
      <c r="F987">
        <v>2030600</v>
      </c>
      <c r="G987">
        <v>69663100</v>
      </c>
      <c r="H987">
        <v>67632500</v>
      </c>
    </row>
    <row r="988" spans="1:9" x14ac:dyDescent="0.25">
      <c r="A988" t="str">
        <f t="shared" si="18"/>
        <v>20226</v>
      </c>
      <c r="B988" t="s">
        <v>38</v>
      </c>
      <c r="C988" t="s">
        <v>462</v>
      </c>
      <c r="D988" t="str">
        <f>"012"</f>
        <v>012</v>
      </c>
      <c r="E988">
        <v>2008</v>
      </c>
      <c r="F988">
        <v>0</v>
      </c>
      <c r="G988">
        <v>2385400</v>
      </c>
      <c r="H988">
        <v>2385400</v>
      </c>
    </row>
    <row r="989" spans="1:9" x14ac:dyDescent="0.25">
      <c r="A989" t="str">
        <f t="shared" si="18"/>
        <v>20226</v>
      </c>
      <c r="B989" t="s">
        <v>38</v>
      </c>
      <c r="C989" t="s">
        <v>462</v>
      </c>
      <c r="D989" t="str">
        <f>"013"</f>
        <v>013</v>
      </c>
      <c r="E989">
        <v>2010</v>
      </c>
      <c r="F989">
        <v>2732500</v>
      </c>
      <c r="G989">
        <v>6501900</v>
      </c>
      <c r="H989">
        <v>3769400</v>
      </c>
    </row>
    <row r="990" spans="1:9" x14ac:dyDescent="0.25">
      <c r="A990" t="str">
        <f t="shared" si="18"/>
        <v>20226</v>
      </c>
      <c r="B990" t="s">
        <v>38</v>
      </c>
      <c r="C990" t="s">
        <v>462</v>
      </c>
      <c r="D990" t="str">
        <f>"014"</f>
        <v>014</v>
      </c>
      <c r="E990">
        <v>2011</v>
      </c>
      <c r="F990">
        <v>529000</v>
      </c>
      <c r="G990">
        <v>7359400</v>
      </c>
      <c r="H990">
        <v>6830400</v>
      </c>
    </row>
    <row r="991" spans="1:9" x14ac:dyDescent="0.25">
      <c r="A991" t="str">
        <f t="shared" si="18"/>
        <v>20226</v>
      </c>
      <c r="B991" t="s">
        <v>38</v>
      </c>
      <c r="C991" t="s">
        <v>462</v>
      </c>
      <c r="D991" t="str">
        <f>"015"</f>
        <v>015</v>
      </c>
      <c r="E991">
        <v>2011</v>
      </c>
      <c r="F991">
        <v>196200</v>
      </c>
      <c r="G991">
        <v>844600</v>
      </c>
      <c r="H991">
        <v>648400</v>
      </c>
    </row>
    <row r="992" spans="1:9" x14ac:dyDescent="0.25">
      <c r="A992" t="str">
        <f t="shared" si="18"/>
        <v>20226</v>
      </c>
      <c r="B992" t="s">
        <v>38</v>
      </c>
      <c r="C992" t="s">
        <v>462</v>
      </c>
      <c r="D992" t="str">
        <f>"016"</f>
        <v>016</v>
      </c>
      <c r="E992">
        <v>2012</v>
      </c>
      <c r="F992">
        <v>293600</v>
      </c>
      <c r="G992">
        <v>1816800</v>
      </c>
      <c r="H992">
        <v>1523200</v>
      </c>
    </row>
    <row r="993" spans="1:9" x14ac:dyDescent="0.25">
      <c r="A993" t="str">
        <f t="shared" si="18"/>
        <v>20226</v>
      </c>
      <c r="B993" t="s">
        <v>38</v>
      </c>
      <c r="C993" t="s">
        <v>462</v>
      </c>
      <c r="D993" t="str">
        <f>"017"</f>
        <v>017</v>
      </c>
      <c r="E993">
        <v>2012</v>
      </c>
      <c r="F993">
        <v>1385700</v>
      </c>
      <c r="G993">
        <v>6226600</v>
      </c>
      <c r="H993">
        <v>4840900</v>
      </c>
    </row>
    <row r="994" spans="1:9" x14ac:dyDescent="0.25">
      <c r="A994" t="str">
        <f t="shared" si="18"/>
        <v>20226</v>
      </c>
      <c r="B994" t="s">
        <v>38</v>
      </c>
      <c r="C994" t="s">
        <v>462</v>
      </c>
      <c r="D994" t="str">
        <f>"018"</f>
        <v>018</v>
      </c>
      <c r="E994">
        <v>2014</v>
      </c>
      <c r="F994">
        <v>3789200</v>
      </c>
      <c r="G994">
        <v>12324900</v>
      </c>
      <c r="H994">
        <v>8535700</v>
      </c>
    </row>
    <row r="995" spans="1:9" x14ac:dyDescent="0.25">
      <c r="A995" t="str">
        <f t="shared" si="18"/>
        <v>20226</v>
      </c>
      <c r="B995" t="s">
        <v>38</v>
      </c>
      <c r="C995" t="s">
        <v>462</v>
      </c>
      <c r="D995" t="str">
        <f>"019"</f>
        <v>019</v>
      </c>
      <c r="E995">
        <v>2015</v>
      </c>
      <c r="F995">
        <v>759800</v>
      </c>
      <c r="G995">
        <v>1598500</v>
      </c>
      <c r="H995">
        <v>838700</v>
      </c>
    </row>
    <row r="996" spans="1:9" x14ac:dyDescent="0.25">
      <c r="A996" t="str">
        <f t="shared" si="18"/>
        <v>20226</v>
      </c>
      <c r="B996" t="s">
        <v>38</v>
      </c>
      <c r="C996" t="s">
        <v>462</v>
      </c>
      <c r="D996" t="str">
        <f>"020"</f>
        <v>020</v>
      </c>
      <c r="E996">
        <v>2017</v>
      </c>
      <c r="F996">
        <v>0</v>
      </c>
      <c r="G996">
        <v>866500</v>
      </c>
      <c r="H996">
        <v>866500</v>
      </c>
    </row>
    <row r="997" spans="1:9" x14ac:dyDescent="0.25">
      <c r="A997" t="str">
        <f t="shared" si="18"/>
        <v>20226</v>
      </c>
      <c r="B997" t="s">
        <v>38</v>
      </c>
      <c r="C997" t="s">
        <v>462</v>
      </c>
      <c r="D997" t="str">
        <f>"021"</f>
        <v>021</v>
      </c>
      <c r="E997">
        <v>2017</v>
      </c>
      <c r="F997">
        <v>2156400</v>
      </c>
      <c r="G997">
        <v>1581600</v>
      </c>
      <c r="H997">
        <v>0</v>
      </c>
    </row>
    <row r="998" spans="1:9" x14ac:dyDescent="0.25">
      <c r="A998" t="str">
        <f t="shared" si="18"/>
        <v>20226</v>
      </c>
      <c r="B998" t="s">
        <v>38</v>
      </c>
      <c r="C998" t="s">
        <v>462</v>
      </c>
      <c r="D998" t="str">
        <f>"022"</f>
        <v>022</v>
      </c>
      <c r="E998">
        <v>2017</v>
      </c>
      <c r="F998">
        <v>1517700</v>
      </c>
      <c r="G998">
        <v>3875400</v>
      </c>
      <c r="H998">
        <v>2357700</v>
      </c>
    </row>
    <row r="999" spans="1:9" x14ac:dyDescent="0.25">
      <c r="A999" t="str">
        <f t="shared" si="18"/>
        <v>20226</v>
      </c>
      <c r="B999" t="s">
        <v>38</v>
      </c>
      <c r="C999" t="s">
        <v>462</v>
      </c>
      <c r="D999" t="str">
        <f>"023"</f>
        <v>023</v>
      </c>
      <c r="E999">
        <v>2018</v>
      </c>
      <c r="F999">
        <v>5248100</v>
      </c>
      <c r="G999">
        <v>5970900</v>
      </c>
      <c r="H999">
        <v>722800</v>
      </c>
    </row>
    <row r="1000" spans="1:9" x14ac:dyDescent="0.25">
      <c r="A1000" t="str">
        <f t="shared" si="18"/>
        <v>20226</v>
      </c>
      <c r="B1000" t="s">
        <v>38</v>
      </c>
      <c r="C1000" t="s">
        <v>462</v>
      </c>
      <c r="D1000" t="str">
        <f>"024"</f>
        <v>024</v>
      </c>
      <c r="E1000">
        <v>2018</v>
      </c>
      <c r="F1000">
        <v>411500</v>
      </c>
      <c r="G1000">
        <v>5684000</v>
      </c>
      <c r="H1000">
        <v>5272500</v>
      </c>
    </row>
    <row r="1001" spans="1:9" x14ac:dyDescent="0.25">
      <c r="A1001" t="str">
        <f t="shared" si="18"/>
        <v>20226</v>
      </c>
      <c r="B1001" t="s">
        <v>38</v>
      </c>
      <c r="C1001" t="s">
        <v>462</v>
      </c>
      <c r="D1001" t="s">
        <v>13</v>
      </c>
      <c r="E1001" t="s">
        <v>14</v>
      </c>
      <c r="F1001" t="s">
        <v>15</v>
      </c>
      <c r="G1001" t="s">
        <v>15</v>
      </c>
      <c r="H1001" t="s">
        <v>15</v>
      </c>
      <c r="I1001" s="1">
        <v>2897051700</v>
      </c>
    </row>
    <row r="1002" spans="1:9" x14ac:dyDescent="0.25">
      <c r="A1002" t="str">
        <f t="shared" ref="A1002:A1012" si="19">"20276"</f>
        <v>20276</v>
      </c>
      <c r="B1002" t="s">
        <v>38</v>
      </c>
      <c r="C1002" t="s">
        <v>469</v>
      </c>
      <c r="D1002" t="str">
        <f>"004"</f>
        <v>004</v>
      </c>
      <c r="E1002">
        <v>1994</v>
      </c>
      <c r="F1002">
        <v>6810200</v>
      </c>
      <c r="G1002">
        <v>18625800</v>
      </c>
      <c r="H1002">
        <v>11815600</v>
      </c>
    </row>
    <row r="1003" spans="1:9" x14ac:dyDescent="0.25">
      <c r="A1003" t="str">
        <f t="shared" si="19"/>
        <v>20276</v>
      </c>
      <c r="B1003" t="s">
        <v>38</v>
      </c>
      <c r="C1003" t="s">
        <v>469</v>
      </c>
      <c r="D1003" t="str">
        <f>"005"</f>
        <v>005</v>
      </c>
      <c r="E1003">
        <v>2000</v>
      </c>
      <c r="F1003">
        <v>239300</v>
      </c>
      <c r="G1003">
        <v>7969600</v>
      </c>
      <c r="H1003">
        <v>7730300</v>
      </c>
    </row>
    <row r="1004" spans="1:9" x14ac:dyDescent="0.25">
      <c r="A1004" t="str">
        <f t="shared" si="19"/>
        <v>20276</v>
      </c>
      <c r="B1004" t="s">
        <v>38</v>
      </c>
      <c r="C1004" t="s">
        <v>469</v>
      </c>
      <c r="D1004" t="str">
        <f>"006"</f>
        <v>006</v>
      </c>
      <c r="E1004">
        <v>2005</v>
      </c>
      <c r="F1004">
        <v>25263300</v>
      </c>
      <c r="G1004">
        <v>38936900</v>
      </c>
      <c r="H1004">
        <v>13673600</v>
      </c>
    </row>
    <row r="1005" spans="1:9" x14ac:dyDescent="0.25">
      <c r="A1005" t="str">
        <f t="shared" si="19"/>
        <v>20276</v>
      </c>
      <c r="B1005" t="s">
        <v>38</v>
      </c>
      <c r="C1005" t="s">
        <v>469</v>
      </c>
      <c r="D1005" t="str">
        <f>"007"</f>
        <v>007</v>
      </c>
      <c r="E1005">
        <v>2007</v>
      </c>
      <c r="F1005">
        <v>845600</v>
      </c>
      <c r="G1005">
        <v>7303800</v>
      </c>
      <c r="H1005">
        <v>6458200</v>
      </c>
    </row>
    <row r="1006" spans="1:9" x14ac:dyDescent="0.25">
      <c r="A1006" t="str">
        <f t="shared" si="19"/>
        <v>20276</v>
      </c>
      <c r="B1006" t="s">
        <v>38</v>
      </c>
      <c r="C1006" t="s">
        <v>469</v>
      </c>
      <c r="D1006" t="str">
        <f>"009"</f>
        <v>009</v>
      </c>
      <c r="E1006">
        <v>2009</v>
      </c>
      <c r="F1006">
        <v>7100</v>
      </c>
      <c r="G1006">
        <v>5011400</v>
      </c>
      <c r="H1006">
        <v>5004300</v>
      </c>
    </row>
    <row r="1007" spans="1:9" x14ac:dyDescent="0.25">
      <c r="A1007" t="str">
        <f t="shared" si="19"/>
        <v>20276</v>
      </c>
      <c r="B1007" t="s">
        <v>38</v>
      </c>
      <c r="C1007" t="s">
        <v>469</v>
      </c>
      <c r="D1007" t="str">
        <f>"010"</f>
        <v>010</v>
      </c>
      <c r="E1007">
        <v>2009</v>
      </c>
      <c r="F1007">
        <v>34400</v>
      </c>
      <c r="G1007">
        <v>8775400</v>
      </c>
      <c r="H1007">
        <v>8741000</v>
      </c>
    </row>
    <row r="1008" spans="1:9" x14ac:dyDescent="0.25">
      <c r="A1008" t="str">
        <f t="shared" si="19"/>
        <v>20276</v>
      </c>
      <c r="B1008" t="s">
        <v>38</v>
      </c>
      <c r="C1008" t="s">
        <v>469</v>
      </c>
      <c r="D1008" t="str">
        <f>"011"</f>
        <v>011</v>
      </c>
      <c r="E1008">
        <v>2009</v>
      </c>
      <c r="F1008">
        <v>6384300</v>
      </c>
      <c r="G1008">
        <v>8199700</v>
      </c>
      <c r="H1008">
        <v>1815400</v>
      </c>
    </row>
    <row r="1009" spans="1:9" x14ac:dyDescent="0.25">
      <c r="A1009" t="str">
        <f t="shared" si="19"/>
        <v>20276</v>
      </c>
      <c r="B1009" t="s">
        <v>38</v>
      </c>
      <c r="C1009" t="s">
        <v>469</v>
      </c>
      <c r="D1009" t="str">
        <f>"012"</f>
        <v>012</v>
      </c>
      <c r="E1009">
        <v>2014</v>
      </c>
      <c r="F1009">
        <v>727100</v>
      </c>
      <c r="G1009">
        <v>4946300</v>
      </c>
      <c r="H1009">
        <v>4219200</v>
      </c>
    </row>
    <row r="1010" spans="1:9" x14ac:dyDescent="0.25">
      <c r="A1010" t="str">
        <f t="shared" si="19"/>
        <v>20276</v>
      </c>
      <c r="B1010" t="s">
        <v>38</v>
      </c>
      <c r="C1010" t="s">
        <v>469</v>
      </c>
      <c r="D1010" t="str">
        <f>"014"</f>
        <v>014</v>
      </c>
      <c r="E1010">
        <v>2016</v>
      </c>
      <c r="F1010">
        <v>0</v>
      </c>
      <c r="G1010">
        <v>18618600</v>
      </c>
      <c r="H1010">
        <v>18618600</v>
      </c>
    </row>
    <row r="1011" spans="1:9" x14ac:dyDescent="0.25">
      <c r="A1011" t="str">
        <f t="shared" si="19"/>
        <v>20276</v>
      </c>
      <c r="B1011" t="s">
        <v>38</v>
      </c>
      <c r="C1011" t="s">
        <v>469</v>
      </c>
      <c r="D1011" t="str">
        <f>"015"</f>
        <v>015</v>
      </c>
      <c r="E1011">
        <v>2017</v>
      </c>
      <c r="F1011">
        <v>259000</v>
      </c>
      <c r="G1011">
        <v>910900</v>
      </c>
      <c r="H1011">
        <v>651900</v>
      </c>
    </row>
    <row r="1012" spans="1:9" x14ac:dyDescent="0.25">
      <c r="A1012" t="str">
        <f t="shared" si="19"/>
        <v>20276</v>
      </c>
      <c r="B1012" t="s">
        <v>38</v>
      </c>
      <c r="C1012" t="s">
        <v>469</v>
      </c>
      <c r="D1012" t="s">
        <v>13</v>
      </c>
      <c r="E1012" t="s">
        <v>14</v>
      </c>
      <c r="F1012" t="s">
        <v>15</v>
      </c>
      <c r="G1012" t="s">
        <v>15</v>
      </c>
      <c r="H1012" t="s">
        <v>15</v>
      </c>
      <c r="I1012" s="1">
        <v>403629900</v>
      </c>
    </row>
    <row r="1013" spans="1:9" x14ac:dyDescent="0.25">
      <c r="A1013" t="str">
        <f>"20292"</f>
        <v>20292</v>
      </c>
      <c r="B1013" t="s">
        <v>38</v>
      </c>
      <c r="C1013" t="s">
        <v>379</v>
      </c>
      <c r="D1013" t="str">
        <f>"003"</f>
        <v>003</v>
      </c>
      <c r="E1013">
        <v>2005</v>
      </c>
      <c r="F1013">
        <v>10263700</v>
      </c>
      <c r="G1013">
        <v>13357700</v>
      </c>
      <c r="H1013">
        <v>3094000</v>
      </c>
    </row>
    <row r="1014" spans="1:9" x14ac:dyDescent="0.25">
      <c r="A1014" t="str">
        <f>"20292"</f>
        <v>20292</v>
      </c>
      <c r="B1014" t="s">
        <v>38</v>
      </c>
      <c r="C1014" t="s">
        <v>379</v>
      </c>
      <c r="D1014" t="str">
        <f>"006"</f>
        <v>006</v>
      </c>
      <c r="E1014">
        <v>2012</v>
      </c>
      <c r="F1014">
        <v>9154600</v>
      </c>
      <c r="G1014">
        <v>7323800</v>
      </c>
      <c r="H1014">
        <v>0</v>
      </c>
    </row>
    <row r="1015" spans="1:9" x14ac:dyDescent="0.25">
      <c r="A1015" t="str">
        <f>"20292"</f>
        <v>20292</v>
      </c>
      <c r="B1015" t="s">
        <v>38</v>
      </c>
      <c r="C1015" t="s">
        <v>379</v>
      </c>
      <c r="D1015" t="str">
        <f>"008"</f>
        <v>008</v>
      </c>
      <c r="E1015">
        <v>2018</v>
      </c>
      <c r="F1015">
        <v>5047900</v>
      </c>
      <c r="G1015">
        <v>7413400</v>
      </c>
      <c r="H1015">
        <v>2365500</v>
      </c>
    </row>
    <row r="1016" spans="1:9" x14ac:dyDescent="0.25">
      <c r="A1016" t="str">
        <f>"20292"</f>
        <v>20292</v>
      </c>
      <c r="B1016" t="s">
        <v>38</v>
      </c>
      <c r="C1016" t="s">
        <v>379</v>
      </c>
      <c r="D1016" t="s">
        <v>13</v>
      </c>
      <c r="E1016" t="s">
        <v>14</v>
      </c>
      <c r="F1016" t="s">
        <v>15</v>
      </c>
      <c r="G1016" t="s">
        <v>15</v>
      </c>
      <c r="H1016" t="s">
        <v>15</v>
      </c>
      <c r="I1016" s="1">
        <v>220648400</v>
      </c>
    </row>
    <row r="1017" spans="1:9" x14ac:dyDescent="0.25">
      <c r="A1017" t="s">
        <v>32</v>
      </c>
      <c r="B1017" t="s">
        <v>40</v>
      </c>
      <c r="C1017" t="s">
        <v>34</v>
      </c>
      <c r="D1017" t="s">
        <v>13</v>
      </c>
      <c r="E1017" t="s">
        <v>14</v>
      </c>
      <c r="F1017" t="s">
        <v>15</v>
      </c>
      <c r="G1017" t="s">
        <v>15</v>
      </c>
      <c r="H1017" t="s">
        <v>15</v>
      </c>
      <c r="I1017" s="1">
        <v>3521330000</v>
      </c>
    </row>
    <row r="1018" spans="1:9" x14ac:dyDescent="0.25">
      <c r="A1018" t="s">
        <v>32</v>
      </c>
      <c r="B1018" t="s">
        <v>41</v>
      </c>
      <c r="C1018" t="s">
        <v>462</v>
      </c>
      <c r="D1018" t="s">
        <v>13</v>
      </c>
      <c r="E1018" t="s">
        <v>14</v>
      </c>
      <c r="F1018" t="s">
        <v>15</v>
      </c>
      <c r="G1018" t="s">
        <v>15</v>
      </c>
      <c r="H1018" t="s">
        <v>15</v>
      </c>
      <c r="I1018" s="1">
        <v>7817497000</v>
      </c>
    </row>
    <row r="1019" spans="1:9" x14ac:dyDescent="0.25">
      <c r="A1019" t="str">
        <f>"21002"</f>
        <v>21002</v>
      </c>
      <c r="B1019" t="s">
        <v>11</v>
      </c>
      <c r="C1019" t="s">
        <v>479</v>
      </c>
      <c r="D1019" t="s">
        <v>13</v>
      </c>
      <c r="E1019" t="s">
        <v>14</v>
      </c>
      <c r="F1019" t="s">
        <v>15</v>
      </c>
      <c r="G1019" t="s">
        <v>15</v>
      </c>
      <c r="H1019" t="s">
        <v>15</v>
      </c>
      <c r="I1019" s="1">
        <v>42052600</v>
      </c>
    </row>
    <row r="1020" spans="1:9" x14ac:dyDescent="0.25">
      <c r="A1020" t="str">
        <f>"21004"</f>
        <v>21004</v>
      </c>
      <c r="B1020" t="s">
        <v>11</v>
      </c>
      <c r="C1020" t="s">
        <v>480</v>
      </c>
      <c r="D1020" t="s">
        <v>13</v>
      </c>
      <c r="E1020" t="s">
        <v>14</v>
      </c>
      <c r="F1020" t="s">
        <v>15</v>
      </c>
      <c r="G1020" t="s">
        <v>15</v>
      </c>
      <c r="H1020" t="s">
        <v>15</v>
      </c>
      <c r="I1020" s="1">
        <v>40181400</v>
      </c>
    </row>
    <row r="1021" spans="1:9" x14ac:dyDescent="0.25">
      <c r="A1021" t="str">
        <f>"21006"</f>
        <v>21006</v>
      </c>
      <c r="B1021" t="s">
        <v>11</v>
      </c>
      <c r="C1021" t="s">
        <v>481</v>
      </c>
      <c r="D1021" t="s">
        <v>13</v>
      </c>
      <c r="E1021" t="s">
        <v>14</v>
      </c>
      <c r="F1021" t="s">
        <v>15</v>
      </c>
      <c r="G1021" t="s">
        <v>15</v>
      </c>
      <c r="H1021" t="s">
        <v>15</v>
      </c>
      <c r="I1021" s="1">
        <v>43852200</v>
      </c>
    </row>
    <row r="1022" spans="1:9" x14ac:dyDescent="0.25">
      <c r="A1022" t="str">
        <f>"21008"</f>
        <v>21008</v>
      </c>
      <c r="B1022" t="s">
        <v>11</v>
      </c>
      <c r="C1022" t="s">
        <v>482</v>
      </c>
      <c r="D1022" t="s">
        <v>13</v>
      </c>
      <c r="E1022" t="s">
        <v>14</v>
      </c>
      <c r="F1022" t="s">
        <v>15</v>
      </c>
      <c r="G1022" t="s">
        <v>15</v>
      </c>
      <c r="H1022" t="s">
        <v>15</v>
      </c>
      <c r="I1022" s="1">
        <v>22586600</v>
      </c>
    </row>
    <row r="1023" spans="1:9" x14ac:dyDescent="0.25">
      <c r="A1023" t="str">
        <f>"21010"</f>
        <v>21010</v>
      </c>
      <c r="B1023" t="s">
        <v>11</v>
      </c>
      <c r="C1023" t="s">
        <v>483</v>
      </c>
      <c r="D1023" t="s">
        <v>13</v>
      </c>
      <c r="E1023" t="s">
        <v>14</v>
      </c>
      <c r="F1023" t="s">
        <v>15</v>
      </c>
      <c r="G1023" t="s">
        <v>15</v>
      </c>
      <c r="H1023" t="s">
        <v>15</v>
      </c>
      <c r="I1023" s="1">
        <v>11592700</v>
      </c>
    </row>
    <row r="1024" spans="1:9" x14ac:dyDescent="0.25">
      <c r="A1024" t="str">
        <f>"21012"</f>
        <v>21012</v>
      </c>
      <c r="B1024" t="s">
        <v>11</v>
      </c>
      <c r="C1024" t="s">
        <v>484</v>
      </c>
      <c r="D1024" t="s">
        <v>13</v>
      </c>
      <c r="E1024" t="s">
        <v>14</v>
      </c>
      <c r="F1024" t="s">
        <v>15</v>
      </c>
      <c r="G1024" t="s">
        <v>15</v>
      </c>
      <c r="H1024" t="s">
        <v>15</v>
      </c>
      <c r="I1024" s="1">
        <v>60205400</v>
      </c>
    </row>
    <row r="1025" spans="1:9" x14ac:dyDescent="0.25">
      <c r="A1025" t="str">
        <f>"21014"</f>
        <v>21014</v>
      </c>
      <c r="B1025" t="s">
        <v>11</v>
      </c>
      <c r="C1025" t="s">
        <v>485</v>
      </c>
      <c r="D1025" t="s">
        <v>13</v>
      </c>
      <c r="E1025" t="s">
        <v>14</v>
      </c>
      <c r="F1025" t="s">
        <v>15</v>
      </c>
      <c r="G1025" t="s">
        <v>15</v>
      </c>
      <c r="H1025" t="s">
        <v>15</v>
      </c>
      <c r="I1025" s="1">
        <v>82445600</v>
      </c>
    </row>
    <row r="1026" spans="1:9" x14ac:dyDescent="0.25">
      <c r="A1026" t="str">
        <f>"21016"</f>
        <v>21016</v>
      </c>
      <c r="B1026" t="s">
        <v>11</v>
      </c>
      <c r="C1026" t="s">
        <v>486</v>
      </c>
      <c r="D1026" t="s">
        <v>13</v>
      </c>
      <c r="E1026" t="s">
        <v>14</v>
      </c>
      <c r="F1026" t="s">
        <v>15</v>
      </c>
      <c r="G1026" t="s">
        <v>15</v>
      </c>
      <c r="H1026" t="s">
        <v>15</v>
      </c>
      <c r="I1026" s="1">
        <v>136776300</v>
      </c>
    </row>
    <row r="1027" spans="1:9" x14ac:dyDescent="0.25">
      <c r="A1027" t="str">
        <f>"21018"</f>
        <v>21018</v>
      </c>
      <c r="B1027" t="s">
        <v>11</v>
      </c>
      <c r="C1027" t="s">
        <v>487</v>
      </c>
      <c r="D1027" t="s">
        <v>13</v>
      </c>
      <c r="E1027" t="s">
        <v>14</v>
      </c>
      <c r="F1027" t="s">
        <v>15</v>
      </c>
      <c r="G1027" t="s">
        <v>15</v>
      </c>
      <c r="H1027" t="s">
        <v>15</v>
      </c>
      <c r="I1027" s="1">
        <v>106912100</v>
      </c>
    </row>
    <row r="1028" spans="1:9" x14ac:dyDescent="0.25">
      <c r="A1028" t="str">
        <f>"21020"</f>
        <v>21020</v>
      </c>
      <c r="B1028" t="s">
        <v>11</v>
      </c>
      <c r="C1028" t="s">
        <v>22</v>
      </c>
      <c r="D1028" t="s">
        <v>13</v>
      </c>
      <c r="E1028" t="s">
        <v>14</v>
      </c>
      <c r="F1028" t="s">
        <v>15</v>
      </c>
      <c r="G1028" t="s">
        <v>15</v>
      </c>
      <c r="H1028" t="s">
        <v>15</v>
      </c>
      <c r="I1028" s="1">
        <v>190894400</v>
      </c>
    </row>
    <row r="1029" spans="1:9" x14ac:dyDescent="0.25">
      <c r="A1029" t="str">
        <f>"21022"</f>
        <v>21022</v>
      </c>
      <c r="B1029" t="s">
        <v>11</v>
      </c>
      <c r="C1029" t="s">
        <v>488</v>
      </c>
      <c r="D1029" t="s">
        <v>13</v>
      </c>
      <c r="E1029" t="s">
        <v>14</v>
      </c>
      <c r="F1029" t="s">
        <v>15</v>
      </c>
      <c r="G1029" t="s">
        <v>15</v>
      </c>
      <c r="H1029" t="s">
        <v>15</v>
      </c>
      <c r="I1029" s="1">
        <v>221440300</v>
      </c>
    </row>
    <row r="1030" spans="1:9" x14ac:dyDescent="0.25">
      <c r="A1030" t="str">
        <f>"21024"</f>
        <v>21024</v>
      </c>
      <c r="B1030" t="s">
        <v>11</v>
      </c>
      <c r="C1030" t="s">
        <v>489</v>
      </c>
      <c r="D1030" t="s">
        <v>13</v>
      </c>
      <c r="E1030" t="s">
        <v>14</v>
      </c>
      <c r="F1030" t="s">
        <v>15</v>
      </c>
      <c r="G1030" t="s">
        <v>15</v>
      </c>
      <c r="H1030" t="s">
        <v>15</v>
      </c>
      <c r="I1030" s="1">
        <v>12174700</v>
      </c>
    </row>
    <row r="1031" spans="1:9" x14ac:dyDescent="0.25">
      <c r="A1031" t="str">
        <f>"21026"</f>
        <v>21026</v>
      </c>
      <c r="B1031" t="s">
        <v>11</v>
      </c>
      <c r="C1031" t="s">
        <v>490</v>
      </c>
      <c r="D1031" t="s">
        <v>13</v>
      </c>
      <c r="E1031" t="s">
        <v>14</v>
      </c>
      <c r="F1031" t="s">
        <v>15</v>
      </c>
      <c r="G1031" t="s">
        <v>15</v>
      </c>
      <c r="H1031" t="s">
        <v>15</v>
      </c>
      <c r="I1031" s="1">
        <v>14310000</v>
      </c>
    </row>
    <row r="1032" spans="1:9" x14ac:dyDescent="0.25">
      <c r="A1032" t="str">
        <f>"21028"</f>
        <v>21028</v>
      </c>
      <c r="B1032" t="s">
        <v>11</v>
      </c>
      <c r="C1032" t="s">
        <v>491</v>
      </c>
      <c r="D1032" t="s">
        <v>13</v>
      </c>
      <c r="E1032" t="s">
        <v>14</v>
      </c>
      <c r="F1032" t="s">
        <v>15</v>
      </c>
      <c r="G1032" t="s">
        <v>15</v>
      </c>
      <c r="H1032" t="s">
        <v>15</v>
      </c>
      <c r="I1032" s="1">
        <v>82536300</v>
      </c>
    </row>
    <row r="1033" spans="1:9" x14ac:dyDescent="0.25">
      <c r="A1033" t="s">
        <v>32</v>
      </c>
      <c r="B1033" t="s">
        <v>33</v>
      </c>
      <c r="C1033" t="s">
        <v>34</v>
      </c>
      <c r="D1033" t="s">
        <v>13</v>
      </c>
      <c r="E1033" t="s">
        <v>14</v>
      </c>
      <c r="F1033" t="s">
        <v>15</v>
      </c>
      <c r="G1033" t="s">
        <v>15</v>
      </c>
      <c r="H1033" t="s">
        <v>15</v>
      </c>
      <c r="I1033" s="1">
        <v>1067960600</v>
      </c>
    </row>
    <row r="1034" spans="1:9" x14ac:dyDescent="0.25">
      <c r="A1034" t="str">
        <f>"21211"</f>
        <v>21211</v>
      </c>
      <c r="B1034" t="s">
        <v>38</v>
      </c>
      <c r="C1034" t="s">
        <v>484</v>
      </c>
      <c r="D1034" t="str">
        <f>"001"</f>
        <v>001</v>
      </c>
      <c r="E1034">
        <v>2002</v>
      </c>
      <c r="F1034">
        <v>1551000</v>
      </c>
      <c r="G1034">
        <v>3759200</v>
      </c>
      <c r="H1034">
        <v>2208200</v>
      </c>
    </row>
    <row r="1035" spans="1:9" x14ac:dyDescent="0.25">
      <c r="A1035" t="str">
        <f>"21211"</f>
        <v>21211</v>
      </c>
      <c r="B1035" t="s">
        <v>38</v>
      </c>
      <c r="C1035" t="s">
        <v>484</v>
      </c>
      <c r="D1035" t="s">
        <v>13</v>
      </c>
      <c r="E1035" t="s">
        <v>14</v>
      </c>
      <c r="F1035" t="s">
        <v>15</v>
      </c>
      <c r="G1035" t="s">
        <v>15</v>
      </c>
      <c r="H1035" t="s">
        <v>15</v>
      </c>
      <c r="I1035" s="1">
        <v>102574500</v>
      </c>
    </row>
    <row r="1036" spans="1:9" x14ac:dyDescent="0.25">
      <c r="A1036" t="s">
        <v>32</v>
      </c>
      <c r="B1036" t="s">
        <v>40</v>
      </c>
      <c r="C1036" t="s">
        <v>34</v>
      </c>
      <c r="D1036" t="s">
        <v>13</v>
      </c>
      <c r="E1036" t="s">
        <v>14</v>
      </c>
      <c r="F1036" t="s">
        <v>15</v>
      </c>
      <c r="G1036" t="s">
        <v>15</v>
      </c>
      <c r="H1036" t="s">
        <v>15</v>
      </c>
      <c r="I1036" s="1">
        <v>102574500</v>
      </c>
    </row>
    <row r="1037" spans="1:9" x14ac:dyDescent="0.25">
      <c r="A1037" t="s">
        <v>32</v>
      </c>
      <c r="B1037" t="s">
        <v>41</v>
      </c>
      <c r="C1037" t="s">
        <v>463</v>
      </c>
      <c r="D1037" t="s">
        <v>13</v>
      </c>
      <c r="E1037" t="s">
        <v>14</v>
      </c>
      <c r="F1037" t="s">
        <v>15</v>
      </c>
      <c r="G1037" t="s">
        <v>15</v>
      </c>
      <c r="H1037" t="s">
        <v>15</v>
      </c>
      <c r="I1037" s="1">
        <v>1170535100</v>
      </c>
    </row>
    <row r="1038" spans="1:9" x14ac:dyDescent="0.25">
      <c r="A1038" t="str">
        <f>"22002"</f>
        <v>22002</v>
      </c>
      <c r="B1038" t="s">
        <v>11</v>
      </c>
      <c r="C1038" t="s">
        <v>492</v>
      </c>
      <c r="D1038" t="s">
        <v>13</v>
      </c>
      <c r="E1038" t="s">
        <v>14</v>
      </c>
      <c r="F1038" t="s">
        <v>15</v>
      </c>
      <c r="G1038" t="s">
        <v>15</v>
      </c>
      <c r="H1038" t="s">
        <v>15</v>
      </c>
      <c r="I1038" s="1">
        <v>55618800</v>
      </c>
    </row>
    <row r="1039" spans="1:9" x14ac:dyDescent="0.25">
      <c r="A1039" t="str">
        <f>"22004"</f>
        <v>22004</v>
      </c>
      <c r="B1039" t="s">
        <v>11</v>
      </c>
      <c r="C1039" t="s">
        <v>493</v>
      </c>
      <c r="D1039" t="s">
        <v>13</v>
      </c>
      <c r="E1039" t="s">
        <v>14</v>
      </c>
      <c r="F1039" t="s">
        <v>15</v>
      </c>
      <c r="G1039" t="s">
        <v>15</v>
      </c>
      <c r="H1039" t="s">
        <v>15</v>
      </c>
      <c r="I1039" s="1">
        <v>33528500</v>
      </c>
    </row>
    <row r="1040" spans="1:9" x14ac:dyDescent="0.25">
      <c r="A1040" t="str">
        <f>"22006"</f>
        <v>22006</v>
      </c>
      <c r="B1040" t="s">
        <v>11</v>
      </c>
      <c r="C1040" t="s">
        <v>494</v>
      </c>
      <c r="D1040" t="s">
        <v>13</v>
      </c>
      <c r="E1040" t="s">
        <v>14</v>
      </c>
      <c r="F1040" t="s">
        <v>15</v>
      </c>
      <c r="G1040" t="s">
        <v>15</v>
      </c>
      <c r="H1040" t="s">
        <v>15</v>
      </c>
      <c r="I1040" s="1">
        <v>27898400</v>
      </c>
    </row>
    <row r="1041" spans="1:9" x14ac:dyDescent="0.25">
      <c r="A1041" t="str">
        <f>"22008"</f>
        <v>22008</v>
      </c>
      <c r="B1041" t="s">
        <v>11</v>
      </c>
      <c r="C1041" t="s">
        <v>495</v>
      </c>
      <c r="D1041" t="s">
        <v>13</v>
      </c>
      <c r="E1041" t="s">
        <v>14</v>
      </c>
      <c r="F1041" t="s">
        <v>15</v>
      </c>
      <c r="G1041" t="s">
        <v>15</v>
      </c>
      <c r="H1041" t="s">
        <v>15</v>
      </c>
      <c r="I1041" s="1">
        <v>31384000</v>
      </c>
    </row>
    <row r="1042" spans="1:9" x14ac:dyDescent="0.25">
      <c r="A1042" t="str">
        <f>"22010"</f>
        <v>22010</v>
      </c>
      <c r="B1042" t="s">
        <v>11</v>
      </c>
      <c r="C1042" t="s">
        <v>496</v>
      </c>
      <c r="D1042" t="s">
        <v>13</v>
      </c>
      <c r="E1042" t="s">
        <v>14</v>
      </c>
      <c r="F1042" t="s">
        <v>15</v>
      </c>
      <c r="G1042" t="s">
        <v>15</v>
      </c>
      <c r="H1042" t="s">
        <v>15</v>
      </c>
      <c r="I1042" s="1">
        <v>20027200</v>
      </c>
    </row>
    <row r="1043" spans="1:9" x14ac:dyDescent="0.25">
      <c r="A1043" t="str">
        <f>"22012"</f>
        <v>22012</v>
      </c>
      <c r="B1043" t="s">
        <v>11</v>
      </c>
      <c r="C1043" t="s">
        <v>497</v>
      </c>
      <c r="D1043" t="s">
        <v>13</v>
      </c>
      <c r="E1043" t="s">
        <v>14</v>
      </c>
      <c r="F1043" t="s">
        <v>15</v>
      </c>
      <c r="G1043" t="s">
        <v>15</v>
      </c>
      <c r="H1043" t="s">
        <v>15</v>
      </c>
      <c r="I1043" s="1">
        <v>35792200</v>
      </c>
    </row>
    <row r="1044" spans="1:9" x14ac:dyDescent="0.25">
      <c r="A1044" t="str">
        <f>"22014"</f>
        <v>22014</v>
      </c>
      <c r="B1044" t="s">
        <v>11</v>
      </c>
      <c r="C1044" t="s">
        <v>498</v>
      </c>
      <c r="D1044" t="s">
        <v>13</v>
      </c>
      <c r="E1044" t="s">
        <v>14</v>
      </c>
      <c r="F1044" t="s">
        <v>15</v>
      </c>
      <c r="G1044" t="s">
        <v>15</v>
      </c>
      <c r="H1044" t="s">
        <v>15</v>
      </c>
      <c r="I1044" s="1">
        <v>44465800</v>
      </c>
    </row>
    <row r="1045" spans="1:9" x14ac:dyDescent="0.25">
      <c r="A1045" t="str">
        <f>"22016"</f>
        <v>22016</v>
      </c>
      <c r="B1045" t="s">
        <v>11</v>
      </c>
      <c r="C1045" t="s">
        <v>499</v>
      </c>
      <c r="D1045" t="s">
        <v>13</v>
      </c>
      <c r="E1045" t="s">
        <v>14</v>
      </c>
      <c r="F1045" t="s">
        <v>15</v>
      </c>
      <c r="G1045" t="s">
        <v>15</v>
      </c>
      <c r="H1045" t="s">
        <v>15</v>
      </c>
      <c r="I1045" s="1">
        <v>34224800</v>
      </c>
    </row>
    <row r="1046" spans="1:9" x14ac:dyDescent="0.25">
      <c r="A1046" t="str">
        <f>"22018"</f>
        <v>22018</v>
      </c>
      <c r="B1046" t="s">
        <v>11</v>
      </c>
      <c r="C1046" t="s">
        <v>500</v>
      </c>
      <c r="D1046" t="s">
        <v>13</v>
      </c>
      <c r="E1046" t="s">
        <v>14</v>
      </c>
      <c r="F1046" t="s">
        <v>15</v>
      </c>
      <c r="G1046" t="s">
        <v>15</v>
      </c>
      <c r="H1046" t="s">
        <v>15</v>
      </c>
      <c r="I1046" s="1">
        <v>27760000</v>
      </c>
    </row>
    <row r="1047" spans="1:9" x14ac:dyDescent="0.25">
      <c r="A1047" t="str">
        <f>"22020"</f>
        <v>22020</v>
      </c>
      <c r="B1047" t="s">
        <v>11</v>
      </c>
      <c r="C1047" t="s">
        <v>175</v>
      </c>
      <c r="D1047" t="s">
        <v>13</v>
      </c>
      <c r="E1047" t="s">
        <v>14</v>
      </c>
      <c r="F1047" t="s">
        <v>15</v>
      </c>
      <c r="G1047" t="s">
        <v>15</v>
      </c>
      <c r="H1047" t="s">
        <v>15</v>
      </c>
      <c r="I1047" s="1">
        <v>50095000</v>
      </c>
    </row>
    <row r="1048" spans="1:9" x14ac:dyDescent="0.25">
      <c r="A1048" t="str">
        <f>"22022"</f>
        <v>22022</v>
      </c>
      <c r="B1048" t="s">
        <v>11</v>
      </c>
      <c r="C1048" t="s">
        <v>501</v>
      </c>
      <c r="D1048" t="s">
        <v>13</v>
      </c>
      <c r="E1048" t="s">
        <v>14</v>
      </c>
      <c r="F1048" t="s">
        <v>15</v>
      </c>
      <c r="G1048" t="s">
        <v>15</v>
      </c>
      <c r="H1048" t="s">
        <v>15</v>
      </c>
      <c r="I1048" s="1">
        <v>73865600</v>
      </c>
    </row>
    <row r="1049" spans="1:9" x14ac:dyDescent="0.25">
      <c r="A1049" t="str">
        <f>"22024"</f>
        <v>22024</v>
      </c>
      <c r="B1049" t="s">
        <v>11</v>
      </c>
      <c r="C1049" t="s">
        <v>502</v>
      </c>
      <c r="D1049" t="s">
        <v>13</v>
      </c>
      <c r="E1049" t="s">
        <v>14</v>
      </c>
      <c r="F1049" t="s">
        <v>15</v>
      </c>
      <c r="G1049" t="s">
        <v>15</v>
      </c>
      <c r="H1049" t="s">
        <v>15</v>
      </c>
      <c r="I1049" s="1">
        <v>34900600</v>
      </c>
    </row>
    <row r="1050" spans="1:9" x14ac:dyDescent="0.25">
      <c r="A1050" t="str">
        <f>"22026"</f>
        <v>22026</v>
      </c>
      <c r="B1050" t="s">
        <v>11</v>
      </c>
      <c r="C1050" t="s">
        <v>503</v>
      </c>
      <c r="D1050" t="s">
        <v>13</v>
      </c>
      <c r="E1050" t="s">
        <v>14</v>
      </c>
      <c r="F1050" t="s">
        <v>15</v>
      </c>
      <c r="G1050" t="s">
        <v>15</v>
      </c>
      <c r="H1050" t="s">
        <v>15</v>
      </c>
      <c r="I1050" s="1">
        <v>211258600</v>
      </c>
    </row>
    <row r="1051" spans="1:9" x14ac:dyDescent="0.25">
      <c r="A1051" t="str">
        <f>"22028"</f>
        <v>22028</v>
      </c>
      <c r="B1051" t="s">
        <v>11</v>
      </c>
      <c r="C1051" t="s">
        <v>504</v>
      </c>
      <c r="D1051" t="s">
        <v>13</v>
      </c>
      <c r="E1051" t="s">
        <v>14</v>
      </c>
      <c r="F1051" t="s">
        <v>15</v>
      </c>
      <c r="G1051" t="s">
        <v>15</v>
      </c>
      <c r="H1051" t="s">
        <v>15</v>
      </c>
      <c r="I1051" s="1">
        <v>47688900</v>
      </c>
    </row>
    <row r="1052" spans="1:9" x14ac:dyDescent="0.25">
      <c r="A1052" t="str">
        <f>"22030"</f>
        <v>22030</v>
      </c>
      <c r="B1052" t="s">
        <v>11</v>
      </c>
      <c r="C1052" t="s">
        <v>505</v>
      </c>
      <c r="D1052" t="s">
        <v>13</v>
      </c>
      <c r="E1052" t="s">
        <v>14</v>
      </c>
      <c r="F1052" t="s">
        <v>15</v>
      </c>
      <c r="G1052" t="s">
        <v>15</v>
      </c>
      <c r="H1052" t="s">
        <v>15</v>
      </c>
      <c r="I1052" s="1">
        <v>53075000</v>
      </c>
    </row>
    <row r="1053" spans="1:9" x14ac:dyDescent="0.25">
      <c r="A1053" t="str">
        <f>"22032"</f>
        <v>22032</v>
      </c>
      <c r="B1053" t="s">
        <v>11</v>
      </c>
      <c r="C1053" t="s">
        <v>506</v>
      </c>
      <c r="D1053" t="s">
        <v>13</v>
      </c>
      <c r="E1053" t="s">
        <v>14</v>
      </c>
      <c r="F1053" t="s">
        <v>15</v>
      </c>
      <c r="G1053" t="s">
        <v>15</v>
      </c>
      <c r="H1053" t="s">
        <v>15</v>
      </c>
      <c r="I1053" s="1">
        <v>27641900</v>
      </c>
    </row>
    <row r="1054" spans="1:9" x14ac:dyDescent="0.25">
      <c r="A1054" t="str">
        <f>"22034"</f>
        <v>22034</v>
      </c>
      <c r="B1054" t="s">
        <v>11</v>
      </c>
      <c r="C1054" t="s">
        <v>507</v>
      </c>
      <c r="D1054" t="s">
        <v>13</v>
      </c>
      <c r="E1054" t="s">
        <v>14</v>
      </c>
      <c r="F1054" t="s">
        <v>15</v>
      </c>
      <c r="G1054" t="s">
        <v>15</v>
      </c>
      <c r="H1054" t="s">
        <v>15</v>
      </c>
      <c r="I1054" s="1">
        <v>35232300</v>
      </c>
    </row>
    <row r="1055" spans="1:9" x14ac:dyDescent="0.25">
      <c r="A1055" t="str">
        <f>"22036"</f>
        <v>22036</v>
      </c>
      <c r="B1055" t="s">
        <v>11</v>
      </c>
      <c r="C1055" t="s">
        <v>508</v>
      </c>
      <c r="D1055" t="s">
        <v>13</v>
      </c>
      <c r="E1055" t="s">
        <v>14</v>
      </c>
      <c r="F1055" t="s">
        <v>15</v>
      </c>
      <c r="G1055" t="s">
        <v>15</v>
      </c>
      <c r="H1055" t="s">
        <v>15</v>
      </c>
      <c r="I1055" s="1">
        <v>12375100</v>
      </c>
    </row>
    <row r="1056" spans="1:9" x14ac:dyDescent="0.25">
      <c r="A1056" t="str">
        <f>"22038"</f>
        <v>22038</v>
      </c>
      <c r="B1056" t="s">
        <v>11</v>
      </c>
      <c r="C1056" t="s">
        <v>509</v>
      </c>
      <c r="D1056" t="s">
        <v>13</v>
      </c>
      <c r="E1056" t="s">
        <v>14</v>
      </c>
      <c r="F1056" t="s">
        <v>15</v>
      </c>
      <c r="G1056" t="s">
        <v>15</v>
      </c>
      <c r="H1056" t="s">
        <v>15</v>
      </c>
      <c r="I1056" s="1">
        <v>22491900</v>
      </c>
    </row>
    <row r="1057" spans="1:9" x14ac:dyDescent="0.25">
      <c r="A1057" t="str">
        <f>"22040"</f>
        <v>22040</v>
      </c>
      <c r="B1057" t="s">
        <v>11</v>
      </c>
      <c r="C1057" t="s">
        <v>510</v>
      </c>
      <c r="D1057" t="s">
        <v>13</v>
      </c>
      <c r="E1057" t="s">
        <v>14</v>
      </c>
      <c r="F1057" t="s">
        <v>15</v>
      </c>
      <c r="G1057" t="s">
        <v>15</v>
      </c>
      <c r="H1057" t="s">
        <v>15</v>
      </c>
      <c r="I1057" s="1">
        <v>34425300</v>
      </c>
    </row>
    <row r="1058" spans="1:9" x14ac:dyDescent="0.25">
      <c r="A1058" t="str">
        <f>"22042"</f>
        <v>22042</v>
      </c>
      <c r="B1058" t="s">
        <v>11</v>
      </c>
      <c r="C1058" t="s">
        <v>511</v>
      </c>
      <c r="D1058" t="s">
        <v>13</v>
      </c>
      <c r="E1058" t="s">
        <v>14</v>
      </c>
      <c r="F1058" t="s">
        <v>15</v>
      </c>
      <c r="G1058" t="s">
        <v>15</v>
      </c>
      <c r="H1058" t="s">
        <v>15</v>
      </c>
      <c r="I1058" s="1">
        <v>61331700</v>
      </c>
    </row>
    <row r="1059" spans="1:9" x14ac:dyDescent="0.25">
      <c r="A1059" t="str">
        <f>"22044"</f>
        <v>22044</v>
      </c>
      <c r="B1059" t="s">
        <v>11</v>
      </c>
      <c r="C1059" t="s">
        <v>512</v>
      </c>
      <c r="D1059" t="s">
        <v>13</v>
      </c>
      <c r="E1059" t="s">
        <v>14</v>
      </c>
      <c r="F1059" t="s">
        <v>15</v>
      </c>
      <c r="G1059" t="s">
        <v>15</v>
      </c>
      <c r="H1059" t="s">
        <v>15</v>
      </c>
      <c r="I1059" s="1">
        <v>49529500</v>
      </c>
    </row>
    <row r="1060" spans="1:9" x14ac:dyDescent="0.25">
      <c r="A1060" t="str">
        <f>"22046"</f>
        <v>22046</v>
      </c>
      <c r="B1060" t="s">
        <v>11</v>
      </c>
      <c r="C1060" t="s">
        <v>513</v>
      </c>
      <c r="D1060" t="s">
        <v>13</v>
      </c>
      <c r="E1060" t="s">
        <v>14</v>
      </c>
      <c r="F1060" t="s">
        <v>15</v>
      </c>
      <c r="G1060" t="s">
        <v>15</v>
      </c>
      <c r="H1060" t="s">
        <v>15</v>
      </c>
      <c r="I1060" s="1">
        <v>65920400</v>
      </c>
    </row>
    <row r="1061" spans="1:9" x14ac:dyDescent="0.25">
      <c r="A1061" t="str">
        <f>"22048"</f>
        <v>22048</v>
      </c>
      <c r="B1061" t="s">
        <v>11</v>
      </c>
      <c r="C1061" t="s">
        <v>514</v>
      </c>
      <c r="D1061" t="s">
        <v>13</v>
      </c>
      <c r="E1061" t="s">
        <v>14</v>
      </c>
      <c r="F1061" t="s">
        <v>15</v>
      </c>
      <c r="G1061" t="s">
        <v>15</v>
      </c>
      <c r="H1061" t="s">
        <v>15</v>
      </c>
      <c r="I1061" s="1">
        <v>24549700</v>
      </c>
    </row>
    <row r="1062" spans="1:9" x14ac:dyDescent="0.25">
      <c r="A1062" t="str">
        <f>"22050"</f>
        <v>22050</v>
      </c>
      <c r="B1062" t="s">
        <v>11</v>
      </c>
      <c r="C1062" t="s">
        <v>515</v>
      </c>
      <c r="D1062" t="s">
        <v>13</v>
      </c>
      <c r="E1062" t="s">
        <v>14</v>
      </c>
      <c r="F1062" t="s">
        <v>15</v>
      </c>
      <c r="G1062" t="s">
        <v>15</v>
      </c>
      <c r="H1062" t="s">
        <v>15</v>
      </c>
      <c r="I1062" s="1">
        <v>135057200</v>
      </c>
    </row>
    <row r="1063" spans="1:9" x14ac:dyDescent="0.25">
      <c r="A1063" t="str">
        <f>"22052"</f>
        <v>22052</v>
      </c>
      <c r="B1063" t="s">
        <v>11</v>
      </c>
      <c r="C1063" t="s">
        <v>516</v>
      </c>
      <c r="D1063" t="s">
        <v>13</v>
      </c>
      <c r="E1063" t="s">
        <v>14</v>
      </c>
      <c r="F1063" t="s">
        <v>15</v>
      </c>
      <c r="G1063" t="s">
        <v>15</v>
      </c>
      <c r="H1063" t="s">
        <v>15</v>
      </c>
      <c r="I1063" s="1">
        <v>68751100</v>
      </c>
    </row>
    <row r="1064" spans="1:9" x14ac:dyDescent="0.25">
      <c r="A1064" t="str">
        <f>"22054"</f>
        <v>22054</v>
      </c>
      <c r="B1064" t="s">
        <v>11</v>
      </c>
      <c r="C1064" t="s">
        <v>517</v>
      </c>
      <c r="D1064" t="s">
        <v>13</v>
      </c>
      <c r="E1064" t="s">
        <v>14</v>
      </c>
      <c r="F1064" t="s">
        <v>15</v>
      </c>
      <c r="G1064" t="s">
        <v>15</v>
      </c>
      <c r="H1064" t="s">
        <v>15</v>
      </c>
      <c r="I1064" s="1">
        <v>69577800</v>
      </c>
    </row>
    <row r="1065" spans="1:9" x14ac:dyDescent="0.25">
      <c r="A1065" t="str">
        <f>"22056"</f>
        <v>22056</v>
      </c>
      <c r="B1065" t="s">
        <v>11</v>
      </c>
      <c r="C1065" t="s">
        <v>518</v>
      </c>
      <c r="D1065" t="s">
        <v>13</v>
      </c>
      <c r="E1065" t="s">
        <v>14</v>
      </c>
      <c r="F1065" t="s">
        <v>15</v>
      </c>
      <c r="G1065" t="s">
        <v>15</v>
      </c>
      <c r="H1065" t="s">
        <v>15</v>
      </c>
      <c r="I1065" s="1">
        <v>61941300</v>
      </c>
    </row>
    <row r="1066" spans="1:9" x14ac:dyDescent="0.25">
      <c r="A1066" t="str">
        <f>"22058"</f>
        <v>22058</v>
      </c>
      <c r="B1066" t="s">
        <v>11</v>
      </c>
      <c r="C1066" t="s">
        <v>519</v>
      </c>
      <c r="D1066" t="s">
        <v>13</v>
      </c>
      <c r="E1066" t="s">
        <v>14</v>
      </c>
      <c r="F1066" t="s">
        <v>15</v>
      </c>
      <c r="G1066" t="s">
        <v>15</v>
      </c>
      <c r="H1066" t="s">
        <v>15</v>
      </c>
      <c r="I1066" s="1">
        <v>52477100</v>
      </c>
    </row>
    <row r="1067" spans="1:9" x14ac:dyDescent="0.25">
      <c r="A1067" t="str">
        <f>"22060"</f>
        <v>22060</v>
      </c>
      <c r="B1067" t="s">
        <v>11</v>
      </c>
      <c r="C1067" t="s">
        <v>520</v>
      </c>
      <c r="D1067" t="s">
        <v>13</v>
      </c>
      <c r="E1067" t="s">
        <v>14</v>
      </c>
      <c r="F1067" t="s">
        <v>15</v>
      </c>
      <c r="G1067" t="s">
        <v>15</v>
      </c>
      <c r="H1067" t="s">
        <v>15</v>
      </c>
      <c r="I1067" s="1">
        <v>29519300</v>
      </c>
    </row>
    <row r="1068" spans="1:9" x14ac:dyDescent="0.25">
      <c r="A1068" t="str">
        <f>"22062"</f>
        <v>22062</v>
      </c>
      <c r="B1068" t="s">
        <v>11</v>
      </c>
      <c r="C1068" t="s">
        <v>521</v>
      </c>
      <c r="D1068" t="s">
        <v>13</v>
      </c>
      <c r="E1068" t="s">
        <v>14</v>
      </c>
      <c r="F1068" t="s">
        <v>15</v>
      </c>
      <c r="G1068" t="s">
        <v>15</v>
      </c>
      <c r="H1068" t="s">
        <v>15</v>
      </c>
      <c r="I1068" s="1">
        <v>30880100</v>
      </c>
    </row>
    <row r="1069" spans="1:9" x14ac:dyDescent="0.25">
      <c r="A1069" t="str">
        <f>"22064"</f>
        <v>22064</v>
      </c>
      <c r="B1069" t="s">
        <v>11</v>
      </c>
      <c r="C1069" t="s">
        <v>522</v>
      </c>
      <c r="D1069" t="s">
        <v>13</v>
      </c>
      <c r="E1069" t="s">
        <v>14</v>
      </c>
      <c r="F1069" t="s">
        <v>15</v>
      </c>
      <c r="G1069" t="s">
        <v>15</v>
      </c>
      <c r="H1069" t="s">
        <v>15</v>
      </c>
      <c r="I1069" s="1">
        <v>16523800</v>
      </c>
    </row>
    <row r="1070" spans="1:9" x14ac:dyDescent="0.25">
      <c r="A1070" t="str">
        <f>"22066"</f>
        <v>22066</v>
      </c>
      <c r="B1070" t="s">
        <v>11</v>
      </c>
      <c r="C1070" t="s">
        <v>523</v>
      </c>
      <c r="D1070" t="s">
        <v>13</v>
      </c>
      <c r="E1070" t="s">
        <v>14</v>
      </c>
      <c r="F1070" t="s">
        <v>15</v>
      </c>
      <c r="G1070" t="s">
        <v>15</v>
      </c>
      <c r="H1070" t="s">
        <v>15</v>
      </c>
      <c r="I1070" s="1">
        <v>33368200</v>
      </c>
    </row>
    <row r="1071" spans="1:9" x14ac:dyDescent="0.25">
      <c r="A1071" t="s">
        <v>32</v>
      </c>
      <c r="B1071" t="s">
        <v>33</v>
      </c>
      <c r="C1071" t="s">
        <v>34</v>
      </c>
      <c r="D1071" t="s">
        <v>13</v>
      </c>
      <c r="E1071" t="s">
        <v>14</v>
      </c>
      <c r="F1071" t="s">
        <v>15</v>
      </c>
      <c r="G1071" t="s">
        <v>15</v>
      </c>
      <c r="H1071" t="s">
        <v>15</v>
      </c>
      <c r="I1071" s="1">
        <v>1613177100</v>
      </c>
    </row>
    <row r="1072" spans="1:9" x14ac:dyDescent="0.25">
      <c r="A1072" t="str">
        <f>"22106"</f>
        <v>22106</v>
      </c>
      <c r="B1072" t="s">
        <v>35</v>
      </c>
      <c r="C1072" t="s">
        <v>524</v>
      </c>
      <c r="D1072" t="s">
        <v>13</v>
      </c>
      <c r="E1072" t="s">
        <v>14</v>
      </c>
      <c r="F1072" t="s">
        <v>15</v>
      </c>
      <c r="G1072" t="s">
        <v>15</v>
      </c>
      <c r="H1072" t="s">
        <v>15</v>
      </c>
      <c r="I1072" s="1">
        <v>22790800</v>
      </c>
    </row>
    <row r="1073" spans="1:9" x14ac:dyDescent="0.25">
      <c r="A1073" t="str">
        <f>"22107"</f>
        <v>22107</v>
      </c>
      <c r="B1073" t="s">
        <v>35</v>
      </c>
      <c r="C1073" t="s">
        <v>493</v>
      </c>
      <c r="D1073" t="s">
        <v>13</v>
      </c>
      <c r="E1073" t="s">
        <v>14</v>
      </c>
      <c r="F1073" t="s">
        <v>15</v>
      </c>
      <c r="G1073" t="s">
        <v>15</v>
      </c>
      <c r="H1073" t="s">
        <v>15</v>
      </c>
      <c r="I1073" s="1">
        <v>30489900</v>
      </c>
    </row>
    <row r="1074" spans="1:9" x14ac:dyDescent="0.25">
      <c r="A1074" t="str">
        <f>"22108"</f>
        <v>22108</v>
      </c>
      <c r="B1074" t="s">
        <v>35</v>
      </c>
      <c r="C1074" t="s">
        <v>525</v>
      </c>
      <c r="D1074" t="s">
        <v>13</v>
      </c>
      <c r="E1074" t="s">
        <v>14</v>
      </c>
      <c r="F1074" t="s">
        <v>15</v>
      </c>
      <c r="G1074" t="s">
        <v>15</v>
      </c>
      <c r="H1074" t="s">
        <v>15</v>
      </c>
      <c r="I1074" s="1">
        <v>15271700</v>
      </c>
    </row>
    <row r="1075" spans="1:9" x14ac:dyDescent="0.25">
      <c r="A1075" t="str">
        <f>"22111"</f>
        <v>22111</v>
      </c>
      <c r="B1075" t="s">
        <v>35</v>
      </c>
      <c r="C1075" t="s">
        <v>495</v>
      </c>
      <c r="D1075" t="s">
        <v>13</v>
      </c>
      <c r="E1075" t="s">
        <v>14</v>
      </c>
      <c r="F1075" t="s">
        <v>15</v>
      </c>
      <c r="G1075" t="s">
        <v>15</v>
      </c>
      <c r="H1075" t="s">
        <v>15</v>
      </c>
      <c r="I1075" s="1">
        <v>51657000</v>
      </c>
    </row>
    <row r="1076" spans="1:9" x14ac:dyDescent="0.25">
      <c r="A1076" t="str">
        <f>"22116"</f>
        <v>22116</v>
      </c>
      <c r="B1076" t="s">
        <v>35</v>
      </c>
      <c r="C1076" t="s">
        <v>526</v>
      </c>
      <c r="D1076" t="str">
        <f>"001"</f>
        <v>001</v>
      </c>
      <c r="E1076">
        <v>2014</v>
      </c>
      <c r="F1076">
        <v>1550700</v>
      </c>
      <c r="G1076">
        <v>2837000</v>
      </c>
      <c r="H1076">
        <v>1286300</v>
      </c>
    </row>
    <row r="1077" spans="1:9" x14ac:dyDescent="0.25">
      <c r="A1077" t="str">
        <f>"22116"</f>
        <v>22116</v>
      </c>
      <c r="B1077" t="s">
        <v>35</v>
      </c>
      <c r="C1077" t="s">
        <v>526</v>
      </c>
      <c r="D1077" t="s">
        <v>13</v>
      </c>
      <c r="E1077" t="s">
        <v>14</v>
      </c>
      <c r="F1077" t="s">
        <v>15</v>
      </c>
      <c r="G1077" t="s">
        <v>15</v>
      </c>
      <c r="H1077" t="s">
        <v>15</v>
      </c>
      <c r="I1077" s="1">
        <v>65059700</v>
      </c>
    </row>
    <row r="1078" spans="1:9" x14ac:dyDescent="0.25">
      <c r="A1078" t="str">
        <f>"22136"</f>
        <v>22136</v>
      </c>
      <c r="B1078" t="s">
        <v>35</v>
      </c>
      <c r="C1078" t="s">
        <v>501</v>
      </c>
      <c r="D1078" t="str">
        <f>"001"</f>
        <v>001</v>
      </c>
      <c r="E1078">
        <v>1997</v>
      </c>
      <c r="F1078">
        <v>823900</v>
      </c>
      <c r="G1078">
        <v>2298600</v>
      </c>
      <c r="H1078">
        <v>1474700</v>
      </c>
    </row>
    <row r="1079" spans="1:9" x14ac:dyDescent="0.25">
      <c r="A1079" t="str">
        <f>"22136"</f>
        <v>22136</v>
      </c>
      <c r="B1079" t="s">
        <v>35</v>
      </c>
      <c r="C1079" t="s">
        <v>501</v>
      </c>
      <c r="D1079" t="s">
        <v>13</v>
      </c>
      <c r="E1079" t="s">
        <v>14</v>
      </c>
      <c r="F1079" t="s">
        <v>15</v>
      </c>
      <c r="G1079" t="s">
        <v>15</v>
      </c>
      <c r="H1079" t="s">
        <v>15</v>
      </c>
      <c r="I1079" s="1">
        <v>60360600</v>
      </c>
    </row>
    <row r="1080" spans="1:9" x14ac:dyDescent="0.25">
      <c r="A1080" t="str">
        <f>"22147"</f>
        <v>22147</v>
      </c>
      <c r="B1080" t="s">
        <v>35</v>
      </c>
      <c r="C1080" t="s">
        <v>527</v>
      </c>
      <c r="D1080" t="str">
        <f>"002"</f>
        <v>002</v>
      </c>
      <c r="E1080">
        <v>1996</v>
      </c>
      <c r="F1080">
        <v>293300</v>
      </c>
      <c r="G1080">
        <v>602300</v>
      </c>
      <c r="H1080">
        <v>309000</v>
      </c>
    </row>
    <row r="1081" spans="1:9" x14ac:dyDescent="0.25">
      <c r="A1081" t="str">
        <f>"22147"</f>
        <v>22147</v>
      </c>
      <c r="B1081" t="s">
        <v>35</v>
      </c>
      <c r="C1081" t="s">
        <v>527</v>
      </c>
      <c r="D1081" t="s">
        <v>13</v>
      </c>
      <c r="E1081" t="s">
        <v>14</v>
      </c>
      <c r="F1081" t="s">
        <v>15</v>
      </c>
      <c r="G1081" t="s">
        <v>15</v>
      </c>
      <c r="H1081" t="s">
        <v>15</v>
      </c>
      <c r="I1081" s="1">
        <v>28186800</v>
      </c>
    </row>
    <row r="1082" spans="1:9" x14ac:dyDescent="0.25">
      <c r="A1082" t="str">
        <f>"22151"</f>
        <v>22151</v>
      </c>
      <c r="B1082" t="s">
        <v>35</v>
      </c>
      <c r="C1082" t="s">
        <v>528</v>
      </c>
      <c r="D1082" t="str">
        <f>"001"</f>
        <v>001</v>
      </c>
      <c r="E1082">
        <v>2014</v>
      </c>
      <c r="F1082">
        <v>1968700</v>
      </c>
      <c r="G1082">
        <v>2493900</v>
      </c>
      <c r="H1082">
        <v>525200</v>
      </c>
    </row>
    <row r="1083" spans="1:9" x14ac:dyDescent="0.25">
      <c r="A1083" t="str">
        <f>"22151"</f>
        <v>22151</v>
      </c>
      <c r="B1083" t="s">
        <v>35</v>
      </c>
      <c r="C1083" t="s">
        <v>528</v>
      </c>
      <c r="D1083" t="s">
        <v>13</v>
      </c>
      <c r="E1083" t="s">
        <v>14</v>
      </c>
      <c r="F1083" t="s">
        <v>15</v>
      </c>
      <c r="G1083" t="s">
        <v>15</v>
      </c>
      <c r="H1083" t="s">
        <v>15</v>
      </c>
      <c r="I1083" s="1">
        <v>31968600</v>
      </c>
    </row>
    <row r="1084" spans="1:9" x14ac:dyDescent="0.25">
      <c r="A1084" t="str">
        <f>"22152"</f>
        <v>22152</v>
      </c>
      <c r="B1084" t="s">
        <v>35</v>
      </c>
      <c r="C1084" t="s">
        <v>509</v>
      </c>
      <c r="D1084" t="s">
        <v>13</v>
      </c>
      <c r="E1084" t="s">
        <v>14</v>
      </c>
      <c r="F1084" t="s">
        <v>15</v>
      </c>
      <c r="G1084" t="s">
        <v>15</v>
      </c>
      <c r="H1084" t="s">
        <v>15</v>
      </c>
      <c r="I1084" s="1">
        <v>7505400</v>
      </c>
    </row>
    <row r="1085" spans="1:9" x14ac:dyDescent="0.25">
      <c r="A1085" t="str">
        <f>"22153"</f>
        <v>22153</v>
      </c>
      <c r="B1085" t="s">
        <v>35</v>
      </c>
      <c r="C1085" t="s">
        <v>511</v>
      </c>
      <c r="D1085" t="str">
        <f>"002"</f>
        <v>002</v>
      </c>
      <c r="E1085">
        <v>1997</v>
      </c>
      <c r="F1085">
        <v>1137900</v>
      </c>
      <c r="G1085">
        <v>9759400</v>
      </c>
      <c r="H1085">
        <v>8621500</v>
      </c>
    </row>
    <row r="1086" spans="1:9" x14ac:dyDescent="0.25">
      <c r="A1086" t="str">
        <f>"22153"</f>
        <v>22153</v>
      </c>
      <c r="B1086" t="s">
        <v>35</v>
      </c>
      <c r="C1086" t="s">
        <v>511</v>
      </c>
      <c r="D1086" t="str">
        <f>"003"</f>
        <v>003</v>
      </c>
      <c r="E1086">
        <v>1997</v>
      </c>
      <c r="F1086">
        <v>2039400</v>
      </c>
      <c r="G1086">
        <v>3680400</v>
      </c>
      <c r="H1086">
        <v>1641000</v>
      </c>
    </row>
    <row r="1087" spans="1:9" x14ac:dyDescent="0.25">
      <c r="A1087" t="str">
        <f>"22153"</f>
        <v>22153</v>
      </c>
      <c r="B1087" t="s">
        <v>35</v>
      </c>
      <c r="C1087" t="s">
        <v>511</v>
      </c>
      <c r="D1087" t="s">
        <v>13</v>
      </c>
      <c r="E1087" t="s">
        <v>14</v>
      </c>
      <c r="F1087" t="s">
        <v>15</v>
      </c>
      <c r="G1087" t="s">
        <v>15</v>
      </c>
      <c r="H1087" t="s">
        <v>15</v>
      </c>
      <c r="I1087" s="1">
        <v>68296700</v>
      </c>
    </row>
    <row r="1088" spans="1:9" x14ac:dyDescent="0.25">
      <c r="A1088" t="str">
        <f>"22171"</f>
        <v>22171</v>
      </c>
      <c r="B1088" t="s">
        <v>35</v>
      </c>
      <c r="C1088" t="s">
        <v>514</v>
      </c>
      <c r="D1088" t="s">
        <v>13</v>
      </c>
      <c r="E1088" t="s">
        <v>14</v>
      </c>
      <c r="F1088" t="s">
        <v>15</v>
      </c>
      <c r="G1088" t="s">
        <v>15</v>
      </c>
      <c r="H1088" t="s">
        <v>15</v>
      </c>
      <c r="I1088" s="1">
        <v>8844900</v>
      </c>
    </row>
    <row r="1089" spans="1:9" x14ac:dyDescent="0.25">
      <c r="A1089" t="str">
        <f>"22172"</f>
        <v>22172</v>
      </c>
      <c r="B1089" t="s">
        <v>35</v>
      </c>
      <c r="C1089" t="s">
        <v>516</v>
      </c>
      <c r="D1089" t="s">
        <v>13</v>
      </c>
      <c r="E1089" t="s">
        <v>14</v>
      </c>
      <c r="F1089" t="s">
        <v>15</v>
      </c>
      <c r="G1089" t="s">
        <v>15</v>
      </c>
      <c r="H1089" t="s">
        <v>15</v>
      </c>
      <c r="I1089" s="1">
        <v>38309300</v>
      </c>
    </row>
    <row r="1090" spans="1:9" x14ac:dyDescent="0.25">
      <c r="A1090" t="str">
        <f>"22186"</f>
        <v>22186</v>
      </c>
      <c r="B1090" t="s">
        <v>35</v>
      </c>
      <c r="C1090" t="s">
        <v>529</v>
      </c>
      <c r="D1090" t="s">
        <v>13</v>
      </c>
      <c r="E1090" t="s">
        <v>14</v>
      </c>
      <c r="F1090" t="s">
        <v>15</v>
      </c>
      <c r="G1090" t="s">
        <v>15</v>
      </c>
      <c r="H1090" t="s">
        <v>15</v>
      </c>
      <c r="I1090" s="1">
        <v>19328500</v>
      </c>
    </row>
    <row r="1091" spans="1:9" x14ac:dyDescent="0.25">
      <c r="A1091" t="str">
        <f>"22191"</f>
        <v>22191</v>
      </c>
      <c r="B1091" t="s">
        <v>35</v>
      </c>
      <c r="C1091" t="s">
        <v>522</v>
      </c>
      <c r="D1091" t="s">
        <v>13</v>
      </c>
      <c r="E1091" t="s">
        <v>14</v>
      </c>
      <c r="F1091" t="s">
        <v>15</v>
      </c>
      <c r="G1091" t="s">
        <v>15</v>
      </c>
      <c r="H1091" t="s">
        <v>15</v>
      </c>
      <c r="I1091" s="1">
        <v>4330400</v>
      </c>
    </row>
    <row r="1092" spans="1:9" x14ac:dyDescent="0.25">
      <c r="A1092" t="s">
        <v>32</v>
      </c>
      <c r="B1092" t="s">
        <v>37</v>
      </c>
      <c r="C1092" t="s">
        <v>34</v>
      </c>
      <c r="D1092" t="s">
        <v>13</v>
      </c>
      <c r="E1092" t="s">
        <v>14</v>
      </c>
      <c r="F1092" t="s">
        <v>15</v>
      </c>
      <c r="G1092" t="s">
        <v>15</v>
      </c>
      <c r="H1092" t="s">
        <v>15</v>
      </c>
      <c r="I1092" s="1">
        <v>452400300</v>
      </c>
    </row>
    <row r="1093" spans="1:9" x14ac:dyDescent="0.25">
      <c r="A1093" t="str">
        <f>"22206"</f>
        <v>22206</v>
      </c>
      <c r="B1093" t="s">
        <v>38</v>
      </c>
      <c r="C1093" t="s">
        <v>494</v>
      </c>
      <c r="D1093" t="str">
        <f>"004"</f>
        <v>004</v>
      </c>
      <c r="E1093">
        <v>2005</v>
      </c>
      <c r="F1093">
        <v>5090300</v>
      </c>
      <c r="G1093">
        <v>8996200</v>
      </c>
      <c r="H1093">
        <v>3905900</v>
      </c>
    </row>
    <row r="1094" spans="1:9" x14ac:dyDescent="0.25">
      <c r="A1094" t="str">
        <f>"22206"</f>
        <v>22206</v>
      </c>
      <c r="B1094" t="s">
        <v>38</v>
      </c>
      <c r="C1094" t="s">
        <v>494</v>
      </c>
      <c r="D1094" t="s">
        <v>13</v>
      </c>
      <c r="E1094" t="s">
        <v>14</v>
      </c>
      <c r="F1094" t="s">
        <v>15</v>
      </c>
      <c r="G1094" t="s">
        <v>15</v>
      </c>
      <c r="H1094" t="s">
        <v>15</v>
      </c>
      <c r="I1094" s="1">
        <v>128202300</v>
      </c>
    </row>
    <row r="1095" spans="1:9" x14ac:dyDescent="0.25">
      <c r="A1095" t="str">
        <f>"22211"</f>
        <v>22211</v>
      </c>
      <c r="B1095" t="s">
        <v>38</v>
      </c>
      <c r="C1095" t="s">
        <v>530</v>
      </c>
      <c r="D1095" t="str">
        <f>"002"</f>
        <v>002</v>
      </c>
      <c r="E1095">
        <v>1999</v>
      </c>
      <c r="F1095">
        <v>1703000</v>
      </c>
      <c r="G1095">
        <v>9209100</v>
      </c>
      <c r="H1095">
        <v>7506100</v>
      </c>
    </row>
    <row r="1096" spans="1:9" x14ac:dyDescent="0.25">
      <c r="A1096" t="str">
        <f>"22211"</f>
        <v>22211</v>
      </c>
      <c r="B1096" t="s">
        <v>38</v>
      </c>
      <c r="C1096" t="s">
        <v>530</v>
      </c>
      <c r="D1096" t="str">
        <f>"003"</f>
        <v>003</v>
      </c>
      <c r="E1096">
        <v>2012</v>
      </c>
      <c r="F1096">
        <v>2303400</v>
      </c>
      <c r="G1096">
        <v>4577000</v>
      </c>
      <c r="H1096">
        <v>2273600</v>
      </c>
    </row>
    <row r="1097" spans="1:9" x14ac:dyDescent="0.25">
      <c r="A1097" t="str">
        <f>"22211"</f>
        <v>22211</v>
      </c>
      <c r="B1097" t="s">
        <v>38</v>
      </c>
      <c r="C1097" t="s">
        <v>530</v>
      </c>
      <c r="D1097" t="s">
        <v>13</v>
      </c>
      <c r="E1097" t="s">
        <v>14</v>
      </c>
      <c r="F1097" t="s">
        <v>15</v>
      </c>
      <c r="G1097" t="s">
        <v>15</v>
      </c>
      <c r="H1097" t="s">
        <v>15</v>
      </c>
      <c r="I1097" s="1">
        <v>106618500</v>
      </c>
    </row>
    <row r="1098" spans="1:9" x14ac:dyDescent="0.25">
      <c r="A1098" t="str">
        <f>"22226"</f>
        <v>22226</v>
      </c>
      <c r="B1098" t="s">
        <v>38</v>
      </c>
      <c r="C1098" t="s">
        <v>499</v>
      </c>
      <c r="D1098" t="str">
        <f>"004"</f>
        <v>004</v>
      </c>
      <c r="E1098">
        <v>2002</v>
      </c>
      <c r="F1098">
        <v>32200</v>
      </c>
      <c r="G1098">
        <v>973700</v>
      </c>
      <c r="H1098">
        <v>941500</v>
      </c>
    </row>
    <row r="1099" spans="1:9" x14ac:dyDescent="0.25">
      <c r="A1099" t="str">
        <f>"22226"</f>
        <v>22226</v>
      </c>
      <c r="B1099" t="s">
        <v>38</v>
      </c>
      <c r="C1099" t="s">
        <v>499</v>
      </c>
      <c r="D1099" t="str">
        <f>"005"</f>
        <v>005</v>
      </c>
      <c r="E1099">
        <v>2005</v>
      </c>
      <c r="F1099">
        <v>6958900</v>
      </c>
      <c r="G1099">
        <v>7851800</v>
      </c>
      <c r="H1099">
        <v>892900</v>
      </c>
    </row>
    <row r="1100" spans="1:9" x14ac:dyDescent="0.25">
      <c r="A1100" t="str">
        <f>"22226"</f>
        <v>22226</v>
      </c>
      <c r="B1100" t="s">
        <v>38</v>
      </c>
      <c r="C1100" t="s">
        <v>499</v>
      </c>
      <c r="D1100" t="str">
        <f>"006"</f>
        <v>006</v>
      </c>
      <c r="E1100">
        <v>2017</v>
      </c>
      <c r="F1100">
        <v>1370000</v>
      </c>
      <c r="G1100">
        <v>4674800</v>
      </c>
      <c r="H1100">
        <v>3304800</v>
      </c>
    </row>
    <row r="1101" spans="1:9" x14ac:dyDescent="0.25">
      <c r="A1101" t="str">
        <f>"22226"</f>
        <v>22226</v>
      </c>
      <c r="B1101" t="s">
        <v>38</v>
      </c>
      <c r="C1101" t="s">
        <v>499</v>
      </c>
      <c r="D1101" t="s">
        <v>13</v>
      </c>
      <c r="E1101" t="s">
        <v>14</v>
      </c>
      <c r="F1101" t="s">
        <v>15</v>
      </c>
      <c r="G1101" t="s">
        <v>15</v>
      </c>
      <c r="H1101" t="s">
        <v>15</v>
      </c>
      <c r="I1101" s="1">
        <v>121554100</v>
      </c>
    </row>
    <row r="1102" spans="1:9" x14ac:dyDescent="0.25">
      <c r="A1102" t="str">
        <f>"22246"</f>
        <v>22246</v>
      </c>
      <c r="B1102" t="s">
        <v>38</v>
      </c>
      <c r="C1102" t="s">
        <v>531</v>
      </c>
      <c r="D1102" t="str">
        <f>"003"</f>
        <v>003</v>
      </c>
      <c r="E1102">
        <v>2006</v>
      </c>
      <c r="F1102">
        <v>424500</v>
      </c>
      <c r="G1102">
        <v>6941400</v>
      </c>
      <c r="H1102">
        <v>6516900</v>
      </c>
    </row>
    <row r="1103" spans="1:9" x14ac:dyDescent="0.25">
      <c r="A1103" t="str">
        <f>"22246"</f>
        <v>22246</v>
      </c>
      <c r="B1103" t="s">
        <v>38</v>
      </c>
      <c r="C1103" t="s">
        <v>531</v>
      </c>
      <c r="D1103" t="str">
        <f>"004"</f>
        <v>004</v>
      </c>
      <c r="E1103">
        <v>2006</v>
      </c>
      <c r="F1103">
        <v>2414400</v>
      </c>
      <c r="G1103">
        <v>5800400</v>
      </c>
      <c r="H1103">
        <v>3386000</v>
      </c>
    </row>
    <row r="1104" spans="1:9" x14ac:dyDescent="0.25">
      <c r="A1104" t="str">
        <f>"22246"</f>
        <v>22246</v>
      </c>
      <c r="B1104" t="s">
        <v>38</v>
      </c>
      <c r="C1104" t="s">
        <v>531</v>
      </c>
      <c r="D1104" t="str">
        <f>"005"</f>
        <v>005</v>
      </c>
      <c r="E1104">
        <v>2018</v>
      </c>
      <c r="F1104">
        <v>0</v>
      </c>
      <c r="G1104">
        <v>0</v>
      </c>
      <c r="H1104">
        <v>0</v>
      </c>
    </row>
    <row r="1105" spans="1:9" x14ac:dyDescent="0.25">
      <c r="A1105" t="str">
        <f>"22246"</f>
        <v>22246</v>
      </c>
      <c r="B1105" t="s">
        <v>38</v>
      </c>
      <c r="C1105" t="s">
        <v>531</v>
      </c>
      <c r="D1105" t="s">
        <v>13</v>
      </c>
      <c r="E1105" t="s">
        <v>14</v>
      </c>
      <c r="F1105" t="s">
        <v>15</v>
      </c>
      <c r="G1105" t="s">
        <v>15</v>
      </c>
      <c r="H1105" t="s">
        <v>15</v>
      </c>
      <c r="I1105" s="1">
        <v>238608000</v>
      </c>
    </row>
    <row r="1106" spans="1:9" x14ac:dyDescent="0.25">
      <c r="A1106" t="str">
        <f>"22271"</f>
        <v>22271</v>
      </c>
      <c r="B1106" t="s">
        <v>38</v>
      </c>
      <c r="C1106" t="s">
        <v>515</v>
      </c>
      <c r="D1106" t="str">
        <f>"004"</f>
        <v>004</v>
      </c>
      <c r="E1106">
        <v>1997</v>
      </c>
      <c r="F1106">
        <v>3204600</v>
      </c>
      <c r="G1106">
        <v>13717800</v>
      </c>
      <c r="H1106">
        <v>10513200</v>
      </c>
    </row>
    <row r="1107" spans="1:9" x14ac:dyDescent="0.25">
      <c r="A1107" t="str">
        <f>"22271"</f>
        <v>22271</v>
      </c>
      <c r="B1107" t="s">
        <v>38</v>
      </c>
      <c r="C1107" t="s">
        <v>515</v>
      </c>
      <c r="D1107" t="str">
        <f>"005"</f>
        <v>005</v>
      </c>
      <c r="E1107">
        <v>2005</v>
      </c>
      <c r="F1107">
        <v>29500</v>
      </c>
      <c r="G1107">
        <v>40436600</v>
      </c>
      <c r="H1107">
        <v>40407100</v>
      </c>
    </row>
    <row r="1108" spans="1:9" x14ac:dyDescent="0.25">
      <c r="A1108" t="str">
        <f>"22271"</f>
        <v>22271</v>
      </c>
      <c r="B1108" t="s">
        <v>38</v>
      </c>
      <c r="C1108" t="s">
        <v>515</v>
      </c>
      <c r="D1108" t="str">
        <f>"006"</f>
        <v>006</v>
      </c>
      <c r="E1108">
        <v>2006</v>
      </c>
      <c r="F1108">
        <v>7740400</v>
      </c>
      <c r="G1108">
        <v>33345200</v>
      </c>
      <c r="H1108">
        <v>25604800</v>
      </c>
    </row>
    <row r="1109" spans="1:9" x14ac:dyDescent="0.25">
      <c r="A1109" t="str">
        <f>"22271"</f>
        <v>22271</v>
      </c>
      <c r="B1109" t="s">
        <v>38</v>
      </c>
      <c r="C1109" t="s">
        <v>515</v>
      </c>
      <c r="D1109" t="str">
        <f>"007"</f>
        <v>007</v>
      </c>
      <c r="E1109">
        <v>2006</v>
      </c>
      <c r="F1109">
        <v>29515000</v>
      </c>
      <c r="G1109">
        <v>45903900</v>
      </c>
      <c r="H1109">
        <v>16388900</v>
      </c>
    </row>
    <row r="1110" spans="1:9" x14ac:dyDescent="0.25">
      <c r="A1110" t="str">
        <f>"22271"</f>
        <v>22271</v>
      </c>
      <c r="B1110" t="s">
        <v>38</v>
      </c>
      <c r="C1110" t="s">
        <v>515</v>
      </c>
      <c r="D1110" t="s">
        <v>13</v>
      </c>
      <c r="E1110" t="s">
        <v>14</v>
      </c>
      <c r="F1110" t="s">
        <v>15</v>
      </c>
      <c r="G1110" t="s">
        <v>15</v>
      </c>
      <c r="H1110" t="s">
        <v>15</v>
      </c>
      <c r="I1110" s="1">
        <v>614977400</v>
      </c>
    </row>
    <row r="1111" spans="1:9" x14ac:dyDescent="0.25">
      <c r="A1111" t="s">
        <v>32</v>
      </c>
      <c r="B1111" t="s">
        <v>40</v>
      </c>
      <c r="C1111" t="s">
        <v>34</v>
      </c>
      <c r="D1111" t="s">
        <v>13</v>
      </c>
      <c r="E1111" t="s">
        <v>14</v>
      </c>
      <c r="F1111" t="s">
        <v>15</v>
      </c>
      <c r="G1111" t="s">
        <v>15</v>
      </c>
      <c r="H1111" t="s">
        <v>15</v>
      </c>
      <c r="I1111" s="1">
        <v>1209960300</v>
      </c>
    </row>
    <row r="1112" spans="1:9" x14ac:dyDescent="0.25">
      <c r="A1112" t="s">
        <v>32</v>
      </c>
      <c r="B1112" t="s">
        <v>41</v>
      </c>
      <c r="C1112" t="s">
        <v>221</v>
      </c>
      <c r="D1112" t="s">
        <v>13</v>
      </c>
      <c r="E1112" t="s">
        <v>14</v>
      </c>
      <c r="F1112" t="s">
        <v>15</v>
      </c>
      <c r="G1112" t="s">
        <v>15</v>
      </c>
      <c r="H1112" t="s">
        <v>15</v>
      </c>
      <c r="I1112" s="1">
        <v>3275537700</v>
      </c>
    </row>
    <row r="1113" spans="1:9" x14ac:dyDescent="0.25">
      <c r="A1113" t="str">
        <f>"23002"</f>
        <v>23002</v>
      </c>
      <c r="B1113" t="s">
        <v>11</v>
      </c>
      <c r="C1113" t="s">
        <v>12</v>
      </c>
      <c r="D1113" t="s">
        <v>13</v>
      </c>
      <c r="E1113" t="s">
        <v>14</v>
      </c>
      <c r="F1113" t="s">
        <v>15</v>
      </c>
      <c r="G1113" t="s">
        <v>15</v>
      </c>
      <c r="H1113" t="s">
        <v>15</v>
      </c>
      <c r="I1113" s="1">
        <v>57012700</v>
      </c>
    </row>
    <row r="1114" spans="1:9" x14ac:dyDescent="0.25">
      <c r="A1114" t="str">
        <f>"23004"</f>
        <v>23004</v>
      </c>
      <c r="B1114" t="s">
        <v>11</v>
      </c>
      <c r="C1114" t="s">
        <v>532</v>
      </c>
      <c r="D1114" t="s">
        <v>13</v>
      </c>
      <c r="E1114" t="s">
        <v>14</v>
      </c>
      <c r="F1114" t="s">
        <v>15</v>
      </c>
      <c r="G1114" t="s">
        <v>15</v>
      </c>
      <c r="H1114" t="s">
        <v>15</v>
      </c>
      <c r="I1114" s="1">
        <v>117726400</v>
      </c>
    </row>
    <row r="1115" spans="1:9" x14ac:dyDescent="0.25">
      <c r="A1115" t="str">
        <f>"23006"</f>
        <v>23006</v>
      </c>
      <c r="B1115" t="s">
        <v>11</v>
      </c>
      <c r="C1115" t="s">
        <v>334</v>
      </c>
      <c r="D1115" t="s">
        <v>13</v>
      </c>
      <c r="E1115" t="s">
        <v>14</v>
      </c>
      <c r="F1115" t="s">
        <v>15</v>
      </c>
      <c r="G1115" t="s">
        <v>15</v>
      </c>
      <c r="H1115" t="s">
        <v>15</v>
      </c>
      <c r="I1115" s="1">
        <v>138517800</v>
      </c>
    </row>
    <row r="1116" spans="1:9" x14ac:dyDescent="0.25">
      <c r="A1116" t="str">
        <f>"23008"</f>
        <v>23008</v>
      </c>
      <c r="B1116" t="s">
        <v>11</v>
      </c>
      <c r="C1116" t="s">
        <v>533</v>
      </c>
      <c r="D1116" t="s">
        <v>13</v>
      </c>
      <c r="E1116" t="s">
        <v>14</v>
      </c>
      <c r="F1116" t="s">
        <v>15</v>
      </c>
      <c r="G1116" t="s">
        <v>15</v>
      </c>
      <c r="H1116" t="s">
        <v>15</v>
      </c>
      <c r="I1116" s="1">
        <v>70301100</v>
      </c>
    </row>
    <row r="1117" spans="1:9" x14ac:dyDescent="0.25">
      <c r="A1117" t="str">
        <f>"23010"</f>
        <v>23010</v>
      </c>
      <c r="B1117" t="s">
        <v>11</v>
      </c>
      <c r="C1117" t="s">
        <v>534</v>
      </c>
      <c r="D1117" t="s">
        <v>13</v>
      </c>
      <c r="E1117" t="s">
        <v>14</v>
      </c>
      <c r="F1117" t="s">
        <v>15</v>
      </c>
      <c r="G1117" t="s">
        <v>15</v>
      </c>
      <c r="H1117" t="s">
        <v>15</v>
      </c>
      <c r="I1117" s="1">
        <v>104273400</v>
      </c>
    </row>
    <row r="1118" spans="1:9" x14ac:dyDescent="0.25">
      <c r="A1118" t="str">
        <f>"23012"</f>
        <v>23012</v>
      </c>
      <c r="B1118" t="s">
        <v>11</v>
      </c>
      <c r="C1118" t="s">
        <v>535</v>
      </c>
      <c r="D1118" t="s">
        <v>13</v>
      </c>
      <c r="E1118" t="s">
        <v>14</v>
      </c>
      <c r="F1118" t="s">
        <v>15</v>
      </c>
      <c r="G1118" t="s">
        <v>15</v>
      </c>
      <c r="H1118" t="s">
        <v>15</v>
      </c>
      <c r="I1118" s="1">
        <v>157066800</v>
      </c>
    </row>
    <row r="1119" spans="1:9" x14ac:dyDescent="0.25">
      <c r="A1119" t="str">
        <f>"23014"</f>
        <v>23014</v>
      </c>
      <c r="B1119" t="s">
        <v>11</v>
      </c>
      <c r="C1119" t="s">
        <v>536</v>
      </c>
      <c r="D1119" t="s">
        <v>13</v>
      </c>
      <c r="E1119" t="s">
        <v>14</v>
      </c>
      <c r="F1119" t="s">
        <v>15</v>
      </c>
      <c r="G1119" t="s">
        <v>15</v>
      </c>
      <c r="H1119" t="s">
        <v>15</v>
      </c>
      <c r="I1119" s="1">
        <v>238906000</v>
      </c>
    </row>
    <row r="1120" spans="1:9" x14ac:dyDescent="0.25">
      <c r="A1120" t="str">
        <f>"23016"</f>
        <v>23016</v>
      </c>
      <c r="B1120" t="s">
        <v>11</v>
      </c>
      <c r="C1120" t="s">
        <v>537</v>
      </c>
      <c r="D1120" t="s">
        <v>13</v>
      </c>
      <c r="E1120" t="s">
        <v>14</v>
      </c>
      <c r="F1120" t="s">
        <v>15</v>
      </c>
      <c r="G1120" t="s">
        <v>15</v>
      </c>
      <c r="H1120" t="s">
        <v>15</v>
      </c>
      <c r="I1120" s="1">
        <v>97462400</v>
      </c>
    </row>
    <row r="1121" spans="1:9" x14ac:dyDescent="0.25">
      <c r="A1121" t="str">
        <f>"23018"</f>
        <v>23018</v>
      </c>
      <c r="B1121" t="s">
        <v>11</v>
      </c>
      <c r="C1121" t="s">
        <v>538</v>
      </c>
      <c r="D1121" t="s">
        <v>13</v>
      </c>
      <c r="E1121" t="s">
        <v>14</v>
      </c>
      <c r="F1121" t="s">
        <v>15</v>
      </c>
      <c r="G1121" t="s">
        <v>15</v>
      </c>
      <c r="H1121" t="s">
        <v>15</v>
      </c>
      <c r="I1121" s="1">
        <v>70044600</v>
      </c>
    </row>
    <row r="1122" spans="1:9" x14ac:dyDescent="0.25">
      <c r="A1122" t="str">
        <f>"23020"</f>
        <v>23020</v>
      </c>
      <c r="B1122" t="s">
        <v>11</v>
      </c>
      <c r="C1122" t="s">
        <v>23</v>
      </c>
      <c r="D1122" t="s">
        <v>13</v>
      </c>
      <c r="E1122" t="s">
        <v>14</v>
      </c>
      <c r="F1122" t="s">
        <v>15</v>
      </c>
      <c r="G1122" t="s">
        <v>15</v>
      </c>
      <c r="H1122" t="s">
        <v>15</v>
      </c>
      <c r="I1122" s="1">
        <v>123637000</v>
      </c>
    </row>
    <row r="1123" spans="1:9" x14ac:dyDescent="0.25">
      <c r="A1123" t="str">
        <f>"23022"</f>
        <v>23022</v>
      </c>
      <c r="B1123" t="s">
        <v>11</v>
      </c>
      <c r="C1123" t="s">
        <v>539</v>
      </c>
      <c r="D1123" t="s">
        <v>13</v>
      </c>
      <c r="E1123" t="s">
        <v>14</v>
      </c>
      <c r="F1123" t="s">
        <v>15</v>
      </c>
      <c r="G1123" t="s">
        <v>15</v>
      </c>
      <c r="H1123" t="s">
        <v>15</v>
      </c>
      <c r="I1123" s="1">
        <v>64191900</v>
      </c>
    </row>
    <row r="1124" spans="1:9" x14ac:dyDescent="0.25">
      <c r="A1124" t="str">
        <f>"23024"</f>
        <v>23024</v>
      </c>
      <c r="B1124" t="s">
        <v>11</v>
      </c>
      <c r="C1124" t="s">
        <v>540</v>
      </c>
      <c r="D1124" t="s">
        <v>13</v>
      </c>
      <c r="E1124" t="s">
        <v>14</v>
      </c>
      <c r="F1124" t="s">
        <v>15</v>
      </c>
      <c r="G1124" t="s">
        <v>15</v>
      </c>
      <c r="H1124" t="s">
        <v>15</v>
      </c>
      <c r="I1124" s="1">
        <v>179222400</v>
      </c>
    </row>
    <row r="1125" spans="1:9" x14ac:dyDescent="0.25">
      <c r="A1125" t="str">
        <f>"23026"</f>
        <v>23026</v>
      </c>
      <c r="B1125" t="s">
        <v>11</v>
      </c>
      <c r="C1125" t="s">
        <v>541</v>
      </c>
      <c r="D1125" t="s">
        <v>13</v>
      </c>
      <c r="E1125" t="s">
        <v>14</v>
      </c>
      <c r="F1125" t="s">
        <v>15</v>
      </c>
      <c r="G1125" t="s">
        <v>15</v>
      </c>
      <c r="H1125" t="s">
        <v>15</v>
      </c>
      <c r="I1125" s="1">
        <v>91238800</v>
      </c>
    </row>
    <row r="1126" spans="1:9" x14ac:dyDescent="0.25">
      <c r="A1126" t="str">
        <f>"23028"</f>
        <v>23028</v>
      </c>
      <c r="B1126" t="s">
        <v>11</v>
      </c>
      <c r="C1126" t="s">
        <v>542</v>
      </c>
      <c r="D1126" t="s">
        <v>13</v>
      </c>
      <c r="E1126" t="s">
        <v>14</v>
      </c>
      <c r="F1126" t="s">
        <v>15</v>
      </c>
      <c r="G1126" t="s">
        <v>15</v>
      </c>
      <c r="H1126" t="s">
        <v>15</v>
      </c>
      <c r="I1126" s="1">
        <v>139643600</v>
      </c>
    </row>
    <row r="1127" spans="1:9" x14ac:dyDescent="0.25">
      <c r="A1127" t="str">
        <f>"23030"</f>
        <v>23030</v>
      </c>
      <c r="B1127" t="s">
        <v>11</v>
      </c>
      <c r="C1127" t="s">
        <v>393</v>
      </c>
      <c r="D1127" t="s">
        <v>13</v>
      </c>
      <c r="E1127" t="s">
        <v>14</v>
      </c>
      <c r="F1127" t="s">
        <v>15</v>
      </c>
      <c r="G1127" t="s">
        <v>15</v>
      </c>
      <c r="H1127" t="s">
        <v>15</v>
      </c>
      <c r="I1127" s="1">
        <v>83477800</v>
      </c>
    </row>
    <row r="1128" spans="1:9" x14ac:dyDescent="0.25">
      <c r="A1128" t="str">
        <f>"23032"</f>
        <v>23032</v>
      </c>
      <c r="B1128" t="s">
        <v>11</v>
      </c>
      <c r="C1128" t="s">
        <v>244</v>
      </c>
      <c r="D1128" t="s">
        <v>13</v>
      </c>
      <c r="E1128" t="s">
        <v>14</v>
      </c>
      <c r="F1128" t="s">
        <v>15</v>
      </c>
      <c r="G1128" t="s">
        <v>15</v>
      </c>
      <c r="H1128" t="s">
        <v>15</v>
      </c>
      <c r="I1128" s="1">
        <v>116738500</v>
      </c>
    </row>
    <row r="1129" spans="1:9" x14ac:dyDescent="0.25">
      <c r="A1129" t="s">
        <v>32</v>
      </c>
      <c r="B1129" t="s">
        <v>33</v>
      </c>
      <c r="C1129" t="s">
        <v>34</v>
      </c>
      <c r="D1129" t="s">
        <v>13</v>
      </c>
      <c r="E1129" t="s">
        <v>14</v>
      </c>
      <c r="F1129" t="s">
        <v>15</v>
      </c>
      <c r="G1129" t="s">
        <v>15</v>
      </c>
      <c r="H1129" t="s">
        <v>15</v>
      </c>
      <c r="I1129" s="1">
        <v>1849461200</v>
      </c>
    </row>
    <row r="1130" spans="1:9" x14ac:dyDescent="0.25">
      <c r="A1130" t="str">
        <f>"23101"</f>
        <v>23101</v>
      </c>
      <c r="B1130" t="s">
        <v>35</v>
      </c>
      <c r="C1130" t="s">
        <v>532</v>
      </c>
      <c r="D1130" t="s">
        <v>13</v>
      </c>
      <c r="E1130" t="s">
        <v>14</v>
      </c>
      <c r="F1130" t="s">
        <v>15</v>
      </c>
      <c r="G1130" t="s">
        <v>15</v>
      </c>
      <c r="H1130" t="s">
        <v>15</v>
      </c>
      <c r="I1130" s="1">
        <v>57552900</v>
      </c>
    </row>
    <row r="1131" spans="1:9" x14ac:dyDescent="0.25">
      <c r="A1131" t="str">
        <f>"23106"</f>
        <v>23106</v>
      </c>
      <c r="B1131" t="s">
        <v>35</v>
      </c>
      <c r="C1131" t="s">
        <v>333</v>
      </c>
      <c r="D1131" t="str">
        <f>"005"</f>
        <v>005</v>
      </c>
      <c r="E1131">
        <v>2009</v>
      </c>
      <c r="F1131">
        <v>368800</v>
      </c>
      <c r="G1131">
        <v>374000</v>
      </c>
      <c r="H1131">
        <v>5200</v>
      </c>
    </row>
    <row r="1132" spans="1:9" x14ac:dyDescent="0.25">
      <c r="A1132" t="str">
        <f>"23106"</f>
        <v>23106</v>
      </c>
      <c r="B1132" t="s">
        <v>35</v>
      </c>
      <c r="C1132" t="s">
        <v>333</v>
      </c>
      <c r="D1132" t="s">
        <v>13</v>
      </c>
      <c r="E1132" t="s">
        <v>14</v>
      </c>
      <c r="F1132" t="s">
        <v>15</v>
      </c>
      <c r="G1132" t="s">
        <v>15</v>
      </c>
      <c r="H1132" t="s">
        <v>15</v>
      </c>
      <c r="I1132" s="1">
        <v>40393500</v>
      </c>
    </row>
    <row r="1133" spans="1:9" x14ac:dyDescent="0.25">
      <c r="A1133" t="str">
        <f>"23109"</f>
        <v>23109</v>
      </c>
      <c r="B1133" t="s">
        <v>35</v>
      </c>
      <c r="C1133" t="s">
        <v>334</v>
      </c>
      <c r="D1133" t="str">
        <f>"001"</f>
        <v>001</v>
      </c>
      <c r="E1133">
        <v>2008</v>
      </c>
      <c r="F1133">
        <v>4400600</v>
      </c>
      <c r="G1133">
        <v>5169500</v>
      </c>
      <c r="H1133">
        <v>768900</v>
      </c>
    </row>
    <row r="1134" spans="1:9" x14ac:dyDescent="0.25">
      <c r="A1134" t="str">
        <f>"23109"</f>
        <v>23109</v>
      </c>
      <c r="B1134" t="s">
        <v>35</v>
      </c>
      <c r="C1134" t="s">
        <v>334</v>
      </c>
      <c r="D1134" t="s">
        <v>13</v>
      </c>
      <c r="E1134" t="s">
        <v>14</v>
      </c>
      <c r="F1134" t="s">
        <v>15</v>
      </c>
      <c r="G1134" t="s">
        <v>15</v>
      </c>
      <c r="H1134" t="s">
        <v>15</v>
      </c>
      <c r="I1134" s="1">
        <v>28727500</v>
      </c>
    </row>
    <row r="1135" spans="1:9" x14ac:dyDescent="0.25">
      <c r="A1135" t="str">
        <f>"23110"</f>
        <v>23110</v>
      </c>
      <c r="B1135" t="s">
        <v>35</v>
      </c>
      <c r="C1135" t="s">
        <v>543</v>
      </c>
      <c r="D1135" t="s">
        <v>13</v>
      </c>
      <c r="E1135" t="s">
        <v>14</v>
      </c>
      <c r="F1135" t="s">
        <v>15</v>
      </c>
      <c r="G1135" t="s">
        <v>15</v>
      </c>
      <c r="H1135" t="s">
        <v>15</v>
      </c>
      <c r="I1135" s="1">
        <v>14005400</v>
      </c>
    </row>
    <row r="1136" spans="1:9" x14ac:dyDescent="0.25">
      <c r="A1136" t="str">
        <f>"23151"</f>
        <v>23151</v>
      </c>
      <c r="B1136" t="s">
        <v>35</v>
      </c>
      <c r="C1136" t="s">
        <v>544</v>
      </c>
      <c r="D1136" t="s">
        <v>13</v>
      </c>
      <c r="E1136" t="s">
        <v>14</v>
      </c>
      <c r="F1136" t="s">
        <v>15</v>
      </c>
      <c r="G1136" t="s">
        <v>15</v>
      </c>
      <c r="H1136" t="s">
        <v>15</v>
      </c>
      <c r="I1136" s="1">
        <v>89230100</v>
      </c>
    </row>
    <row r="1137" spans="1:9" x14ac:dyDescent="0.25">
      <c r="A1137" t="str">
        <f>"23161"</f>
        <v>23161</v>
      </c>
      <c r="B1137" t="s">
        <v>35</v>
      </c>
      <c r="C1137" t="s">
        <v>540</v>
      </c>
      <c r="D1137" t="str">
        <f>"003"</f>
        <v>003</v>
      </c>
      <c r="E1137">
        <v>2006</v>
      </c>
      <c r="F1137">
        <v>19300</v>
      </c>
      <c r="G1137">
        <v>13038800</v>
      </c>
      <c r="H1137">
        <v>13019500</v>
      </c>
    </row>
    <row r="1138" spans="1:9" x14ac:dyDescent="0.25">
      <c r="A1138" t="str">
        <f>"23161"</f>
        <v>23161</v>
      </c>
      <c r="B1138" t="s">
        <v>35</v>
      </c>
      <c r="C1138" t="s">
        <v>540</v>
      </c>
      <c r="D1138" t="str">
        <f>"004"</f>
        <v>004</v>
      </c>
      <c r="E1138">
        <v>2015</v>
      </c>
      <c r="F1138">
        <v>14642600</v>
      </c>
      <c r="G1138">
        <v>18461700</v>
      </c>
      <c r="H1138">
        <v>3819100</v>
      </c>
    </row>
    <row r="1139" spans="1:9" x14ac:dyDescent="0.25">
      <c r="A1139" t="str">
        <f>"23161"</f>
        <v>23161</v>
      </c>
      <c r="B1139" t="s">
        <v>35</v>
      </c>
      <c r="C1139" t="s">
        <v>540</v>
      </c>
      <c r="D1139" t="s">
        <v>13</v>
      </c>
      <c r="E1139" t="s">
        <v>14</v>
      </c>
      <c r="F1139" t="s">
        <v>15</v>
      </c>
      <c r="G1139" t="s">
        <v>15</v>
      </c>
      <c r="H1139" t="s">
        <v>15</v>
      </c>
      <c r="I1139" s="1">
        <v>189699400</v>
      </c>
    </row>
    <row r="1140" spans="1:9" x14ac:dyDescent="0.25">
      <c r="A1140" t="s">
        <v>32</v>
      </c>
      <c r="B1140" t="s">
        <v>37</v>
      </c>
      <c r="C1140" t="s">
        <v>34</v>
      </c>
      <c r="D1140" t="s">
        <v>13</v>
      </c>
      <c r="E1140" t="s">
        <v>14</v>
      </c>
      <c r="F1140" t="s">
        <v>15</v>
      </c>
      <c r="G1140" t="s">
        <v>15</v>
      </c>
      <c r="H1140" t="s">
        <v>15</v>
      </c>
      <c r="I1140" s="1">
        <v>419608800</v>
      </c>
    </row>
    <row r="1141" spans="1:9" x14ac:dyDescent="0.25">
      <c r="A1141" t="str">
        <f>"23206"</f>
        <v>23206</v>
      </c>
      <c r="B1141" t="s">
        <v>38</v>
      </c>
      <c r="C1141" t="s">
        <v>545</v>
      </c>
      <c r="D1141" t="str">
        <f>"004"</f>
        <v>004</v>
      </c>
      <c r="E1141">
        <v>2005</v>
      </c>
      <c r="F1141">
        <v>108400</v>
      </c>
      <c r="G1141">
        <v>184500</v>
      </c>
      <c r="H1141">
        <v>76100</v>
      </c>
    </row>
    <row r="1142" spans="1:9" x14ac:dyDescent="0.25">
      <c r="A1142" t="str">
        <f>"23206"</f>
        <v>23206</v>
      </c>
      <c r="B1142" t="s">
        <v>38</v>
      </c>
      <c r="C1142" t="s">
        <v>545</v>
      </c>
      <c r="D1142" t="str">
        <f>"005"</f>
        <v>005</v>
      </c>
      <c r="E1142">
        <v>2005</v>
      </c>
      <c r="F1142">
        <v>1529000</v>
      </c>
      <c r="G1142">
        <v>1913000</v>
      </c>
      <c r="H1142">
        <v>384000</v>
      </c>
    </row>
    <row r="1143" spans="1:9" x14ac:dyDescent="0.25">
      <c r="A1143" t="str">
        <f>"23206"</f>
        <v>23206</v>
      </c>
      <c r="B1143" t="s">
        <v>38</v>
      </c>
      <c r="C1143" t="s">
        <v>545</v>
      </c>
      <c r="D1143" t="str">
        <f>"006"</f>
        <v>006</v>
      </c>
      <c r="E1143">
        <v>2006</v>
      </c>
      <c r="F1143">
        <v>1170300</v>
      </c>
      <c r="G1143">
        <v>2057700</v>
      </c>
      <c r="H1143">
        <v>887400</v>
      </c>
    </row>
    <row r="1144" spans="1:9" x14ac:dyDescent="0.25">
      <c r="A1144" t="str">
        <f>"23206"</f>
        <v>23206</v>
      </c>
      <c r="B1144" t="s">
        <v>38</v>
      </c>
      <c r="C1144" t="s">
        <v>545</v>
      </c>
      <c r="D1144" t="str">
        <f>"007"</f>
        <v>007</v>
      </c>
      <c r="E1144">
        <v>2013</v>
      </c>
      <c r="F1144">
        <v>4118800</v>
      </c>
      <c r="G1144">
        <v>5815300</v>
      </c>
      <c r="H1144">
        <v>1696500</v>
      </c>
    </row>
    <row r="1145" spans="1:9" x14ac:dyDescent="0.25">
      <c r="A1145" t="str">
        <f>"23206"</f>
        <v>23206</v>
      </c>
      <c r="B1145" t="s">
        <v>38</v>
      </c>
      <c r="C1145" t="s">
        <v>545</v>
      </c>
      <c r="D1145" t="s">
        <v>13</v>
      </c>
      <c r="E1145" t="s">
        <v>14</v>
      </c>
      <c r="F1145" t="s">
        <v>15</v>
      </c>
      <c r="G1145" t="s">
        <v>15</v>
      </c>
      <c r="H1145" t="s">
        <v>15</v>
      </c>
      <c r="I1145" s="1">
        <v>180237200</v>
      </c>
    </row>
    <row r="1146" spans="1:9" x14ac:dyDescent="0.25">
      <c r="A1146" t="str">
        <f t="shared" ref="A1146:A1152" si="20">"23251"</f>
        <v>23251</v>
      </c>
      <c r="B1146" t="s">
        <v>38</v>
      </c>
      <c r="C1146" t="s">
        <v>23</v>
      </c>
      <c r="D1146" t="str">
        <f>"005"</f>
        <v>005</v>
      </c>
      <c r="E1146">
        <v>1996</v>
      </c>
      <c r="F1146">
        <v>6404200</v>
      </c>
      <c r="G1146">
        <v>20322200</v>
      </c>
      <c r="H1146">
        <v>13918000</v>
      </c>
    </row>
    <row r="1147" spans="1:9" x14ac:dyDescent="0.25">
      <c r="A1147" t="str">
        <f t="shared" si="20"/>
        <v>23251</v>
      </c>
      <c r="B1147" t="s">
        <v>38</v>
      </c>
      <c r="C1147" t="s">
        <v>23</v>
      </c>
      <c r="D1147" t="str">
        <f>"006"</f>
        <v>006</v>
      </c>
      <c r="E1147">
        <v>2003</v>
      </c>
      <c r="F1147">
        <v>10143200</v>
      </c>
      <c r="G1147">
        <v>20824000</v>
      </c>
      <c r="H1147">
        <v>10680800</v>
      </c>
    </row>
    <row r="1148" spans="1:9" x14ac:dyDescent="0.25">
      <c r="A1148" t="str">
        <f t="shared" si="20"/>
        <v>23251</v>
      </c>
      <c r="B1148" t="s">
        <v>38</v>
      </c>
      <c r="C1148" t="s">
        <v>23</v>
      </c>
      <c r="D1148" t="str">
        <f>"007"</f>
        <v>007</v>
      </c>
      <c r="E1148">
        <v>2005</v>
      </c>
      <c r="F1148">
        <v>32349800</v>
      </c>
      <c r="G1148">
        <v>43721700</v>
      </c>
      <c r="H1148">
        <v>11371900</v>
      </c>
    </row>
    <row r="1149" spans="1:9" x14ac:dyDescent="0.25">
      <c r="A1149" t="str">
        <f t="shared" si="20"/>
        <v>23251</v>
      </c>
      <c r="B1149" t="s">
        <v>38</v>
      </c>
      <c r="C1149" t="s">
        <v>23</v>
      </c>
      <c r="D1149" t="str">
        <f>"008"</f>
        <v>008</v>
      </c>
      <c r="E1149">
        <v>2007</v>
      </c>
      <c r="F1149">
        <v>2332700</v>
      </c>
      <c r="G1149">
        <v>4741600</v>
      </c>
      <c r="H1149">
        <v>2408900</v>
      </c>
    </row>
    <row r="1150" spans="1:9" x14ac:dyDescent="0.25">
      <c r="A1150" t="str">
        <f t="shared" si="20"/>
        <v>23251</v>
      </c>
      <c r="B1150" t="s">
        <v>38</v>
      </c>
      <c r="C1150" t="s">
        <v>23</v>
      </c>
      <c r="D1150" t="str">
        <f>"009"</f>
        <v>009</v>
      </c>
      <c r="E1150">
        <v>2018</v>
      </c>
      <c r="F1150">
        <v>21014500</v>
      </c>
      <c r="G1150">
        <v>21740600</v>
      </c>
      <c r="H1150">
        <v>726100</v>
      </c>
    </row>
    <row r="1151" spans="1:9" x14ac:dyDescent="0.25">
      <c r="A1151" t="str">
        <f t="shared" si="20"/>
        <v>23251</v>
      </c>
      <c r="B1151" t="s">
        <v>38</v>
      </c>
      <c r="C1151" t="s">
        <v>23</v>
      </c>
      <c r="D1151" t="str">
        <f>"010"</f>
        <v>010</v>
      </c>
      <c r="E1151">
        <v>2017</v>
      </c>
      <c r="F1151">
        <v>17449200</v>
      </c>
      <c r="G1151">
        <v>17573200</v>
      </c>
      <c r="H1151">
        <v>124000</v>
      </c>
    </row>
    <row r="1152" spans="1:9" x14ac:dyDescent="0.25">
      <c r="A1152" t="str">
        <f t="shared" si="20"/>
        <v>23251</v>
      </c>
      <c r="B1152" t="s">
        <v>38</v>
      </c>
      <c r="C1152" t="s">
        <v>23</v>
      </c>
      <c r="D1152" t="s">
        <v>13</v>
      </c>
      <c r="E1152" t="s">
        <v>14</v>
      </c>
      <c r="F1152" t="s">
        <v>15</v>
      </c>
      <c r="G1152" t="s">
        <v>15</v>
      </c>
      <c r="H1152" t="s">
        <v>15</v>
      </c>
      <c r="I1152" s="1">
        <v>754053500</v>
      </c>
    </row>
    <row r="1153" spans="1:9" x14ac:dyDescent="0.25">
      <c r="A1153" t="s">
        <v>32</v>
      </c>
      <c r="B1153" t="s">
        <v>40</v>
      </c>
      <c r="C1153" t="s">
        <v>34</v>
      </c>
      <c r="D1153" t="s">
        <v>13</v>
      </c>
      <c r="E1153" t="s">
        <v>14</v>
      </c>
      <c r="F1153" t="s">
        <v>15</v>
      </c>
      <c r="G1153" t="s">
        <v>15</v>
      </c>
      <c r="H1153" t="s">
        <v>15</v>
      </c>
      <c r="I1153" s="1">
        <v>934290700</v>
      </c>
    </row>
    <row r="1154" spans="1:9" x14ac:dyDescent="0.25">
      <c r="A1154" t="s">
        <v>32</v>
      </c>
      <c r="B1154" t="s">
        <v>41</v>
      </c>
      <c r="C1154" t="s">
        <v>546</v>
      </c>
      <c r="D1154" t="s">
        <v>13</v>
      </c>
      <c r="E1154" t="s">
        <v>14</v>
      </c>
      <c r="F1154" t="s">
        <v>15</v>
      </c>
      <c r="G1154" t="s">
        <v>15</v>
      </c>
      <c r="H1154" t="s">
        <v>15</v>
      </c>
      <c r="I1154" s="1">
        <v>3203360700</v>
      </c>
    </row>
    <row r="1155" spans="1:9" x14ac:dyDescent="0.25">
      <c r="A1155" t="str">
        <f>"24002"</f>
        <v>24002</v>
      </c>
      <c r="B1155" t="s">
        <v>11</v>
      </c>
      <c r="C1155" t="s">
        <v>547</v>
      </c>
      <c r="D1155" t="s">
        <v>13</v>
      </c>
      <c r="E1155" t="s">
        <v>14</v>
      </c>
      <c r="F1155" t="s">
        <v>15</v>
      </c>
      <c r="G1155" t="s">
        <v>15</v>
      </c>
      <c r="H1155" t="s">
        <v>15</v>
      </c>
      <c r="I1155" s="1">
        <v>114216400</v>
      </c>
    </row>
    <row r="1156" spans="1:9" x14ac:dyDescent="0.25">
      <c r="A1156" t="str">
        <f>"24004"</f>
        <v>24004</v>
      </c>
      <c r="B1156" t="s">
        <v>11</v>
      </c>
      <c r="C1156" t="s">
        <v>334</v>
      </c>
      <c r="D1156" t="s">
        <v>13</v>
      </c>
      <c r="E1156" t="s">
        <v>14</v>
      </c>
      <c r="F1156" t="s">
        <v>15</v>
      </c>
      <c r="G1156" t="s">
        <v>15</v>
      </c>
      <c r="H1156" t="s">
        <v>15</v>
      </c>
      <c r="I1156" s="1">
        <v>467142800</v>
      </c>
    </row>
    <row r="1157" spans="1:9" x14ac:dyDescent="0.25">
      <c r="A1157" t="str">
        <f>"24006"</f>
        <v>24006</v>
      </c>
      <c r="B1157" t="s">
        <v>11</v>
      </c>
      <c r="C1157" t="s">
        <v>548</v>
      </c>
      <c r="D1157" t="s">
        <v>13</v>
      </c>
      <c r="E1157" t="s">
        <v>14</v>
      </c>
      <c r="F1157" t="s">
        <v>15</v>
      </c>
      <c r="G1157" t="s">
        <v>15</v>
      </c>
      <c r="H1157" t="s">
        <v>15</v>
      </c>
      <c r="I1157" s="1">
        <v>463262200</v>
      </c>
    </row>
    <row r="1158" spans="1:9" x14ac:dyDescent="0.25">
      <c r="A1158" t="str">
        <f>"24008"</f>
        <v>24008</v>
      </c>
      <c r="B1158" t="s">
        <v>11</v>
      </c>
      <c r="C1158" t="s">
        <v>549</v>
      </c>
      <c r="D1158" t="s">
        <v>13</v>
      </c>
      <c r="E1158" t="s">
        <v>14</v>
      </c>
      <c r="F1158" t="s">
        <v>15</v>
      </c>
      <c r="G1158" t="s">
        <v>15</v>
      </c>
      <c r="H1158" t="s">
        <v>15</v>
      </c>
      <c r="I1158" s="1">
        <v>57598700</v>
      </c>
    </row>
    <row r="1159" spans="1:9" x14ac:dyDescent="0.25">
      <c r="A1159" t="str">
        <f>"24010"</f>
        <v>24010</v>
      </c>
      <c r="B1159" t="s">
        <v>11</v>
      </c>
      <c r="C1159" t="s">
        <v>550</v>
      </c>
      <c r="D1159" t="s">
        <v>13</v>
      </c>
      <c r="E1159" t="s">
        <v>14</v>
      </c>
      <c r="F1159" t="s">
        <v>15</v>
      </c>
      <c r="G1159" t="s">
        <v>15</v>
      </c>
      <c r="H1159" t="s">
        <v>15</v>
      </c>
      <c r="I1159" s="1">
        <v>56163000</v>
      </c>
    </row>
    <row r="1160" spans="1:9" x14ac:dyDescent="0.25">
      <c r="A1160" t="str">
        <f>"24012"</f>
        <v>24012</v>
      </c>
      <c r="B1160" t="s">
        <v>11</v>
      </c>
      <c r="C1160" t="s">
        <v>551</v>
      </c>
      <c r="D1160" t="s">
        <v>13</v>
      </c>
      <c r="E1160" t="s">
        <v>14</v>
      </c>
      <c r="F1160" t="s">
        <v>15</v>
      </c>
      <c r="G1160" t="s">
        <v>15</v>
      </c>
      <c r="H1160" t="s">
        <v>15</v>
      </c>
      <c r="I1160" s="1">
        <v>68502100</v>
      </c>
    </row>
    <row r="1161" spans="1:9" x14ac:dyDescent="0.25">
      <c r="A1161" t="str">
        <f>"24014"</f>
        <v>24014</v>
      </c>
      <c r="B1161" t="s">
        <v>11</v>
      </c>
      <c r="C1161" t="s">
        <v>552</v>
      </c>
      <c r="D1161" t="s">
        <v>13</v>
      </c>
      <c r="E1161" t="s">
        <v>14</v>
      </c>
      <c r="F1161" t="s">
        <v>15</v>
      </c>
      <c r="G1161" t="s">
        <v>15</v>
      </c>
      <c r="H1161" t="s">
        <v>15</v>
      </c>
      <c r="I1161" s="1">
        <v>77213600</v>
      </c>
    </row>
    <row r="1162" spans="1:9" x14ac:dyDescent="0.25">
      <c r="A1162" t="str">
        <f>"24016"</f>
        <v>24016</v>
      </c>
      <c r="B1162" t="s">
        <v>11</v>
      </c>
      <c r="C1162" t="s">
        <v>553</v>
      </c>
      <c r="D1162" t="s">
        <v>13</v>
      </c>
      <c r="E1162" t="s">
        <v>14</v>
      </c>
      <c r="F1162" t="s">
        <v>15</v>
      </c>
      <c r="G1162" t="s">
        <v>15</v>
      </c>
      <c r="H1162" t="s">
        <v>15</v>
      </c>
      <c r="I1162" s="1">
        <v>325784900</v>
      </c>
    </row>
    <row r="1163" spans="1:9" x14ac:dyDescent="0.25">
      <c r="A1163" t="str">
        <f>"24018"</f>
        <v>24018</v>
      </c>
      <c r="B1163" t="s">
        <v>11</v>
      </c>
      <c r="C1163" t="s">
        <v>554</v>
      </c>
      <c r="D1163" t="s">
        <v>13</v>
      </c>
      <c r="E1163" t="s">
        <v>14</v>
      </c>
      <c r="F1163" t="s">
        <v>15</v>
      </c>
      <c r="G1163" t="s">
        <v>15</v>
      </c>
      <c r="H1163" t="s">
        <v>15</v>
      </c>
      <c r="I1163" s="1">
        <v>38521700</v>
      </c>
    </row>
    <row r="1164" spans="1:9" x14ac:dyDescent="0.25">
      <c r="A1164" t="str">
        <f>"24020"</f>
        <v>24020</v>
      </c>
      <c r="B1164" t="s">
        <v>11</v>
      </c>
      <c r="C1164" t="s">
        <v>289</v>
      </c>
      <c r="D1164" t="s">
        <v>13</v>
      </c>
      <c r="E1164" t="s">
        <v>14</v>
      </c>
      <c r="F1164" t="s">
        <v>15</v>
      </c>
      <c r="G1164" t="s">
        <v>15</v>
      </c>
      <c r="H1164" t="s">
        <v>15</v>
      </c>
      <c r="I1164" s="1">
        <v>35970600</v>
      </c>
    </row>
    <row r="1165" spans="1:9" x14ac:dyDescent="0.25">
      <c r="A1165" t="s">
        <v>32</v>
      </c>
      <c r="B1165" t="s">
        <v>33</v>
      </c>
      <c r="C1165" t="s">
        <v>34</v>
      </c>
      <c r="D1165" t="s">
        <v>13</v>
      </c>
      <c r="E1165" t="s">
        <v>14</v>
      </c>
      <c r="F1165" t="s">
        <v>15</v>
      </c>
      <c r="G1165" t="s">
        <v>15</v>
      </c>
      <c r="H1165" t="s">
        <v>15</v>
      </c>
      <c r="I1165" s="1">
        <v>1704376000</v>
      </c>
    </row>
    <row r="1166" spans="1:9" x14ac:dyDescent="0.25">
      <c r="A1166" t="str">
        <f>"24141"</f>
        <v>24141</v>
      </c>
      <c r="B1166" t="s">
        <v>35</v>
      </c>
      <c r="C1166" t="s">
        <v>549</v>
      </c>
      <c r="D1166" t="s">
        <v>13</v>
      </c>
      <c r="E1166" t="s">
        <v>14</v>
      </c>
      <c r="F1166" t="s">
        <v>15</v>
      </c>
      <c r="G1166" t="s">
        <v>15</v>
      </c>
      <c r="H1166" t="s">
        <v>15</v>
      </c>
      <c r="I1166" s="1">
        <v>16423100</v>
      </c>
    </row>
    <row r="1167" spans="1:9" x14ac:dyDescent="0.25">
      <c r="A1167" t="str">
        <f>"24154"</f>
        <v>24154</v>
      </c>
      <c r="B1167" t="s">
        <v>35</v>
      </c>
      <c r="C1167" t="s">
        <v>552</v>
      </c>
      <c r="D1167" t="s">
        <v>13</v>
      </c>
      <c r="E1167" t="s">
        <v>14</v>
      </c>
      <c r="F1167" t="s">
        <v>15</v>
      </c>
      <c r="G1167" t="s">
        <v>15</v>
      </c>
      <c r="H1167" t="s">
        <v>15</v>
      </c>
      <c r="I1167" s="1">
        <v>16427100</v>
      </c>
    </row>
    <row r="1168" spans="1:9" x14ac:dyDescent="0.25">
      <c r="A1168" t="s">
        <v>32</v>
      </c>
      <c r="B1168" t="s">
        <v>37</v>
      </c>
      <c r="C1168" t="s">
        <v>34</v>
      </c>
      <c r="D1168" t="s">
        <v>13</v>
      </c>
      <c r="E1168" t="s">
        <v>14</v>
      </c>
      <c r="F1168" t="s">
        <v>15</v>
      </c>
      <c r="G1168" t="s">
        <v>15</v>
      </c>
      <c r="H1168" t="s">
        <v>15</v>
      </c>
      <c r="I1168" s="1">
        <v>32850200</v>
      </c>
    </row>
    <row r="1169" spans="1:9" x14ac:dyDescent="0.25">
      <c r="A1169" t="str">
        <f t="shared" ref="A1169:A1174" si="21">"24206"</f>
        <v>24206</v>
      </c>
      <c r="B1169" t="s">
        <v>38</v>
      </c>
      <c r="C1169" t="s">
        <v>547</v>
      </c>
      <c r="D1169" t="str">
        <f>"001E"</f>
        <v>001E</v>
      </c>
      <c r="E1169">
        <v>2003</v>
      </c>
      <c r="F1169">
        <v>615300</v>
      </c>
      <c r="G1169">
        <v>919000</v>
      </c>
      <c r="H1169">
        <v>303700</v>
      </c>
    </row>
    <row r="1170" spans="1:9" x14ac:dyDescent="0.25">
      <c r="A1170" t="str">
        <f t="shared" si="21"/>
        <v>24206</v>
      </c>
      <c r="B1170" t="s">
        <v>38</v>
      </c>
      <c r="C1170" t="s">
        <v>547</v>
      </c>
      <c r="D1170" t="str">
        <f>"002E"</f>
        <v>002E</v>
      </c>
      <c r="E1170">
        <v>2007</v>
      </c>
      <c r="F1170">
        <v>105000</v>
      </c>
      <c r="G1170">
        <v>928100</v>
      </c>
      <c r="H1170">
        <v>823100</v>
      </c>
    </row>
    <row r="1171" spans="1:9" x14ac:dyDescent="0.25">
      <c r="A1171" t="str">
        <f t="shared" si="21"/>
        <v>24206</v>
      </c>
      <c r="B1171" t="s">
        <v>38</v>
      </c>
      <c r="C1171" t="s">
        <v>547</v>
      </c>
      <c r="D1171" t="str">
        <f>"009"</f>
        <v>009</v>
      </c>
      <c r="E1171">
        <v>1991</v>
      </c>
      <c r="F1171">
        <v>129300</v>
      </c>
      <c r="G1171">
        <v>685000</v>
      </c>
      <c r="H1171">
        <v>555700</v>
      </c>
    </row>
    <row r="1172" spans="1:9" x14ac:dyDescent="0.25">
      <c r="A1172" t="str">
        <f t="shared" si="21"/>
        <v>24206</v>
      </c>
      <c r="B1172" t="s">
        <v>38</v>
      </c>
      <c r="C1172" t="s">
        <v>547</v>
      </c>
      <c r="D1172" t="str">
        <f>"014"</f>
        <v>014</v>
      </c>
      <c r="E1172">
        <v>2006</v>
      </c>
      <c r="F1172">
        <v>192300</v>
      </c>
      <c r="G1172">
        <v>3271000</v>
      </c>
      <c r="H1172">
        <v>3078700</v>
      </c>
    </row>
    <row r="1173" spans="1:9" x14ac:dyDescent="0.25">
      <c r="A1173" t="str">
        <f t="shared" si="21"/>
        <v>24206</v>
      </c>
      <c r="B1173" t="s">
        <v>38</v>
      </c>
      <c r="C1173" t="s">
        <v>547</v>
      </c>
      <c r="D1173" t="str">
        <f>"015"</f>
        <v>015</v>
      </c>
      <c r="E1173">
        <v>2008</v>
      </c>
      <c r="F1173">
        <v>12491500</v>
      </c>
      <c r="G1173">
        <v>12974900</v>
      </c>
      <c r="H1173">
        <v>483400</v>
      </c>
    </row>
    <row r="1174" spans="1:9" x14ac:dyDescent="0.25">
      <c r="A1174" t="str">
        <f t="shared" si="21"/>
        <v>24206</v>
      </c>
      <c r="B1174" t="s">
        <v>38</v>
      </c>
      <c r="C1174" t="s">
        <v>547</v>
      </c>
      <c r="D1174" t="s">
        <v>13</v>
      </c>
      <c r="E1174" t="s">
        <v>14</v>
      </c>
      <c r="F1174" t="s">
        <v>15</v>
      </c>
      <c r="G1174" t="s">
        <v>15</v>
      </c>
      <c r="H1174" t="s">
        <v>15</v>
      </c>
      <c r="I1174" s="1">
        <v>270308400</v>
      </c>
    </row>
    <row r="1175" spans="1:9" x14ac:dyDescent="0.25">
      <c r="A1175" t="str">
        <f>"24231"</f>
        <v>24231</v>
      </c>
      <c r="B1175" t="s">
        <v>38</v>
      </c>
      <c r="C1175" t="s">
        <v>548</v>
      </c>
      <c r="D1175" t="str">
        <f>"003"</f>
        <v>003</v>
      </c>
      <c r="E1175">
        <v>2005</v>
      </c>
      <c r="F1175">
        <v>8995800</v>
      </c>
      <c r="G1175">
        <v>25342500</v>
      </c>
      <c r="H1175">
        <v>16346700</v>
      </c>
    </row>
    <row r="1176" spans="1:9" x14ac:dyDescent="0.25">
      <c r="A1176" t="str">
        <f>"24231"</f>
        <v>24231</v>
      </c>
      <c r="B1176" t="s">
        <v>38</v>
      </c>
      <c r="C1176" t="s">
        <v>548</v>
      </c>
      <c r="D1176" t="str">
        <f>"004"</f>
        <v>004</v>
      </c>
      <c r="E1176">
        <v>2009</v>
      </c>
      <c r="F1176">
        <v>237700</v>
      </c>
      <c r="G1176">
        <v>167500</v>
      </c>
      <c r="H1176">
        <v>0</v>
      </c>
    </row>
    <row r="1177" spans="1:9" x14ac:dyDescent="0.25">
      <c r="A1177" t="str">
        <f>"24231"</f>
        <v>24231</v>
      </c>
      <c r="B1177" t="s">
        <v>38</v>
      </c>
      <c r="C1177" t="s">
        <v>548</v>
      </c>
      <c r="D1177" t="s">
        <v>13</v>
      </c>
      <c r="E1177" t="s">
        <v>14</v>
      </c>
      <c r="F1177" t="s">
        <v>15</v>
      </c>
      <c r="G1177" t="s">
        <v>15</v>
      </c>
      <c r="H1177" t="s">
        <v>15</v>
      </c>
      <c r="I1177" s="1">
        <v>232590300</v>
      </c>
    </row>
    <row r="1178" spans="1:9" x14ac:dyDescent="0.25">
      <c r="A1178" t="str">
        <f>"24251"</f>
        <v>24251</v>
      </c>
      <c r="B1178" t="s">
        <v>38</v>
      </c>
      <c r="C1178" t="s">
        <v>555</v>
      </c>
      <c r="D1178" t="str">
        <f>"001"</f>
        <v>001</v>
      </c>
      <c r="E1178">
        <v>1995</v>
      </c>
      <c r="F1178">
        <v>1326500</v>
      </c>
      <c r="G1178">
        <v>5063900</v>
      </c>
      <c r="H1178">
        <v>3737400</v>
      </c>
    </row>
    <row r="1179" spans="1:9" x14ac:dyDescent="0.25">
      <c r="A1179" t="str">
        <f>"24251"</f>
        <v>24251</v>
      </c>
      <c r="B1179" t="s">
        <v>38</v>
      </c>
      <c r="C1179" t="s">
        <v>555</v>
      </c>
      <c r="D1179" t="s">
        <v>13</v>
      </c>
      <c r="E1179" t="s">
        <v>14</v>
      </c>
      <c r="F1179" t="s">
        <v>15</v>
      </c>
      <c r="G1179" t="s">
        <v>15</v>
      </c>
      <c r="H1179" t="s">
        <v>15</v>
      </c>
      <c r="I1179" s="1">
        <v>67564500</v>
      </c>
    </row>
    <row r="1180" spans="1:9" x14ac:dyDescent="0.25">
      <c r="A1180" t="str">
        <f>"24271"</f>
        <v>24271</v>
      </c>
      <c r="B1180" t="s">
        <v>38</v>
      </c>
      <c r="C1180" t="s">
        <v>553</v>
      </c>
      <c r="D1180" t="str">
        <f>"002"</f>
        <v>002</v>
      </c>
      <c r="E1180">
        <v>2001</v>
      </c>
      <c r="F1180">
        <v>5110600</v>
      </c>
      <c r="G1180">
        <v>4893900</v>
      </c>
      <c r="H1180">
        <v>0</v>
      </c>
    </row>
    <row r="1181" spans="1:9" x14ac:dyDescent="0.25">
      <c r="A1181" t="str">
        <f>"24271"</f>
        <v>24271</v>
      </c>
      <c r="B1181" t="s">
        <v>38</v>
      </c>
      <c r="C1181" t="s">
        <v>553</v>
      </c>
      <c r="D1181" t="s">
        <v>13</v>
      </c>
      <c r="E1181" t="s">
        <v>14</v>
      </c>
      <c r="F1181" t="s">
        <v>15</v>
      </c>
      <c r="G1181" t="s">
        <v>15</v>
      </c>
      <c r="H1181" t="s">
        <v>15</v>
      </c>
      <c r="I1181" s="1">
        <v>54380700</v>
      </c>
    </row>
    <row r="1182" spans="1:9" x14ac:dyDescent="0.25">
      <c r="A1182" t="s">
        <v>32</v>
      </c>
      <c r="B1182" t="s">
        <v>40</v>
      </c>
      <c r="C1182" t="s">
        <v>34</v>
      </c>
      <c r="D1182" t="s">
        <v>13</v>
      </c>
      <c r="E1182" t="s">
        <v>14</v>
      </c>
      <c r="F1182" t="s">
        <v>15</v>
      </c>
      <c r="G1182" t="s">
        <v>15</v>
      </c>
      <c r="H1182" t="s">
        <v>15</v>
      </c>
      <c r="I1182" s="1">
        <v>624843900</v>
      </c>
    </row>
    <row r="1183" spans="1:9" x14ac:dyDescent="0.25">
      <c r="A1183" t="s">
        <v>32</v>
      </c>
      <c r="B1183" t="s">
        <v>41</v>
      </c>
      <c r="C1183" t="s">
        <v>548</v>
      </c>
      <c r="D1183" t="s">
        <v>13</v>
      </c>
      <c r="E1183" t="s">
        <v>14</v>
      </c>
      <c r="F1183" t="s">
        <v>15</v>
      </c>
      <c r="G1183" t="s">
        <v>15</v>
      </c>
      <c r="H1183" t="s">
        <v>15</v>
      </c>
      <c r="I1183" s="1">
        <v>2362070100</v>
      </c>
    </row>
    <row r="1184" spans="1:9" x14ac:dyDescent="0.25">
      <c r="A1184" t="str">
        <f>"25002"</f>
        <v>25002</v>
      </c>
      <c r="B1184" t="s">
        <v>11</v>
      </c>
      <c r="C1184" t="s">
        <v>556</v>
      </c>
      <c r="D1184" t="s">
        <v>13</v>
      </c>
      <c r="E1184" t="s">
        <v>14</v>
      </c>
      <c r="F1184" t="s">
        <v>15</v>
      </c>
      <c r="G1184" t="s">
        <v>15</v>
      </c>
      <c r="H1184" t="s">
        <v>15</v>
      </c>
      <c r="I1184" s="1">
        <v>166546100</v>
      </c>
    </row>
    <row r="1185" spans="1:9" x14ac:dyDescent="0.25">
      <c r="A1185" t="str">
        <f>"25004"</f>
        <v>25004</v>
      </c>
      <c r="B1185" t="s">
        <v>11</v>
      </c>
      <c r="C1185" t="s">
        <v>557</v>
      </c>
      <c r="D1185" t="s">
        <v>13</v>
      </c>
      <c r="E1185" t="s">
        <v>14</v>
      </c>
      <c r="F1185" t="s">
        <v>15</v>
      </c>
      <c r="G1185" t="s">
        <v>15</v>
      </c>
      <c r="H1185" t="s">
        <v>15</v>
      </c>
      <c r="I1185" s="1">
        <v>134648300</v>
      </c>
    </row>
    <row r="1186" spans="1:9" x14ac:dyDescent="0.25">
      <c r="A1186" t="str">
        <f>"25006"</f>
        <v>25006</v>
      </c>
      <c r="B1186" t="s">
        <v>11</v>
      </c>
      <c r="C1186" t="s">
        <v>558</v>
      </c>
      <c r="D1186" t="s">
        <v>13</v>
      </c>
      <c r="E1186" t="s">
        <v>14</v>
      </c>
      <c r="F1186" t="s">
        <v>15</v>
      </c>
      <c r="G1186" t="s">
        <v>15</v>
      </c>
      <c r="H1186" t="s">
        <v>15</v>
      </c>
      <c r="I1186" s="1">
        <v>50776200</v>
      </c>
    </row>
    <row r="1187" spans="1:9" x14ac:dyDescent="0.25">
      <c r="A1187" t="str">
        <f>"25008"</f>
        <v>25008</v>
      </c>
      <c r="B1187" t="s">
        <v>11</v>
      </c>
      <c r="C1187" t="s">
        <v>559</v>
      </c>
      <c r="D1187" t="s">
        <v>13</v>
      </c>
      <c r="E1187" t="s">
        <v>14</v>
      </c>
      <c r="F1187" t="s">
        <v>15</v>
      </c>
      <c r="G1187" t="s">
        <v>15</v>
      </c>
      <c r="H1187" t="s">
        <v>15</v>
      </c>
      <c r="I1187" s="1">
        <v>212949200</v>
      </c>
    </row>
    <row r="1188" spans="1:9" x14ac:dyDescent="0.25">
      <c r="A1188" t="str">
        <f>"25010"</f>
        <v>25010</v>
      </c>
      <c r="B1188" t="s">
        <v>11</v>
      </c>
      <c r="C1188" t="s">
        <v>459</v>
      </c>
      <c r="D1188" t="s">
        <v>13</v>
      </c>
      <c r="E1188" t="s">
        <v>14</v>
      </c>
      <c r="F1188" t="s">
        <v>15</v>
      </c>
      <c r="G1188" t="s">
        <v>15</v>
      </c>
      <c r="H1188" t="s">
        <v>15</v>
      </c>
      <c r="I1188" s="1">
        <v>38565800</v>
      </c>
    </row>
    <row r="1189" spans="1:9" x14ac:dyDescent="0.25">
      <c r="A1189" t="str">
        <f>"25012"</f>
        <v>25012</v>
      </c>
      <c r="B1189" t="s">
        <v>11</v>
      </c>
      <c r="C1189" t="s">
        <v>403</v>
      </c>
      <c r="D1189" t="s">
        <v>13</v>
      </c>
      <c r="E1189" t="s">
        <v>14</v>
      </c>
      <c r="F1189" t="s">
        <v>15</v>
      </c>
      <c r="G1189" t="s">
        <v>15</v>
      </c>
      <c r="H1189" t="s">
        <v>15</v>
      </c>
      <c r="I1189" s="1">
        <v>71355800</v>
      </c>
    </row>
    <row r="1190" spans="1:9" x14ac:dyDescent="0.25">
      <c r="A1190" t="str">
        <f>"25014"</f>
        <v>25014</v>
      </c>
      <c r="B1190" t="s">
        <v>11</v>
      </c>
      <c r="C1190" t="s">
        <v>560</v>
      </c>
      <c r="D1190" t="s">
        <v>13</v>
      </c>
      <c r="E1190" t="s">
        <v>14</v>
      </c>
      <c r="F1190" t="s">
        <v>15</v>
      </c>
      <c r="G1190" t="s">
        <v>15</v>
      </c>
      <c r="H1190" t="s">
        <v>15</v>
      </c>
      <c r="I1190" s="1">
        <v>60128200</v>
      </c>
    </row>
    <row r="1191" spans="1:9" x14ac:dyDescent="0.25">
      <c r="A1191" t="str">
        <f>"25016"</f>
        <v>25016</v>
      </c>
      <c r="B1191" t="s">
        <v>11</v>
      </c>
      <c r="C1191" t="s">
        <v>561</v>
      </c>
      <c r="D1191" t="s">
        <v>13</v>
      </c>
      <c r="E1191" t="s">
        <v>14</v>
      </c>
      <c r="F1191" t="s">
        <v>15</v>
      </c>
      <c r="G1191" t="s">
        <v>15</v>
      </c>
      <c r="H1191" t="s">
        <v>15</v>
      </c>
      <c r="I1191" s="1">
        <v>40997100</v>
      </c>
    </row>
    <row r="1192" spans="1:9" x14ac:dyDescent="0.25">
      <c r="A1192" t="str">
        <f>"25018"</f>
        <v>25018</v>
      </c>
      <c r="B1192" t="s">
        <v>11</v>
      </c>
      <c r="C1192" t="s">
        <v>562</v>
      </c>
      <c r="D1192" t="s">
        <v>13</v>
      </c>
      <c r="E1192" t="s">
        <v>14</v>
      </c>
      <c r="F1192" t="s">
        <v>15</v>
      </c>
      <c r="G1192" t="s">
        <v>15</v>
      </c>
      <c r="H1192" t="s">
        <v>15</v>
      </c>
      <c r="I1192" s="1">
        <v>93397600</v>
      </c>
    </row>
    <row r="1193" spans="1:9" x14ac:dyDescent="0.25">
      <c r="A1193" t="str">
        <f>"25020"</f>
        <v>25020</v>
      </c>
      <c r="B1193" t="s">
        <v>11</v>
      </c>
      <c r="C1193" t="s">
        <v>563</v>
      </c>
      <c r="D1193" t="s">
        <v>13</v>
      </c>
      <c r="E1193" t="s">
        <v>14</v>
      </c>
      <c r="F1193" t="s">
        <v>15</v>
      </c>
      <c r="G1193" t="s">
        <v>15</v>
      </c>
      <c r="H1193" t="s">
        <v>15</v>
      </c>
      <c r="I1193" s="1">
        <v>63091800</v>
      </c>
    </row>
    <row r="1194" spans="1:9" x14ac:dyDescent="0.25">
      <c r="A1194" t="str">
        <f>"25022"</f>
        <v>25022</v>
      </c>
      <c r="B1194" t="s">
        <v>11</v>
      </c>
      <c r="C1194" t="s">
        <v>128</v>
      </c>
      <c r="D1194" t="s">
        <v>13</v>
      </c>
      <c r="E1194" t="s">
        <v>14</v>
      </c>
      <c r="F1194" t="s">
        <v>15</v>
      </c>
      <c r="G1194" t="s">
        <v>15</v>
      </c>
      <c r="H1194" t="s">
        <v>15</v>
      </c>
      <c r="I1194" s="1">
        <v>37184600</v>
      </c>
    </row>
    <row r="1195" spans="1:9" x14ac:dyDescent="0.25">
      <c r="A1195" t="str">
        <f>"25024"</f>
        <v>25024</v>
      </c>
      <c r="B1195" t="s">
        <v>11</v>
      </c>
      <c r="C1195" t="s">
        <v>564</v>
      </c>
      <c r="D1195" t="s">
        <v>13</v>
      </c>
      <c r="E1195" t="s">
        <v>14</v>
      </c>
      <c r="F1195" t="s">
        <v>15</v>
      </c>
      <c r="G1195" t="s">
        <v>15</v>
      </c>
      <c r="H1195" t="s">
        <v>15</v>
      </c>
      <c r="I1195" s="1">
        <v>69738300</v>
      </c>
    </row>
    <row r="1196" spans="1:9" x14ac:dyDescent="0.25">
      <c r="A1196" t="str">
        <f>"25026"</f>
        <v>25026</v>
      </c>
      <c r="B1196" t="s">
        <v>11</v>
      </c>
      <c r="C1196" t="s">
        <v>565</v>
      </c>
      <c r="D1196" t="s">
        <v>13</v>
      </c>
      <c r="E1196" t="s">
        <v>14</v>
      </c>
      <c r="F1196" t="s">
        <v>15</v>
      </c>
      <c r="G1196" t="s">
        <v>15</v>
      </c>
      <c r="H1196" t="s">
        <v>15</v>
      </c>
      <c r="I1196" s="1">
        <v>45963900</v>
      </c>
    </row>
    <row r="1197" spans="1:9" x14ac:dyDescent="0.25">
      <c r="A1197" t="str">
        <f>"25028"</f>
        <v>25028</v>
      </c>
      <c r="B1197" t="s">
        <v>11</v>
      </c>
      <c r="C1197" t="s">
        <v>566</v>
      </c>
      <c r="D1197" t="s">
        <v>13</v>
      </c>
      <c r="E1197" t="s">
        <v>14</v>
      </c>
      <c r="F1197" t="s">
        <v>15</v>
      </c>
      <c r="G1197" t="s">
        <v>15</v>
      </c>
      <c r="H1197" t="s">
        <v>15</v>
      </c>
      <c r="I1197" s="1">
        <v>99970500</v>
      </c>
    </row>
    <row r="1198" spans="1:9" x14ac:dyDescent="0.25">
      <c r="A1198" t="s">
        <v>32</v>
      </c>
      <c r="B1198" t="s">
        <v>33</v>
      </c>
      <c r="C1198" t="s">
        <v>34</v>
      </c>
      <c r="D1198" t="s">
        <v>13</v>
      </c>
      <c r="E1198" t="s">
        <v>14</v>
      </c>
      <c r="F1198" t="s">
        <v>15</v>
      </c>
      <c r="G1198" t="s">
        <v>15</v>
      </c>
      <c r="H1198" t="s">
        <v>15</v>
      </c>
      <c r="I1198" s="1">
        <v>1185313400</v>
      </c>
    </row>
    <row r="1199" spans="1:9" x14ac:dyDescent="0.25">
      <c r="A1199" t="str">
        <f>"25101"</f>
        <v>25101</v>
      </c>
      <c r="B1199" t="s">
        <v>35</v>
      </c>
      <c r="C1199" t="s">
        <v>556</v>
      </c>
      <c r="D1199" t="str">
        <f>"001"</f>
        <v>001</v>
      </c>
      <c r="E1199">
        <v>2006</v>
      </c>
      <c r="F1199">
        <v>5220300</v>
      </c>
      <c r="G1199">
        <v>11421800</v>
      </c>
      <c r="H1199">
        <v>6201500</v>
      </c>
    </row>
    <row r="1200" spans="1:9" x14ac:dyDescent="0.25">
      <c r="A1200" t="str">
        <f>"25101"</f>
        <v>25101</v>
      </c>
      <c r="B1200" t="s">
        <v>35</v>
      </c>
      <c r="C1200" t="s">
        <v>556</v>
      </c>
      <c r="D1200" t="s">
        <v>13</v>
      </c>
      <c r="E1200" t="s">
        <v>14</v>
      </c>
      <c r="F1200" t="s">
        <v>15</v>
      </c>
      <c r="G1200" t="s">
        <v>15</v>
      </c>
      <c r="H1200" t="s">
        <v>15</v>
      </c>
      <c r="I1200" s="1">
        <v>44256500</v>
      </c>
    </row>
    <row r="1201" spans="1:9" x14ac:dyDescent="0.25">
      <c r="A1201" t="str">
        <f>"25102"</f>
        <v>25102</v>
      </c>
      <c r="B1201" t="s">
        <v>35</v>
      </c>
      <c r="C1201" t="s">
        <v>567</v>
      </c>
      <c r="D1201" t="str">
        <f>"001"</f>
        <v>001</v>
      </c>
      <c r="E1201">
        <v>1995</v>
      </c>
      <c r="F1201">
        <v>2168500</v>
      </c>
      <c r="G1201">
        <v>5861800</v>
      </c>
      <c r="H1201">
        <v>3693300</v>
      </c>
    </row>
    <row r="1202" spans="1:9" x14ac:dyDescent="0.25">
      <c r="A1202" t="str">
        <f>"25102"</f>
        <v>25102</v>
      </c>
      <c r="B1202" t="s">
        <v>35</v>
      </c>
      <c r="C1202" t="s">
        <v>567</v>
      </c>
      <c r="D1202" t="s">
        <v>13</v>
      </c>
      <c r="E1202" t="s">
        <v>14</v>
      </c>
      <c r="F1202" t="s">
        <v>15</v>
      </c>
      <c r="G1202" t="s">
        <v>15</v>
      </c>
      <c r="H1202" t="s">
        <v>15</v>
      </c>
      <c r="I1202" s="1">
        <v>14554700</v>
      </c>
    </row>
    <row r="1203" spans="1:9" x14ac:dyDescent="0.25">
      <c r="A1203" t="str">
        <f>"25106"</f>
        <v>25106</v>
      </c>
      <c r="B1203" t="s">
        <v>35</v>
      </c>
      <c r="C1203" t="s">
        <v>568</v>
      </c>
      <c r="D1203" t="str">
        <f>"001"</f>
        <v>001</v>
      </c>
      <c r="E1203">
        <v>2002</v>
      </c>
      <c r="F1203">
        <v>1732300</v>
      </c>
      <c r="G1203">
        <v>9567200</v>
      </c>
      <c r="H1203">
        <v>7834900</v>
      </c>
    </row>
    <row r="1204" spans="1:9" x14ac:dyDescent="0.25">
      <c r="A1204" t="str">
        <f>"25106"</f>
        <v>25106</v>
      </c>
      <c r="B1204" t="s">
        <v>35</v>
      </c>
      <c r="C1204" t="s">
        <v>568</v>
      </c>
      <c r="D1204" t="str">
        <f>"002"</f>
        <v>002</v>
      </c>
      <c r="E1204">
        <v>2015</v>
      </c>
      <c r="F1204">
        <v>232000</v>
      </c>
      <c r="G1204">
        <v>37255800</v>
      </c>
      <c r="H1204">
        <v>37023800</v>
      </c>
    </row>
    <row r="1205" spans="1:9" x14ac:dyDescent="0.25">
      <c r="A1205" t="str">
        <f>"25106"</f>
        <v>25106</v>
      </c>
      <c r="B1205" t="s">
        <v>35</v>
      </c>
      <c r="C1205" t="s">
        <v>568</v>
      </c>
      <c r="D1205" t="s">
        <v>13</v>
      </c>
      <c r="E1205" t="s">
        <v>14</v>
      </c>
      <c r="F1205" t="s">
        <v>15</v>
      </c>
      <c r="G1205" t="s">
        <v>15</v>
      </c>
      <c r="H1205" t="s">
        <v>15</v>
      </c>
      <c r="I1205" s="1">
        <v>102214400</v>
      </c>
    </row>
    <row r="1206" spans="1:9" x14ac:dyDescent="0.25">
      <c r="A1206" t="str">
        <f>"25108"</f>
        <v>25108</v>
      </c>
      <c r="B1206" t="s">
        <v>35</v>
      </c>
      <c r="C1206" t="s">
        <v>569</v>
      </c>
      <c r="D1206" t="s">
        <v>13</v>
      </c>
      <c r="E1206" t="s">
        <v>14</v>
      </c>
      <c r="F1206" t="s">
        <v>15</v>
      </c>
      <c r="G1206" t="s">
        <v>15</v>
      </c>
      <c r="H1206" t="s">
        <v>15</v>
      </c>
      <c r="I1206" s="1">
        <v>9522900</v>
      </c>
    </row>
    <row r="1207" spans="1:9" x14ac:dyDescent="0.25">
      <c r="A1207" t="str">
        <f>"25111"</f>
        <v>25111</v>
      </c>
      <c r="B1207" t="s">
        <v>35</v>
      </c>
      <c r="C1207" t="s">
        <v>570</v>
      </c>
      <c r="D1207" t="s">
        <v>13</v>
      </c>
      <c r="E1207" t="s">
        <v>14</v>
      </c>
      <c r="F1207" t="s">
        <v>15</v>
      </c>
      <c r="G1207" t="s">
        <v>15</v>
      </c>
      <c r="H1207" t="s">
        <v>15</v>
      </c>
      <c r="I1207" s="1">
        <v>27510000</v>
      </c>
    </row>
    <row r="1208" spans="1:9" x14ac:dyDescent="0.25">
      <c r="A1208" t="str">
        <f>"25136"</f>
        <v>25136</v>
      </c>
      <c r="B1208" t="s">
        <v>35</v>
      </c>
      <c r="C1208" t="s">
        <v>403</v>
      </c>
      <c r="D1208" t="str">
        <f>"002"</f>
        <v>002</v>
      </c>
      <c r="E1208">
        <v>1999</v>
      </c>
      <c r="F1208">
        <v>973600</v>
      </c>
      <c r="G1208">
        <v>4929400</v>
      </c>
      <c r="H1208">
        <v>3955800</v>
      </c>
    </row>
    <row r="1209" spans="1:9" x14ac:dyDescent="0.25">
      <c r="A1209" t="str">
        <f>"25136"</f>
        <v>25136</v>
      </c>
      <c r="B1209" t="s">
        <v>35</v>
      </c>
      <c r="C1209" t="s">
        <v>403</v>
      </c>
      <c r="D1209" t="s">
        <v>13</v>
      </c>
      <c r="E1209" t="s">
        <v>14</v>
      </c>
      <c r="F1209" t="s">
        <v>15</v>
      </c>
      <c r="G1209" t="s">
        <v>15</v>
      </c>
      <c r="H1209" t="s">
        <v>15</v>
      </c>
      <c r="I1209" s="1">
        <v>38396800</v>
      </c>
    </row>
    <row r="1210" spans="1:9" x14ac:dyDescent="0.25">
      <c r="A1210" t="str">
        <f>"25137"</f>
        <v>25137</v>
      </c>
      <c r="B1210" t="s">
        <v>35</v>
      </c>
      <c r="C1210" t="s">
        <v>571</v>
      </c>
      <c r="D1210" t="s">
        <v>13</v>
      </c>
      <c r="E1210" t="s">
        <v>14</v>
      </c>
      <c r="F1210" t="s">
        <v>15</v>
      </c>
      <c r="G1210" t="s">
        <v>15</v>
      </c>
      <c r="H1210" t="s">
        <v>15</v>
      </c>
      <c r="I1210" s="1">
        <v>14657100</v>
      </c>
    </row>
    <row r="1211" spans="1:9" x14ac:dyDescent="0.25">
      <c r="A1211" t="str">
        <f>"25146"</f>
        <v>25146</v>
      </c>
      <c r="B1211" t="s">
        <v>35</v>
      </c>
      <c r="C1211" t="s">
        <v>560</v>
      </c>
      <c r="D1211" t="s">
        <v>13</v>
      </c>
      <c r="E1211" t="s">
        <v>14</v>
      </c>
      <c r="F1211" t="s">
        <v>15</v>
      </c>
      <c r="G1211" t="s">
        <v>15</v>
      </c>
      <c r="H1211" t="s">
        <v>15</v>
      </c>
      <c r="I1211" s="1">
        <v>20016400</v>
      </c>
    </row>
    <row r="1212" spans="1:9" x14ac:dyDescent="0.25">
      <c r="A1212" t="str">
        <f>"25147"</f>
        <v>25147</v>
      </c>
      <c r="B1212" t="s">
        <v>35</v>
      </c>
      <c r="C1212" t="s">
        <v>527</v>
      </c>
      <c r="D1212" t="str">
        <f>"001"</f>
        <v>001</v>
      </c>
      <c r="E1212">
        <v>1992</v>
      </c>
      <c r="F1212">
        <v>49600</v>
      </c>
      <c r="G1212">
        <v>2980200</v>
      </c>
      <c r="H1212">
        <v>2930600</v>
      </c>
    </row>
    <row r="1213" spans="1:9" x14ac:dyDescent="0.25">
      <c r="A1213" t="str">
        <f>"25147"</f>
        <v>25147</v>
      </c>
      <c r="B1213" t="s">
        <v>35</v>
      </c>
      <c r="C1213" t="s">
        <v>527</v>
      </c>
      <c r="D1213" t="s">
        <v>13</v>
      </c>
      <c r="E1213" t="s">
        <v>14</v>
      </c>
      <c r="F1213" t="s">
        <v>15</v>
      </c>
      <c r="G1213" t="s">
        <v>15</v>
      </c>
      <c r="H1213" t="s">
        <v>15</v>
      </c>
      <c r="I1213" s="1">
        <v>482300</v>
      </c>
    </row>
    <row r="1214" spans="1:9" x14ac:dyDescent="0.25">
      <c r="A1214" t="str">
        <f>"25151"</f>
        <v>25151</v>
      </c>
      <c r="B1214" t="s">
        <v>35</v>
      </c>
      <c r="C1214" t="s">
        <v>528</v>
      </c>
      <c r="D1214" t="s">
        <v>13</v>
      </c>
      <c r="E1214" t="s">
        <v>14</v>
      </c>
      <c r="F1214" t="s">
        <v>15</v>
      </c>
      <c r="G1214" t="s">
        <v>15</v>
      </c>
      <c r="H1214" t="s">
        <v>15</v>
      </c>
      <c r="I1214" s="1">
        <v>5752500</v>
      </c>
    </row>
    <row r="1215" spans="1:9" x14ac:dyDescent="0.25">
      <c r="A1215" t="str">
        <f>"25153"</f>
        <v>25153</v>
      </c>
      <c r="B1215" t="s">
        <v>35</v>
      </c>
      <c r="C1215" t="s">
        <v>511</v>
      </c>
      <c r="D1215" t="str">
        <f>"002"</f>
        <v>002</v>
      </c>
      <c r="E1215">
        <v>1997</v>
      </c>
      <c r="F1215">
        <v>669800</v>
      </c>
      <c r="G1215">
        <v>6330200</v>
      </c>
      <c r="H1215">
        <v>5660400</v>
      </c>
    </row>
    <row r="1216" spans="1:9" x14ac:dyDescent="0.25">
      <c r="A1216" t="str">
        <f>"25153"</f>
        <v>25153</v>
      </c>
      <c r="B1216" t="s">
        <v>35</v>
      </c>
      <c r="C1216" t="s">
        <v>511</v>
      </c>
      <c r="D1216" t="s">
        <v>13</v>
      </c>
      <c r="E1216" t="s">
        <v>14</v>
      </c>
      <c r="F1216" t="s">
        <v>15</v>
      </c>
      <c r="G1216" t="s">
        <v>15</v>
      </c>
      <c r="H1216" t="s">
        <v>15</v>
      </c>
      <c r="I1216" s="1">
        <v>2066100</v>
      </c>
    </row>
    <row r="1217" spans="1:9" x14ac:dyDescent="0.25">
      <c r="A1217" t="str">
        <f>"25176"</f>
        <v>25176</v>
      </c>
      <c r="B1217" t="s">
        <v>35</v>
      </c>
      <c r="C1217" t="s">
        <v>572</v>
      </c>
      <c r="D1217" t="s">
        <v>13</v>
      </c>
      <c r="E1217" t="s">
        <v>14</v>
      </c>
      <c r="F1217" t="s">
        <v>15</v>
      </c>
      <c r="G1217" t="s">
        <v>15</v>
      </c>
      <c r="H1217" t="s">
        <v>15</v>
      </c>
      <c r="I1217" s="1">
        <v>9047600</v>
      </c>
    </row>
    <row r="1218" spans="1:9" x14ac:dyDescent="0.25">
      <c r="A1218" t="str">
        <f>"25177"</f>
        <v>25177</v>
      </c>
      <c r="B1218" t="s">
        <v>35</v>
      </c>
      <c r="C1218" t="s">
        <v>564</v>
      </c>
      <c r="D1218" t="str">
        <f>"001"</f>
        <v>001</v>
      </c>
      <c r="E1218">
        <v>2007</v>
      </c>
      <c r="F1218">
        <v>2902100</v>
      </c>
      <c r="G1218">
        <v>3553200</v>
      </c>
      <c r="H1218">
        <v>651100</v>
      </c>
    </row>
    <row r="1219" spans="1:9" x14ac:dyDescent="0.25">
      <c r="A1219" t="str">
        <f>"25177"</f>
        <v>25177</v>
      </c>
      <c r="B1219" t="s">
        <v>35</v>
      </c>
      <c r="C1219" t="s">
        <v>564</v>
      </c>
      <c r="D1219" t="s">
        <v>13</v>
      </c>
      <c r="E1219" t="s">
        <v>14</v>
      </c>
      <c r="F1219" t="s">
        <v>15</v>
      </c>
      <c r="G1219" t="s">
        <v>15</v>
      </c>
      <c r="H1219" t="s">
        <v>15</v>
      </c>
      <c r="I1219" s="1">
        <v>36812500</v>
      </c>
    </row>
    <row r="1220" spans="1:9" x14ac:dyDescent="0.25">
      <c r="A1220" t="s">
        <v>32</v>
      </c>
      <c r="B1220" t="s">
        <v>37</v>
      </c>
      <c r="C1220" t="s">
        <v>34</v>
      </c>
      <c r="D1220" t="s">
        <v>13</v>
      </c>
      <c r="E1220" t="s">
        <v>14</v>
      </c>
      <c r="F1220" t="s">
        <v>15</v>
      </c>
      <c r="G1220" t="s">
        <v>15</v>
      </c>
      <c r="H1220" t="s">
        <v>15</v>
      </c>
      <c r="I1220" s="1">
        <v>325289800</v>
      </c>
    </row>
    <row r="1221" spans="1:9" x14ac:dyDescent="0.25">
      <c r="A1221" t="str">
        <f>"25216"</f>
        <v>25216</v>
      </c>
      <c r="B1221" t="s">
        <v>38</v>
      </c>
      <c r="C1221" t="s">
        <v>559</v>
      </c>
      <c r="D1221" t="str">
        <f>"002"</f>
        <v>002</v>
      </c>
      <c r="E1221">
        <v>1998</v>
      </c>
      <c r="F1221">
        <v>370600</v>
      </c>
      <c r="G1221">
        <v>18478800</v>
      </c>
      <c r="H1221">
        <v>18108200</v>
      </c>
    </row>
    <row r="1222" spans="1:9" x14ac:dyDescent="0.25">
      <c r="A1222" t="str">
        <f>"25216"</f>
        <v>25216</v>
      </c>
      <c r="B1222" t="s">
        <v>38</v>
      </c>
      <c r="C1222" t="s">
        <v>559</v>
      </c>
      <c r="D1222" t="s">
        <v>13</v>
      </c>
      <c r="E1222" t="s">
        <v>14</v>
      </c>
      <c r="F1222" t="s">
        <v>15</v>
      </c>
      <c r="G1222" t="s">
        <v>15</v>
      </c>
      <c r="H1222" t="s">
        <v>15</v>
      </c>
      <c r="I1222" s="1">
        <v>383309200</v>
      </c>
    </row>
    <row r="1223" spans="1:9" x14ac:dyDescent="0.25">
      <c r="A1223" t="str">
        <f>"25251"</f>
        <v>25251</v>
      </c>
      <c r="B1223" t="s">
        <v>38</v>
      </c>
      <c r="C1223" t="s">
        <v>562</v>
      </c>
      <c r="D1223" t="s">
        <v>13</v>
      </c>
      <c r="E1223" t="s">
        <v>14</v>
      </c>
      <c r="F1223" t="s">
        <v>15</v>
      </c>
      <c r="G1223" t="s">
        <v>15</v>
      </c>
      <c r="H1223" t="s">
        <v>15</v>
      </c>
      <c r="I1223" s="1">
        <v>217484200</v>
      </c>
    </row>
    <row r="1224" spans="1:9" x14ac:dyDescent="0.25">
      <c r="A1224" t="s">
        <v>32</v>
      </c>
      <c r="B1224" t="s">
        <v>40</v>
      </c>
      <c r="C1224" t="s">
        <v>34</v>
      </c>
      <c r="D1224" t="s">
        <v>13</v>
      </c>
      <c r="E1224" t="s">
        <v>14</v>
      </c>
      <c r="F1224" t="s">
        <v>15</v>
      </c>
      <c r="G1224" t="s">
        <v>15</v>
      </c>
      <c r="H1224" t="s">
        <v>15</v>
      </c>
      <c r="I1224" s="1">
        <v>600793400</v>
      </c>
    </row>
    <row r="1225" spans="1:9" x14ac:dyDescent="0.25">
      <c r="A1225" t="s">
        <v>32</v>
      </c>
      <c r="B1225" t="s">
        <v>41</v>
      </c>
      <c r="C1225" t="s">
        <v>573</v>
      </c>
      <c r="D1225" t="s">
        <v>13</v>
      </c>
      <c r="E1225" t="s">
        <v>14</v>
      </c>
      <c r="F1225" t="s">
        <v>15</v>
      </c>
      <c r="G1225" t="s">
        <v>15</v>
      </c>
      <c r="H1225" t="s">
        <v>15</v>
      </c>
      <c r="I1225" s="1">
        <v>2111396600</v>
      </c>
    </row>
    <row r="1226" spans="1:9" x14ac:dyDescent="0.25">
      <c r="A1226" t="str">
        <f>"26002"</f>
        <v>26002</v>
      </c>
      <c r="B1226" t="s">
        <v>11</v>
      </c>
      <c r="C1226" t="s">
        <v>151</v>
      </c>
      <c r="D1226" t="s">
        <v>13</v>
      </c>
      <c r="E1226" t="s">
        <v>14</v>
      </c>
      <c r="F1226" t="s">
        <v>15</v>
      </c>
      <c r="G1226" t="s">
        <v>15</v>
      </c>
      <c r="H1226" t="s">
        <v>15</v>
      </c>
      <c r="I1226" s="1">
        <v>16110900</v>
      </c>
    </row>
    <row r="1227" spans="1:9" x14ac:dyDescent="0.25">
      <c r="A1227" t="str">
        <f>"26004"</f>
        <v>26004</v>
      </c>
      <c r="B1227" t="s">
        <v>11</v>
      </c>
      <c r="C1227" t="s">
        <v>574</v>
      </c>
      <c r="D1227" t="s">
        <v>13</v>
      </c>
      <c r="E1227" t="s">
        <v>14</v>
      </c>
      <c r="F1227" t="s">
        <v>15</v>
      </c>
      <c r="G1227" t="s">
        <v>15</v>
      </c>
      <c r="H1227" t="s">
        <v>15</v>
      </c>
      <c r="I1227" s="1">
        <v>22686900</v>
      </c>
    </row>
    <row r="1228" spans="1:9" x14ac:dyDescent="0.25">
      <c r="A1228" t="str">
        <f>"26006"</f>
        <v>26006</v>
      </c>
      <c r="B1228" t="s">
        <v>11</v>
      </c>
      <c r="C1228" t="s">
        <v>575</v>
      </c>
      <c r="D1228" t="s">
        <v>13</v>
      </c>
      <c r="E1228" t="s">
        <v>14</v>
      </c>
      <c r="F1228" t="s">
        <v>15</v>
      </c>
      <c r="G1228" t="s">
        <v>15</v>
      </c>
      <c r="H1228" t="s">
        <v>15</v>
      </c>
      <c r="I1228" s="1">
        <v>14573200</v>
      </c>
    </row>
    <row r="1229" spans="1:9" x14ac:dyDescent="0.25">
      <c r="A1229" t="str">
        <f>"26008"</f>
        <v>26008</v>
      </c>
      <c r="B1229" t="s">
        <v>11</v>
      </c>
      <c r="C1229" t="s">
        <v>576</v>
      </c>
      <c r="D1229" t="s">
        <v>13</v>
      </c>
      <c r="E1229" t="s">
        <v>14</v>
      </c>
      <c r="F1229" t="s">
        <v>15</v>
      </c>
      <c r="G1229" t="s">
        <v>15</v>
      </c>
      <c r="H1229" t="s">
        <v>15</v>
      </c>
      <c r="I1229" s="1">
        <v>44923900</v>
      </c>
    </row>
    <row r="1230" spans="1:9" x14ac:dyDescent="0.25">
      <c r="A1230" t="str">
        <f>"26010"</f>
        <v>26010</v>
      </c>
      <c r="B1230" t="s">
        <v>11</v>
      </c>
      <c r="C1230" t="s">
        <v>577</v>
      </c>
      <c r="D1230" t="s">
        <v>13</v>
      </c>
      <c r="E1230" t="s">
        <v>14</v>
      </c>
      <c r="F1230" t="s">
        <v>15</v>
      </c>
      <c r="G1230" t="s">
        <v>15</v>
      </c>
      <c r="H1230" t="s">
        <v>15</v>
      </c>
      <c r="I1230" s="1">
        <v>23150600</v>
      </c>
    </row>
    <row r="1231" spans="1:9" x14ac:dyDescent="0.25">
      <c r="A1231" t="str">
        <f>"26012"</f>
        <v>26012</v>
      </c>
      <c r="B1231" t="s">
        <v>11</v>
      </c>
      <c r="C1231" t="s">
        <v>578</v>
      </c>
      <c r="D1231" t="s">
        <v>13</v>
      </c>
      <c r="E1231" t="s">
        <v>14</v>
      </c>
      <c r="F1231" t="s">
        <v>15</v>
      </c>
      <c r="G1231" t="s">
        <v>15</v>
      </c>
      <c r="H1231" t="s">
        <v>15</v>
      </c>
      <c r="I1231" s="1">
        <v>461789400</v>
      </c>
    </row>
    <row r="1232" spans="1:9" x14ac:dyDescent="0.25">
      <c r="A1232" t="str">
        <f>"26014"</f>
        <v>26014</v>
      </c>
      <c r="B1232" t="s">
        <v>11</v>
      </c>
      <c r="C1232" t="s">
        <v>579</v>
      </c>
      <c r="D1232" t="s">
        <v>13</v>
      </c>
      <c r="E1232" t="s">
        <v>14</v>
      </c>
      <c r="F1232" t="s">
        <v>15</v>
      </c>
      <c r="G1232" t="s">
        <v>15</v>
      </c>
      <c r="H1232" t="s">
        <v>15</v>
      </c>
      <c r="I1232" s="1">
        <v>117057500</v>
      </c>
    </row>
    <row r="1233" spans="1:9" x14ac:dyDescent="0.25">
      <c r="A1233" t="str">
        <f>"26016"</f>
        <v>26016</v>
      </c>
      <c r="B1233" t="s">
        <v>11</v>
      </c>
      <c r="C1233" t="s">
        <v>580</v>
      </c>
      <c r="D1233" t="s">
        <v>13</v>
      </c>
      <c r="E1233" t="s">
        <v>14</v>
      </c>
      <c r="F1233" t="s">
        <v>15</v>
      </c>
      <c r="G1233" t="s">
        <v>15</v>
      </c>
      <c r="H1233" t="s">
        <v>15</v>
      </c>
      <c r="I1233" s="1">
        <v>19124700</v>
      </c>
    </row>
    <row r="1234" spans="1:9" x14ac:dyDescent="0.25">
      <c r="A1234" t="str">
        <f>"26018"</f>
        <v>26018</v>
      </c>
      <c r="B1234" t="s">
        <v>11</v>
      </c>
      <c r="C1234" t="s">
        <v>581</v>
      </c>
      <c r="D1234" t="s">
        <v>13</v>
      </c>
      <c r="E1234" t="s">
        <v>14</v>
      </c>
      <c r="F1234" t="s">
        <v>15</v>
      </c>
      <c r="G1234" t="s">
        <v>15</v>
      </c>
      <c r="H1234" t="s">
        <v>15</v>
      </c>
      <c r="I1234" s="1">
        <v>26689300</v>
      </c>
    </row>
    <row r="1235" spans="1:9" x14ac:dyDescent="0.25">
      <c r="A1235" t="str">
        <f>"26020"</f>
        <v>26020</v>
      </c>
      <c r="B1235" t="s">
        <v>11</v>
      </c>
      <c r="C1235" t="s">
        <v>237</v>
      </c>
      <c r="D1235" t="s">
        <v>13</v>
      </c>
      <c r="E1235" t="s">
        <v>14</v>
      </c>
      <c r="F1235" t="s">
        <v>15</v>
      </c>
      <c r="G1235" t="s">
        <v>15</v>
      </c>
      <c r="H1235" t="s">
        <v>15</v>
      </c>
      <c r="I1235" s="1">
        <v>136135000</v>
      </c>
    </row>
    <row r="1236" spans="1:9" x14ac:dyDescent="0.25">
      <c r="A1236" t="s">
        <v>32</v>
      </c>
      <c r="B1236" t="s">
        <v>33</v>
      </c>
      <c r="C1236" t="s">
        <v>34</v>
      </c>
      <c r="D1236" t="s">
        <v>13</v>
      </c>
      <c r="E1236" t="s">
        <v>14</v>
      </c>
      <c r="F1236" t="s">
        <v>15</v>
      </c>
      <c r="G1236" t="s">
        <v>15</v>
      </c>
      <c r="H1236" t="s">
        <v>15</v>
      </c>
      <c r="I1236" s="1">
        <v>882241400</v>
      </c>
    </row>
    <row r="1237" spans="1:9" x14ac:dyDescent="0.25">
      <c r="A1237" t="str">
        <f>"26236"</f>
        <v>26236</v>
      </c>
      <c r="B1237" t="s">
        <v>38</v>
      </c>
      <c r="C1237" t="s">
        <v>582</v>
      </c>
      <c r="D1237" t="str">
        <f>"003"</f>
        <v>003</v>
      </c>
      <c r="E1237">
        <v>1994</v>
      </c>
      <c r="F1237">
        <v>1178800</v>
      </c>
      <c r="G1237">
        <v>5795000</v>
      </c>
      <c r="H1237">
        <v>4616200</v>
      </c>
    </row>
    <row r="1238" spans="1:9" x14ac:dyDescent="0.25">
      <c r="A1238" t="str">
        <f>"26236"</f>
        <v>26236</v>
      </c>
      <c r="B1238" t="s">
        <v>38</v>
      </c>
      <c r="C1238" t="s">
        <v>582</v>
      </c>
      <c r="D1238" t="s">
        <v>13</v>
      </c>
      <c r="E1238" t="s">
        <v>14</v>
      </c>
      <c r="F1238" t="s">
        <v>15</v>
      </c>
      <c r="G1238" t="s">
        <v>15</v>
      </c>
      <c r="H1238" t="s">
        <v>15</v>
      </c>
      <c r="I1238" s="1">
        <v>60587300</v>
      </c>
    </row>
    <row r="1239" spans="1:9" x14ac:dyDescent="0.25">
      <c r="A1239" t="str">
        <f>"26251"</f>
        <v>26251</v>
      </c>
      <c r="B1239" t="s">
        <v>38</v>
      </c>
      <c r="C1239" t="s">
        <v>583</v>
      </c>
      <c r="D1239" t="s">
        <v>13</v>
      </c>
      <c r="E1239" t="s">
        <v>14</v>
      </c>
      <c r="F1239" t="s">
        <v>15</v>
      </c>
      <c r="G1239" t="s">
        <v>15</v>
      </c>
      <c r="H1239" t="s">
        <v>15</v>
      </c>
      <c r="I1239" s="1">
        <v>35626100</v>
      </c>
    </row>
    <row r="1240" spans="1:9" x14ac:dyDescent="0.25">
      <c r="A1240" t="s">
        <v>32</v>
      </c>
      <c r="B1240" t="s">
        <v>40</v>
      </c>
      <c r="C1240" t="s">
        <v>34</v>
      </c>
      <c r="D1240" t="s">
        <v>13</v>
      </c>
      <c r="E1240" t="s">
        <v>14</v>
      </c>
      <c r="F1240" t="s">
        <v>15</v>
      </c>
      <c r="G1240" t="s">
        <v>15</v>
      </c>
      <c r="H1240" t="s">
        <v>15</v>
      </c>
      <c r="I1240" s="1">
        <v>96213400</v>
      </c>
    </row>
    <row r="1241" spans="1:9" x14ac:dyDescent="0.25">
      <c r="A1241" t="s">
        <v>32</v>
      </c>
      <c r="B1241" t="s">
        <v>41</v>
      </c>
      <c r="C1241" t="s">
        <v>584</v>
      </c>
      <c r="D1241" t="s">
        <v>13</v>
      </c>
      <c r="E1241" t="s">
        <v>14</v>
      </c>
      <c r="F1241" t="s">
        <v>15</v>
      </c>
      <c r="G1241" t="s">
        <v>15</v>
      </c>
      <c r="H1241" t="s">
        <v>15</v>
      </c>
      <c r="I1241" s="1">
        <v>978454800</v>
      </c>
    </row>
    <row r="1242" spans="1:9" x14ac:dyDescent="0.25">
      <c r="A1242" t="str">
        <f>"27002"</f>
        <v>27002</v>
      </c>
      <c r="B1242" t="s">
        <v>11</v>
      </c>
      <c r="C1242" t="s">
        <v>12</v>
      </c>
      <c r="D1242" t="s">
        <v>13</v>
      </c>
      <c r="E1242" t="s">
        <v>14</v>
      </c>
      <c r="F1242" t="s">
        <v>15</v>
      </c>
      <c r="G1242" t="s">
        <v>15</v>
      </c>
      <c r="H1242" t="s">
        <v>15</v>
      </c>
      <c r="I1242" s="1">
        <v>167702700</v>
      </c>
    </row>
    <row r="1243" spans="1:9" x14ac:dyDescent="0.25">
      <c r="A1243" t="str">
        <f>"27004"</f>
        <v>27004</v>
      </c>
      <c r="B1243" t="s">
        <v>11</v>
      </c>
      <c r="C1243" t="s">
        <v>301</v>
      </c>
      <c r="D1243" t="s">
        <v>13</v>
      </c>
      <c r="E1243" t="s">
        <v>14</v>
      </c>
      <c r="F1243" t="s">
        <v>15</v>
      </c>
      <c r="G1243" t="s">
        <v>15</v>
      </c>
      <c r="H1243" t="s">
        <v>15</v>
      </c>
      <c r="I1243" s="1">
        <v>113604800</v>
      </c>
    </row>
    <row r="1244" spans="1:9" x14ac:dyDescent="0.25">
      <c r="A1244" t="str">
        <f>"27006"</f>
        <v>27006</v>
      </c>
      <c r="B1244" t="s">
        <v>11</v>
      </c>
      <c r="C1244" t="s">
        <v>132</v>
      </c>
      <c r="D1244" t="s">
        <v>13</v>
      </c>
      <c r="E1244" t="s">
        <v>14</v>
      </c>
      <c r="F1244" t="s">
        <v>15</v>
      </c>
      <c r="G1244" t="s">
        <v>15</v>
      </c>
      <c r="H1244" t="s">
        <v>15</v>
      </c>
      <c r="I1244" s="1">
        <v>125401900</v>
      </c>
    </row>
    <row r="1245" spans="1:9" x14ac:dyDescent="0.25">
      <c r="A1245" t="str">
        <f>"27008"</f>
        <v>27008</v>
      </c>
      <c r="B1245" t="s">
        <v>11</v>
      </c>
      <c r="C1245" t="s">
        <v>585</v>
      </c>
      <c r="D1245" t="s">
        <v>13</v>
      </c>
      <c r="E1245" t="s">
        <v>14</v>
      </c>
      <c r="F1245" t="s">
        <v>15</v>
      </c>
      <c r="G1245" t="s">
        <v>15</v>
      </c>
      <c r="H1245" t="s">
        <v>15</v>
      </c>
      <c r="I1245" s="1">
        <v>32192400</v>
      </c>
    </row>
    <row r="1246" spans="1:9" x14ac:dyDescent="0.25">
      <c r="A1246" t="str">
        <f>"27010"</f>
        <v>27010</v>
      </c>
      <c r="B1246" t="s">
        <v>11</v>
      </c>
      <c r="C1246" t="s">
        <v>586</v>
      </c>
      <c r="D1246" t="s">
        <v>13</v>
      </c>
      <c r="E1246" t="s">
        <v>14</v>
      </c>
      <c r="F1246" t="s">
        <v>15</v>
      </c>
      <c r="G1246" t="s">
        <v>15</v>
      </c>
      <c r="H1246" t="s">
        <v>15</v>
      </c>
      <c r="I1246" s="1">
        <v>113459800</v>
      </c>
    </row>
    <row r="1247" spans="1:9" x14ac:dyDescent="0.25">
      <c r="A1247" t="str">
        <f>"27012"</f>
        <v>27012</v>
      </c>
      <c r="B1247" t="s">
        <v>11</v>
      </c>
      <c r="C1247" t="s">
        <v>587</v>
      </c>
      <c r="D1247" t="s">
        <v>13</v>
      </c>
      <c r="E1247" t="s">
        <v>14</v>
      </c>
      <c r="F1247" t="s">
        <v>15</v>
      </c>
      <c r="G1247" t="s">
        <v>15</v>
      </c>
      <c r="H1247" t="s">
        <v>15</v>
      </c>
      <c r="I1247" s="1">
        <v>34944900</v>
      </c>
    </row>
    <row r="1248" spans="1:9" x14ac:dyDescent="0.25">
      <c r="A1248" t="str">
        <f>"27014"</f>
        <v>27014</v>
      </c>
      <c r="B1248" t="s">
        <v>11</v>
      </c>
      <c r="C1248" t="s">
        <v>193</v>
      </c>
      <c r="D1248" t="s">
        <v>13</v>
      </c>
      <c r="E1248" t="s">
        <v>14</v>
      </c>
      <c r="F1248" t="s">
        <v>15</v>
      </c>
      <c r="G1248" t="s">
        <v>15</v>
      </c>
      <c r="H1248" t="s">
        <v>15</v>
      </c>
      <c r="I1248" s="1">
        <v>45672100</v>
      </c>
    </row>
    <row r="1249" spans="1:9" x14ac:dyDescent="0.25">
      <c r="A1249" t="str">
        <f>"27016"</f>
        <v>27016</v>
      </c>
      <c r="B1249" t="s">
        <v>11</v>
      </c>
      <c r="C1249" t="s">
        <v>588</v>
      </c>
      <c r="D1249" t="s">
        <v>13</v>
      </c>
      <c r="E1249" t="s">
        <v>14</v>
      </c>
      <c r="F1249" t="s">
        <v>15</v>
      </c>
      <c r="G1249" t="s">
        <v>15</v>
      </c>
      <c r="H1249" t="s">
        <v>15</v>
      </c>
      <c r="I1249" s="1">
        <v>110110800</v>
      </c>
    </row>
    <row r="1250" spans="1:9" x14ac:dyDescent="0.25">
      <c r="A1250" t="str">
        <f>"27018"</f>
        <v>27018</v>
      </c>
      <c r="B1250" t="s">
        <v>11</v>
      </c>
      <c r="C1250" t="s">
        <v>589</v>
      </c>
      <c r="D1250" t="s">
        <v>13</v>
      </c>
      <c r="E1250" t="s">
        <v>14</v>
      </c>
      <c r="F1250" t="s">
        <v>15</v>
      </c>
      <c r="G1250" t="s">
        <v>15</v>
      </c>
      <c r="H1250" t="s">
        <v>15</v>
      </c>
      <c r="I1250" s="1">
        <v>43137400</v>
      </c>
    </row>
    <row r="1251" spans="1:9" x14ac:dyDescent="0.25">
      <c r="A1251" t="str">
        <f>"27020"</f>
        <v>27020</v>
      </c>
      <c r="B1251" t="s">
        <v>11</v>
      </c>
      <c r="C1251" t="s">
        <v>590</v>
      </c>
      <c r="D1251" t="s">
        <v>13</v>
      </c>
      <c r="E1251" t="s">
        <v>14</v>
      </c>
      <c r="F1251" t="s">
        <v>15</v>
      </c>
      <c r="G1251" t="s">
        <v>15</v>
      </c>
      <c r="H1251" t="s">
        <v>15</v>
      </c>
      <c r="I1251" s="1">
        <v>38485800</v>
      </c>
    </row>
    <row r="1252" spans="1:9" x14ac:dyDescent="0.25">
      <c r="A1252" t="str">
        <f>"27022"</f>
        <v>27022</v>
      </c>
      <c r="B1252" t="s">
        <v>11</v>
      </c>
      <c r="C1252" t="s">
        <v>591</v>
      </c>
      <c r="D1252" t="s">
        <v>13</v>
      </c>
      <c r="E1252" t="s">
        <v>14</v>
      </c>
      <c r="F1252" t="s">
        <v>15</v>
      </c>
      <c r="G1252" t="s">
        <v>15</v>
      </c>
      <c r="H1252" t="s">
        <v>15</v>
      </c>
      <c r="I1252" s="1">
        <v>55880700</v>
      </c>
    </row>
    <row r="1253" spans="1:9" x14ac:dyDescent="0.25">
      <c r="A1253" t="str">
        <f>"27024"</f>
        <v>27024</v>
      </c>
      <c r="B1253" t="s">
        <v>11</v>
      </c>
      <c r="C1253" t="s">
        <v>592</v>
      </c>
      <c r="D1253" t="s">
        <v>13</v>
      </c>
      <c r="E1253" t="s">
        <v>14</v>
      </c>
      <c r="F1253" t="s">
        <v>15</v>
      </c>
      <c r="G1253" t="s">
        <v>15</v>
      </c>
      <c r="H1253" t="s">
        <v>15</v>
      </c>
      <c r="I1253" s="1">
        <v>50084300</v>
      </c>
    </row>
    <row r="1254" spans="1:9" x14ac:dyDescent="0.25">
      <c r="A1254" t="str">
        <f>"27026"</f>
        <v>27026</v>
      </c>
      <c r="B1254" t="s">
        <v>11</v>
      </c>
      <c r="C1254" t="s">
        <v>593</v>
      </c>
      <c r="D1254" t="s">
        <v>13</v>
      </c>
      <c r="E1254" t="s">
        <v>14</v>
      </c>
      <c r="F1254" t="s">
        <v>15</v>
      </c>
      <c r="G1254" t="s">
        <v>15</v>
      </c>
      <c r="H1254" t="s">
        <v>15</v>
      </c>
      <c r="I1254" s="1">
        <v>70819100</v>
      </c>
    </row>
    <row r="1255" spans="1:9" x14ac:dyDescent="0.25">
      <c r="A1255" t="str">
        <f>"27028"</f>
        <v>27028</v>
      </c>
      <c r="B1255" t="s">
        <v>11</v>
      </c>
      <c r="C1255" t="s">
        <v>434</v>
      </c>
      <c r="D1255" t="s">
        <v>13</v>
      </c>
      <c r="E1255" t="s">
        <v>14</v>
      </c>
      <c r="F1255" t="s">
        <v>15</v>
      </c>
      <c r="G1255" t="s">
        <v>15</v>
      </c>
      <c r="H1255" t="s">
        <v>15</v>
      </c>
      <c r="I1255" s="1">
        <v>50268700</v>
      </c>
    </row>
    <row r="1256" spans="1:9" x14ac:dyDescent="0.25">
      <c r="A1256" t="str">
        <f>"27030"</f>
        <v>27030</v>
      </c>
      <c r="B1256" t="s">
        <v>11</v>
      </c>
      <c r="C1256" t="s">
        <v>594</v>
      </c>
      <c r="D1256" t="s">
        <v>13</v>
      </c>
      <c r="E1256" t="s">
        <v>14</v>
      </c>
      <c r="F1256" t="s">
        <v>15</v>
      </c>
      <c r="G1256" t="s">
        <v>15</v>
      </c>
      <c r="H1256" t="s">
        <v>15</v>
      </c>
      <c r="I1256" s="1">
        <v>10973000</v>
      </c>
    </row>
    <row r="1257" spans="1:9" x14ac:dyDescent="0.25">
      <c r="A1257" t="str">
        <f>"27032"</f>
        <v>27032</v>
      </c>
      <c r="B1257" t="s">
        <v>11</v>
      </c>
      <c r="C1257" t="s">
        <v>551</v>
      </c>
      <c r="D1257" t="s">
        <v>13</v>
      </c>
      <c r="E1257" t="s">
        <v>14</v>
      </c>
      <c r="F1257" t="s">
        <v>15</v>
      </c>
      <c r="G1257" t="s">
        <v>15</v>
      </c>
      <c r="H1257" t="s">
        <v>15</v>
      </c>
      <c r="I1257" s="1">
        <v>76013700</v>
      </c>
    </row>
    <row r="1258" spans="1:9" x14ac:dyDescent="0.25">
      <c r="A1258" t="str">
        <f>"27034"</f>
        <v>27034</v>
      </c>
      <c r="B1258" t="s">
        <v>11</v>
      </c>
      <c r="C1258" t="s">
        <v>595</v>
      </c>
      <c r="D1258" t="s">
        <v>13</v>
      </c>
      <c r="E1258" t="s">
        <v>14</v>
      </c>
      <c r="F1258" t="s">
        <v>15</v>
      </c>
      <c r="G1258" t="s">
        <v>15</v>
      </c>
      <c r="H1258" t="s">
        <v>15</v>
      </c>
      <c r="I1258" s="1">
        <v>42761100</v>
      </c>
    </row>
    <row r="1259" spans="1:9" x14ac:dyDescent="0.25">
      <c r="A1259" t="str">
        <f>"27036"</f>
        <v>27036</v>
      </c>
      <c r="B1259" t="s">
        <v>11</v>
      </c>
      <c r="C1259" t="s">
        <v>596</v>
      </c>
      <c r="D1259" t="s">
        <v>13</v>
      </c>
      <c r="E1259" t="s">
        <v>14</v>
      </c>
      <c r="F1259" t="s">
        <v>15</v>
      </c>
      <c r="G1259" t="s">
        <v>15</v>
      </c>
      <c r="H1259" t="s">
        <v>15</v>
      </c>
      <c r="I1259" s="1">
        <v>17563600</v>
      </c>
    </row>
    <row r="1260" spans="1:9" x14ac:dyDescent="0.25">
      <c r="A1260" t="str">
        <f>"27038"</f>
        <v>27038</v>
      </c>
      <c r="B1260" t="s">
        <v>11</v>
      </c>
      <c r="C1260" t="s">
        <v>597</v>
      </c>
      <c r="D1260" t="s">
        <v>13</v>
      </c>
      <c r="E1260" t="s">
        <v>14</v>
      </c>
      <c r="F1260" t="s">
        <v>15</v>
      </c>
      <c r="G1260" t="s">
        <v>15</v>
      </c>
      <c r="H1260" t="s">
        <v>15</v>
      </c>
      <c r="I1260" s="1">
        <v>44111900</v>
      </c>
    </row>
    <row r="1261" spans="1:9" x14ac:dyDescent="0.25">
      <c r="A1261" t="str">
        <f>"27040"</f>
        <v>27040</v>
      </c>
      <c r="B1261" t="s">
        <v>11</v>
      </c>
      <c r="C1261" t="s">
        <v>598</v>
      </c>
      <c r="D1261" t="s">
        <v>13</v>
      </c>
      <c r="E1261" t="s">
        <v>14</v>
      </c>
      <c r="F1261" t="s">
        <v>15</v>
      </c>
      <c r="G1261" t="s">
        <v>15</v>
      </c>
      <c r="H1261" t="s">
        <v>15</v>
      </c>
      <c r="I1261" s="1">
        <v>51422500</v>
      </c>
    </row>
    <row r="1262" spans="1:9" x14ac:dyDescent="0.25">
      <c r="A1262" t="str">
        <f>"27042"</f>
        <v>27042</v>
      </c>
      <c r="B1262" t="s">
        <v>11</v>
      </c>
      <c r="C1262" t="s">
        <v>327</v>
      </c>
      <c r="D1262" t="s">
        <v>13</v>
      </c>
      <c r="E1262" t="s">
        <v>14</v>
      </c>
      <c r="F1262" t="s">
        <v>15</v>
      </c>
      <c r="G1262" t="s">
        <v>15</v>
      </c>
      <c r="H1262" t="s">
        <v>15</v>
      </c>
      <c r="I1262" s="1">
        <v>66119500</v>
      </c>
    </row>
    <row r="1263" spans="1:9" x14ac:dyDescent="0.25">
      <c r="A1263" t="s">
        <v>32</v>
      </c>
      <c r="B1263" t="s">
        <v>33</v>
      </c>
      <c r="C1263" t="s">
        <v>34</v>
      </c>
      <c r="D1263" t="s">
        <v>13</v>
      </c>
      <c r="E1263" t="s">
        <v>14</v>
      </c>
      <c r="F1263" t="s">
        <v>15</v>
      </c>
      <c r="G1263" t="s">
        <v>15</v>
      </c>
      <c r="H1263" t="s">
        <v>15</v>
      </c>
      <c r="I1263" s="1">
        <v>1360730700</v>
      </c>
    </row>
    <row r="1264" spans="1:9" x14ac:dyDescent="0.25">
      <c r="A1264" t="str">
        <f>"27101"</f>
        <v>27101</v>
      </c>
      <c r="B1264" t="s">
        <v>35</v>
      </c>
      <c r="C1264" t="s">
        <v>599</v>
      </c>
      <c r="D1264" t="s">
        <v>13</v>
      </c>
      <c r="E1264" t="s">
        <v>14</v>
      </c>
      <c r="F1264" t="s">
        <v>15</v>
      </c>
      <c r="G1264" t="s">
        <v>15</v>
      </c>
      <c r="H1264" t="s">
        <v>15</v>
      </c>
      <c r="I1264" s="1">
        <v>19098200</v>
      </c>
    </row>
    <row r="1265" spans="1:9" x14ac:dyDescent="0.25">
      <c r="A1265" t="str">
        <f>"27136"</f>
        <v>27136</v>
      </c>
      <c r="B1265" t="s">
        <v>35</v>
      </c>
      <c r="C1265" t="s">
        <v>592</v>
      </c>
      <c r="D1265" t="str">
        <f>"001"</f>
        <v>001</v>
      </c>
      <c r="E1265">
        <v>2007</v>
      </c>
      <c r="F1265">
        <v>1557000</v>
      </c>
      <c r="G1265">
        <v>9662700</v>
      </c>
      <c r="H1265">
        <v>8105700</v>
      </c>
    </row>
    <row r="1266" spans="1:9" x14ac:dyDescent="0.25">
      <c r="A1266" t="str">
        <f>"27136"</f>
        <v>27136</v>
      </c>
      <c r="B1266" t="s">
        <v>35</v>
      </c>
      <c r="C1266" t="s">
        <v>592</v>
      </c>
      <c r="D1266" t="s">
        <v>13</v>
      </c>
      <c r="E1266" t="s">
        <v>14</v>
      </c>
      <c r="F1266" t="s">
        <v>15</v>
      </c>
      <c r="G1266" t="s">
        <v>15</v>
      </c>
      <c r="H1266" t="s">
        <v>15</v>
      </c>
      <c r="I1266" s="1">
        <v>21589100</v>
      </c>
    </row>
    <row r="1267" spans="1:9" x14ac:dyDescent="0.25">
      <c r="A1267" t="str">
        <f>"27151"</f>
        <v>27151</v>
      </c>
      <c r="B1267" t="s">
        <v>35</v>
      </c>
      <c r="C1267" t="s">
        <v>595</v>
      </c>
      <c r="D1267" t="s">
        <v>13</v>
      </c>
      <c r="E1267" t="s">
        <v>14</v>
      </c>
      <c r="F1267" t="s">
        <v>15</v>
      </c>
      <c r="G1267" t="s">
        <v>15</v>
      </c>
      <c r="H1267" t="s">
        <v>15</v>
      </c>
      <c r="I1267" s="1">
        <v>23747900</v>
      </c>
    </row>
    <row r="1268" spans="1:9" x14ac:dyDescent="0.25">
      <c r="A1268" t="str">
        <f>"27152"</f>
        <v>27152</v>
      </c>
      <c r="B1268" t="s">
        <v>35</v>
      </c>
      <c r="C1268" t="s">
        <v>600</v>
      </c>
      <c r="D1268" t="str">
        <f>"001"</f>
        <v>001</v>
      </c>
      <c r="E1268">
        <v>2018</v>
      </c>
      <c r="F1268">
        <v>2520600</v>
      </c>
      <c r="G1268">
        <v>3702700</v>
      </c>
      <c r="H1268">
        <v>1182100</v>
      </c>
    </row>
    <row r="1269" spans="1:9" x14ac:dyDescent="0.25">
      <c r="A1269" t="str">
        <f>"27152"</f>
        <v>27152</v>
      </c>
      <c r="B1269" t="s">
        <v>35</v>
      </c>
      <c r="C1269" t="s">
        <v>600</v>
      </c>
      <c r="D1269" t="s">
        <v>13</v>
      </c>
      <c r="E1269" t="s">
        <v>14</v>
      </c>
      <c r="F1269" t="s">
        <v>15</v>
      </c>
      <c r="G1269" t="s">
        <v>15</v>
      </c>
      <c r="H1269" t="s">
        <v>15</v>
      </c>
      <c r="I1269" s="1">
        <v>22075700</v>
      </c>
    </row>
    <row r="1270" spans="1:9" x14ac:dyDescent="0.25">
      <c r="A1270" t="str">
        <f>"27186"</f>
        <v>27186</v>
      </c>
      <c r="B1270" t="s">
        <v>35</v>
      </c>
      <c r="C1270" t="s">
        <v>601</v>
      </c>
      <c r="D1270" t="str">
        <f>"003"</f>
        <v>003</v>
      </c>
      <c r="E1270">
        <v>1997</v>
      </c>
      <c r="F1270">
        <v>74000</v>
      </c>
      <c r="G1270">
        <v>3249700</v>
      </c>
      <c r="H1270">
        <v>3175700</v>
      </c>
    </row>
    <row r="1271" spans="1:9" x14ac:dyDescent="0.25">
      <c r="A1271" t="str">
        <f>"27186"</f>
        <v>27186</v>
      </c>
      <c r="B1271" t="s">
        <v>35</v>
      </c>
      <c r="C1271" t="s">
        <v>601</v>
      </c>
      <c r="D1271" t="str">
        <f>"004"</f>
        <v>004</v>
      </c>
      <c r="E1271">
        <v>1999</v>
      </c>
      <c r="F1271">
        <v>398800</v>
      </c>
      <c r="G1271">
        <v>838100</v>
      </c>
      <c r="H1271">
        <v>439300</v>
      </c>
    </row>
    <row r="1272" spans="1:9" x14ac:dyDescent="0.25">
      <c r="A1272" t="str">
        <f>"27186"</f>
        <v>27186</v>
      </c>
      <c r="B1272" t="s">
        <v>35</v>
      </c>
      <c r="C1272" t="s">
        <v>601</v>
      </c>
      <c r="D1272" t="s">
        <v>13</v>
      </c>
      <c r="E1272" t="s">
        <v>14</v>
      </c>
      <c r="F1272" t="s">
        <v>15</v>
      </c>
      <c r="G1272" t="s">
        <v>15</v>
      </c>
      <c r="H1272" t="s">
        <v>15</v>
      </c>
      <c r="I1272" s="1">
        <v>10831400</v>
      </c>
    </row>
    <row r="1273" spans="1:9" x14ac:dyDescent="0.25">
      <c r="A1273" t="s">
        <v>32</v>
      </c>
      <c r="B1273" t="s">
        <v>37</v>
      </c>
      <c r="C1273" t="s">
        <v>34</v>
      </c>
      <c r="D1273" t="s">
        <v>13</v>
      </c>
      <c r="E1273" t="s">
        <v>14</v>
      </c>
      <c r="F1273" t="s">
        <v>15</v>
      </c>
      <c r="G1273" t="s">
        <v>15</v>
      </c>
      <c r="H1273" t="s">
        <v>15</v>
      </c>
      <c r="I1273" s="1">
        <v>97342300</v>
      </c>
    </row>
    <row r="1274" spans="1:9" x14ac:dyDescent="0.25">
      <c r="A1274" t="str">
        <f t="shared" ref="A1274:A1279" si="22">"27206"</f>
        <v>27206</v>
      </c>
      <c r="B1274" t="s">
        <v>38</v>
      </c>
      <c r="C1274" t="s">
        <v>602</v>
      </c>
      <c r="D1274" t="str">
        <f>"003"</f>
        <v>003</v>
      </c>
      <c r="E1274">
        <v>2002</v>
      </c>
      <c r="F1274">
        <v>496100</v>
      </c>
      <c r="G1274">
        <v>14103800</v>
      </c>
      <c r="H1274">
        <v>13607700</v>
      </c>
    </row>
    <row r="1275" spans="1:9" x14ac:dyDescent="0.25">
      <c r="A1275" t="str">
        <f t="shared" si="22"/>
        <v>27206</v>
      </c>
      <c r="B1275" t="s">
        <v>38</v>
      </c>
      <c r="C1275" t="s">
        <v>602</v>
      </c>
      <c r="D1275" t="str">
        <f>"004"</f>
        <v>004</v>
      </c>
      <c r="E1275">
        <v>2003</v>
      </c>
      <c r="F1275">
        <v>462200</v>
      </c>
      <c r="G1275">
        <v>7030000</v>
      </c>
      <c r="H1275">
        <v>6567800</v>
      </c>
    </row>
    <row r="1276" spans="1:9" x14ac:dyDescent="0.25">
      <c r="A1276" t="str">
        <f t="shared" si="22"/>
        <v>27206</v>
      </c>
      <c r="B1276" t="s">
        <v>38</v>
      </c>
      <c r="C1276" t="s">
        <v>602</v>
      </c>
      <c r="D1276" t="str">
        <f>"005"</f>
        <v>005</v>
      </c>
      <c r="E1276">
        <v>2008</v>
      </c>
      <c r="F1276">
        <v>721700</v>
      </c>
      <c r="G1276">
        <v>429900</v>
      </c>
      <c r="H1276">
        <v>0</v>
      </c>
    </row>
    <row r="1277" spans="1:9" x14ac:dyDescent="0.25">
      <c r="A1277" t="str">
        <f t="shared" si="22"/>
        <v>27206</v>
      </c>
      <c r="B1277" t="s">
        <v>38</v>
      </c>
      <c r="C1277" t="s">
        <v>602</v>
      </c>
      <c r="D1277" t="str">
        <f>"006"</f>
        <v>006</v>
      </c>
      <c r="E1277">
        <v>2017</v>
      </c>
      <c r="F1277">
        <v>7792200</v>
      </c>
      <c r="G1277">
        <v>8286300</v>
      </c>
      <c r="H1277">
        <v>494100</v>
      </c>
    </row>
    <row r="1278" spans="1:9" x14ac:dyDescent="0.25">
      <c r="A1278" t="str">
        <f t="shared" si="22"/>
        <v>27206</v>
      </c>
      <c r="B1278" t="s">
        <v>38</v>
      </c>
      <c r="C1278" t="s">
        <v>602</v>
      </c>
      <c r="D1278" t="str">
        <f>"007"</f>
        <v>007</v>
      </c>
      <c r="E1278">
        <v>2017</v>
      </c>
      <c r="F1278">
        <v>0</v>
      </c>
      <c r="G1278">
        <v>0</v>
      </c>
      <c r="H1278">
        <v>0</v>
      </c>
    </row>
    <row r="1279" spans="1:9" x14ac:dyDescent="0.25">
      <c r="A1279" t="str">
        <f t="shared" si="22"/>
        <v>27206</v>
      </c>
      <c r="B1279" t="s">
        <v>38</v>
      </c>
      <c r="C1279" t="s">
        <v>602</v>
      </c>
      <c r="D1279" t="s">
        <v>13</v>
      </c>
      <c r="E1279" t="s">
        <v>14</v>
      </c>
      <c r="F1279" t="s">
        <v>15</v>
      </c>
      <c r="G1279" t="s">
        <v>15</v>
      </c>
      <c r="H1279" t="s">
        <v>15</v>
      </c>
      <c r="I1279" s="1">
        <v>231850300</v>
      </c>
    </row>
    <row r="1280" spans="1:9" x14ac:dyDescent="0.25">
      <c r="A1280" t="s">
        <v>32</v>
      </c>
      <c r="B1280" t="s">
        <v>40</v>
      </c>
      <c r="C1280" t="s">
        <v>34</v>
      </c>
      <c r="D1280" t="s">
        <v>13</v>
      </c>
      <c r="E1280" t="s">
        <v>14</v>
      </c>
      <c r="F1280" t="s">
        <v>15</v>
      </c>
      <c r="G1280" t="s">
        <v>15</v>
      </c>
      <c r="H1280" t="s">
        <v>15</v>
      </c>
      <c r="I1280" s="1">
        <v>231850300</v>
      </c>
    </row>
    <row r="1281" spans="1:9" x14ac:dyDescent="0.25">
      <c r="A1281" t="s">
        <v>32</v>
      </c>
      <c r="B1281" t="s">
        <v>41</v>
      </c>
      <c r="C1281" t="s">
        <v>20</v>
      </c>
      <c r="D1281" t="s">
        <v>13</v>
      </c>
      <c r="E1281" t="s">
        <v>14</v>
      </c>
      <c r="F1281" t="s">
        <v>15</v>
      </c>
      <c r="G1281" t="s">
        <v>15</v>
      </c>
      <c r="H1281" t="s">
        <v>15</v>
      </c>
      <c r="I1281" s="1">
        <v>1689923300</v>
      </c>
    </row>
    <row r="1282" spans="1:9" x14ac:dyDescent="0.25">
      <c r="A1282" t="str">
        <f>"28002"</f>
        <v>28002</v>
      </c>
      <c r="B1282" t="s">
        <v>11</v>
      </c>
      <c r="C1282" t="s">
        <v>603</v>
      </c>
      <c r="D1282" t="s">
        <v>13</v>
      </c>
      <c r="E1282" t="s">
        <v>14</v>
      </c>
      <c r="F1282" t="s">
        <v>15</v>
      </c>
      <c r="G1282" t="s">
        <v>15</v>
      </c>
      <c r="H1282" t="s">
        <v>15</v>
      </c>
      <c r="I1282" s="1">
        <v>152625300</v>
      </c>
    </row>
    <row r="1283" spans="1:9" x14ac:dyDescent="0.25">
      <c r="A1283" t="str">
        <f>"28004"</f>
        <v>28004</v>
      </c>
      <c r="B1283" t="s">
        <v>11</v>
      </c>
      <c r="C1283" t="s">
        <v>604</v>
      </c>
      <c r="D1283" t="s">
        <v>13</v>
      </c>
      <c r="E1283" t="s">
        <v>14</v>
      </c>
      <c r="F1283" t="s">
        <v>15</v>
      </c>
      <c r="G1283" t="s">
        <v>15</v>
      </c>
      <c r="H1283" t="s">
        <v>15</v>
      </c>
      <c r="I1283" s="1">
        <v>81130200</v>
      </c>
    </row>
    <row r="1284" spans="1:9" x14ac:dyDescent="0.25">
      <c r="A1284" t="str">
        <f>"28006"</f>
        <v>28006</v>
      </c>
      <c r="B1284" t="s">
        <v>11</v>
      </c>
      <c r="C1284" t="s">
        <v>605</v>
      </c>
      <c r="D1284" t="s">
        <v>13</v>
      </c>
      <c r="E1284" t="s">
        <v>14</v>
      </c>
      <c r="F1284" t="s">
        <v>15</v>
      </c>
      <c r="G1284" t="s">
        <v>15</v>
      </c>
      <c r="H1284" t="s">
        <v>15</v>
      </c>
      <c r="I1284" s="1">
        <v>204098500</v>
      </c>
    </row>
    <row r="1285" spans="1:9" x14ac:dyDescent="0.25">
      <c r="A1285" t="str">
        <f>"28008"</f>
        <v>28008</v>
      </c>
      <c r="B1285" t="s">
        <v>11</v>
      </c>
      <c r="C1285" t="s">
        <v>606</v>
      </c>
      <c r="D1285" t="s">
        <v>13</v>
      </c>
      <c r="E1285" t="s">
        <v>14</v>
      </c>
      <c r="F1285" t="s">
        <v>15</v>
      </c>
      <c r="G1285" t="s">
        <v>15</v>
      </c>
      <c r="H1285" t="s">
        <v>15</v>
      </c>
      <c r="I1285" s="1">
        <v>144133600</v>
      </c>
    </row>
    <row r="1286" spans="1:9" x14ac:dyDescent="0.25">
      <c r="A1286" t="str">
        <f>"28010"</f>
        <v>28010</v>
      </c>
      <c r="B1286" t="s">
        <v>11</v>
      </c>
      <c r="C1286" t="s">
        <v>607</v>
      </c>
      <c r="D1286" t="s">
        <v>13</v>
      </c>
      <c r="E1286" t="s">
        <v>14</v>
      </c>
      <c r="F1286" t="s">
        <v>15</v>
      </c>
      <c r="G1286" t="s">
        <v>15</v>
      </c>
      <c r="H1286" t="s">
        <v>15</v>
      </c>
      <c r="I1286" s="1">
        <v>115479200</v>
      </c>
    </row>
    <row r="1287" spans="1:9" x14ac:dyDescent="0.25">
      <c r="A1287" t="str">
        <f>"28012"</f>
        <v>28012</v>
      </c>
      <c r="B1287" t="s">
        <v>11</v>
      </c>
      <c r="C1287" t="s">
        <v>608</v>
      </c>
      <c r="D1287" t="s">
        <v>13</v>
      </c>
      <c r="E1287" t="s">
        <v>14</v>
      </c>
      <c r="F1287" t="s">
        <v>15</v>
      </c>
      <c r="G1287" t="s">
        <v>15</v>
      </c>
      <c r="H1287" t="s">
        <v>15</v>
      </c>
      <c r="I1287" s="1">
        <v>523708100</v>
      </c>
    </row>
    <row r="1288" spans="1:9" x14ac:dyDescent="0.25">
      <c r="A1288" t="str">
        <f>"28014"</f>
        <v>28014</v>
      </c>
      <c r="B1288" t="s">
        <v>11</v>
      </c>
      <c r="C1288" t="s">
        <v>537</v>
      </c>
      <c r="D1288" t="s">
        <v>13</v>
      </c>
      <c r="E1288" t="s">
        <v>14</v>
      </c>
      <c r="F1288" t="s">
        <v>15</v>
      </c>
      <c r="G1288" t="s">
        <v>15</v>
      </c>
      <c r="H1288" t="s">
        <v>15</v>
      </c>
      <c r="I1288" s="1">
        <v>218791000</v>
      </c>
    </row>
    <row r="1289" spans="1:9" x14ac:dyDescent="0.25">
      <c r="A1289" t="str">
        <f>"28016"</f>
        <v>28016</v>
      </c>
      <c r="B1289" t="s">
        <v>11</v>
      </c>
      <c r="C1289" t="s">
        <v>609</v>
      </c>
      <c r="D1289" t="s">
        <v>13</v>
      </c>
      <c r="E1289" t="s">
        <v>14</v>
      </c>
      <c r="F1289" t="s">
        <v>15</v>
      </c>
      <c r="G1289" t="s">
        <v>15</v>
      </c>
      <c r="H1289" t="s">
        <v>15</v>
      </c>
      <c r="I1289" s="1">
        <v>428515200</v>
      </c>
    </row>
    <row r="1290" spans="1:9" x14ac:dyDescent="0.25">
      <c r="A1290" t="str">
        <f>"28018"</f>
        <v>28018</v>
      </c>
      <c r="B1290" t="s">
        <v>11</v>
      </c>
      <c r="C1290" t="s">
        <v>610</v>
      </c>
      <c r="D1290" t="s">
        <v>13</v>
      </c>
      <c r="E1290" t="s">
        <v>14</v>
      </c>
      <c r="F1290" t="s">
        <v>15</v>
      </c>
      <c r="G1290" t="s">
        <v>15</v>
      </c>
      <c r="H1290" t="s">
        <v>15</v>
      </c>
      <c r="I1290" s="1">
        <v>352996700</v>
      </c>
    </row>
    <row r="1291" spans="1:9" x14ac:dyDescent="0.25">
      <c r="A1291" t="str">
        <f>"28020"</f>
        <v>28020</v>
      </c>
      <c r="B1291" t="s">
        <v>11</v>
      </c>
      <c r="C1291" t="s">
        <v>611</v>
      </c>
      <c r="D1291" t="s">
        <v>13</v>
      </c>
      <c r="E1291" t="s">
        <v>14</v>
      </c>
      <c r="F1291" t="s">
        <v>15</v>
      </c>
      <c r="G1291" t="s">
        <v>15</v>
      </c>
      <c r="H1291" t="s">
        <v>15</v>
      </c>
      <c r="I1291" s="1">
        <v>125696300</v>
      </c>
    </row>
    <row r="1292" spans="1:9" x14ac:dyDescent="0.25">
      <c r="A1292" t="str">
        <f>"28022"</f>
        <v>28022</v>
      </c>
      <c r="B1292" t="s">
        <v>11</v>
      </c>
      <c r="C1292" t="s">
        <v>158</v>
      </c>
      <c r="D1292" t="s">
        <v>13</v>
      </c>
      <c r="E1292" t="s">
        <v>14</v>
      </c>
      <c r="F1292" t="s">
        <v>15</v>
      </c>
      <c r="G1292" t="s">
        <v>15</v>
      </c>
      <c r="H1292" t="s">
        <v>15</v>
      </c>
      <c r="I1292" s="1">
        <v>411540300</v>
      </c>
    </row>
    <row r="1293" spans="1:9" x14ac:dyDescent="0.25">
      <c r="A1293" t="str">
        <f>"28024"</f>
        <v>28024</v>
      </c>
      <c r="B1293" t="s">
        <v>11</v>
      </c>
      <c r="C1293" t="s">
        <v>612</v>
      </c>
      <c r="D1293" t="s">
        <v>13</v>
      </c>
      <c r="E1293" t="s">
        <v>14</v>
      </c>
      <c r="F1293" t="s">
        <v>15</v>
      </c>
      <c r="G1293" t="s">
        <v>15</v>
      </c>
      <c r="H1293" t="s">
        <v>15</v>
      </c>
      <c r="I1293" s="1">
        <v>222412100</v>
      </c>
    </row>
    <row r="1294" spans="1:9" x14ac:dyDescent="0.25">
      <c r="A1294" t="str">
        <f>"28026"</f>
        <v>28026</v>
      </c>
      <c r="B1294" t="s">
        <v>11</v>
      </c>
      <c r="C1294" t="s">
        <v>613</v>
      </c>
      <c r="D1294" t="s">
        <v>13</v>
      </c>
      <c r="E1294" t="s">
        <v>14</v>
      </c>
      <c r="F1294" t="s">
        <v>15</v>
      </c>
      <c r="G1294" t="s">
        <v>15</v>
      </c>
      <c r="H1294" t="s">
        <v>15</v>
      </c>
      <c r="I1294" s="1">
        <v>217793100</v>
      </c>
    </row>
    <row r="1295" spans="1:9" x14ac:dyDescent="0.25">
      <c r="A1295" t="str">
        <f>"28028"</f>
        <v>28028</v>
      </c>
      <c r="B1295" t="s">
        <v>11</v>
      </c>
      <c r="C1295" t="s">
        <v>79</v>
      </c>
      <c r="D1295" t="s">
        <v>13</v>
      </c>
      <c r="E1295" t="s">
        <v>14</v>
      </c>
      <c r="F1295" t="s">
        <v>15</v>
      </c>
      <c r="G1295" t="s">
        <v>15</v>
      </c>
      <c r="H1295" t="s">
        <v>15</v>
      </c>
      <c r="I1295" s="1">
        <v>128222400</v>
      </c>
    </row>
    <row r="1296" spans="1:9" x14ac:dyDescent="0.25">
      <c r="A1296" t="str">
        <f>"28030"</f>
        <v>28030</v>
      </c>
      <c r="B1296" t="s">
        <v>11</v>
      </c>
      <c r="C1296" t="s">
        <v>519</v>
      </c>
      <c r="D1296" t="s">
        <v>13</v>
      </c>
      <c r="E1296" t="s">
        <v>14</v>
      </c>
      <c r="F1296" t="s">
        <v>15</v>
      </c>
      <c r="G1296" t="s">
        <v>15</v>
      </c>
      <c r="H1296" t="s">
        <v>15</v>
      </c>
      <c r="I1296" s="1">
        <v>95101800</v>
      </c>
    </row>
    <row r="1297" spans="1:9" x14ac:dyDescent="0.25">
      <c r="A1297" t="str">
        <f>"28032"</f>
        <v>28032</v>
      </c>
      <c r="B1297" t="s">
        <v>11</v>
      </c>
      <c r="C1297" t="s">
        <v>378</v>
      </c>
      <c r="D1297" t="s">
        <v>13</v>
      </c>
      <c r="E1297" t="s">
        <v>14</v>
      </c>
      <c r="F1297" t="s">
        <v>15</v>
      </c>
      <c r="G1297" t="s">
        <v>15</v>
      </c>
      <c r="H1297" t="s">
        <v>15</v>
      </c>
      <c r="I1297" s="1">
        <v>208046100</v>
      </c>
    </row>
    <row r="1298" spans="1:9" x14ac:dyDescent="0.25">
      <c r="A1298" t="s">
        <v>32</v>
      </c>
      <c r="B1298" t="s">
        <v>33</v>
      </c>
      <c r="C1298" t="s">
        <v>34</v>
      </c>
      <c r="D1298" t="s">
        <v>13</v>
      </c>
      <c r="E1298" t="s">
        <v>14</v>
      </c>
      <c r="F1298" t="s">
        <v>15</v>
      </c>
      <c r="G1298" t="s">
        <v>15</v>
      </c>
      <c r="H1298" t="s">
        <v>15</v>
      </c>
      <c r="I1298" s="1">
        <v>3630289900</v>
      </c>
    </row>
    <row r="1299" spans="1:9" x14ac:dyDescent="0.25">
      <c r="A1299" t="str">
        <f>"28111"</f>
        <v>28111</v>
      </c>
      <c r="B1299" t="s">
        <v>35</v>
      </c>
      <c r="C1299" t="s">
        <v>335</v>
      </c>
      <c r="D1299" t="s">
        <v>13</v>
      </c>
      <c r="E1299" t="s">
        <v>14</v>
      </c>
      <c r="F1299" t="s">
        <v>15</v>
      </c>
      <c r="G1299" t="s">
        <v>15</v>
      </c>
      <c r="H1299" t="s">
        <v>15</v>
      </c>
      <c r="I1299" s="1">
        <v>6423000</v>
      </c>
    </row>
    <row r="1300" spans="1:9" x14ac:dyDescent="0.25">
      <c r="A1300" t="str">
        <f>"28141"</f>
        <v>28141</v>
      </c>
      <c r="B1300" t="s">
        <v>35</v>
      </c>
      <c r="C1300" t="s">
        <v>614</v>
      </c>
      <c r="D1300" t="str">
        <f>"002"</f>
        <v>002</v>
      </c>
      <c r="E1300">
        <v>1994</v>
      </c>
      <c r="F1300">
        <v>11378800</v>
      </c>
      <c r="G1300">
        <v>78644000</v>
      </c>
      <c r="H1300">
        <v>67265200</v>
      </c>
    </row>
    <row r="1301" spans="1:9" x14ac:dyDescent="0.25">
      <c r="A1301" t="str">
        <f>"28141"</f>
        <v>28141</v>
      </c>
      <c r="B1301" t="s">
        <v>35</v>
      </c>
      <c r="C1301" t="s">
        <v>614</v>
      </c>
      <c r="D1301" t="str">
        <f>"003"</f>
        <v>003</v>
      </c>
      <c r="E1301">
        <v>1995</v>
      </c>
      <c r="F1301">
        <v>701400</v>
      </c>
      <c r="G1301">
        <v>64386600</v>
      </c>
      <c r="H1301">
        <v>63685200</v>
      </c>
    </row>
    <row r="1302" spans="1:9" x14ac:dyDescent="0.25">
      <c r="A1302" t="str">
        <f>"28141"</f>
        <v>28141</v>
      </c>
      <c r="B1302" t="s">
        <v>35</v>
      </c>
      <c r="C1302" t="s">
        <v>614</v>
      </c>
      <c r="D1302" t="s">
        <v>13</v>
      </c>
      <c r="E1302" t="s">
        <v>14</v>
      </c>
      <c r="F1302" t="s">
        <v>15</v>
      </c>
      <c r="G1302" t="s">
        <v>15</v>
      </c>
      <c r="H1302" t="s">
        <v>15</v>
      </c>
      <c r="I1302" s="1">
        <v>241756500</v>
      </c>
    </row>
    <row r="1303" spans="1:9" x14ac:dyDescent="0.25">
      <c r="A1303" t="str">
        <f>"28146"</f>
        <v>28146</v>
      </c>
      <c r="B1303" t="s">
        <v>35</v>
      </c>
      <c r="C1303" t="s">
        <v>615</v>
      </c>
      <c r="D1303" t="s">
        <v>13</v>
      </c>
      <c r="E1303" t="s">
        <v>14</v>
      </c>
      <c r="F1303" t="s">
        <v>15</v>
      </c>
      <c r="G1303" t="s">
        <v>15</v>
      </c>
      <c r="H1303" t="s">
        <v>15</v>
      </c>
      <c r="I1303" s="1">
        <v>415000</v>
      </c>
    </row>
    <row r="1304" spans="1:9" x14ac:dyDescent="0.25">
      <c r="A1304" t="str">
        <f>"28171"</f>
        <v>28171</v>
      </c>
      <c r="B1304" t="s">
        <v>35</v>
      </c>
      <c r="C1304" t="s">
        <v>612</v>
      </c>
      <c r="D1304" t="str">
        <f>"003"</f>
        <v>003</v>
      </c>
      <c r="E1304">
        <v>2006</v>
      </c>
      <c r="F1304">
        <v>442200</v>
      </c>
      <c r="G1304">
        <v>9976000</v>
      </c>
      <c r="H1304">
        <v>9533800</v>
      </c>
    </row>
    <row r="1305" spans="1:9" x14ac:dyDescent="0.25">
      <c r="A1305" t="str">
        <f>"28171"</f>
        <v>28171</v>
      </c>
      <c r="B1305" t="s">
        <v>35</v>
      </c>
      <c r="C1305" t="s">
        <v>612</v>
      </c>
      <c r="D1305" t="s">
        <v>13</v>
      </c>
      <c r="E1305" t="s">
        <v>14</v>
      </c>
      <c r="F1305" t="s">
        <v>15</v>
      </c>
      <c r="G1305" t="s">
        <v>15</v>
      </c>
      <c r="H1305" t="s">
        <v>15</v>
      </c>
      <c r="I1305" s="1">
        <v>120297000</v>
      </c>
    </row>
    <row r="1306" spans="1:9" x14ac:dyDescent="0.25">
      <c r="A1306" t="str">
        <f>"28181"</f>
        <v>28181</v>
      </c>
      <c r="B1306" t="s">
        <v>35</v>
      </c>
      <c r="C1306" t="s">
        <v>613</v>
      </c>
      <c r="D1306" t="s">
        <v>13</v>
      </c>
      <c r="E1306" t="s">
        <v>14</v>
      </c>
      <c r="F1306" t="s">
        <v>15</v>
      </c>
      <c r="G1306" t="s">
        <v>15</v>
      </c>
      <c r="H1306" t="s">
        <v>15</v>
      </c>
      <c r="I1306" s="1">
        <v>49843500</v>
      </c>
    </row>
    <row r="1307" spans="1:9" x14ac:dyDescent="0.25">
      <c r="A1307" t="s">
        <v>32</v>
      </c>
      <c r="B1307" t="s">
        <v>37</v>
      </c>
      <c r="C1307" t="s">
        <v>34</v>
      </c>
      <c r="D1307" t="s">
        <v>13</v>
      </c>
      <c r="E1307" t="s">
        <v>14</v>
      </c>
      <c r="F1307" t="s">
        <v>15</v>
      </c>
      <c r="G1307" t="s">
        <v>15</v>
      </c>
      <c r="H1307" t="s">
        <v>15</v>
      </c>
      <c r="I1307" s="1">
        <v>418735000</v>
      </c>
    </row>
    <row r="1308" spans="1:9" x14ac:dyDescent="0.25">
      <c r="A1308" t="str">
        <f>"28226"</f>
        <v>28226</v>
      </c>
      <c r="B1308" t="s">
        <v>38</v>
      </c>
      <c r="C1308" t="s">
        <v>616</v>
      </c>
      <c r="D1308" t="str">
        <f>"006"</f>
        <v>006</v>
      </c>
      <c r="E1308">
        <v>2000</v>
      </c>
      <c r="F1308">
        <v>1135400</v>
      </c>
      <c r="G1308">
        <v>6780500</v>
      </c>
      <c r="H1308">
        <v>5645100</v>
      </c>
    </row>
    <row r="1309" spans="1:9" x14ac:dyDescent="0.25">
      <c r="A1309" t="str">
        <f>"28226"</f>
        <v>28226</v>
      </c>
      <c r="B1309" t="s">
        <v>38</v>
      </c>
      <c r="C1309" t="s">
        <v>616</v>
      </c>
      <c r="D1309" t="str">
        <f>"007"</f>
        <v>007</v>
      </c>
      <c r="E1309">
        <v>2000</v>
      </c>
      <c r="F1309">
        <v>11587900</v>
      </c>
      <c r="G1309">
        <v>29044000</v>
      </c>
      <c r="H1309">
        <v>17456100</v>
      </c>
    </row>
    <row r="1310" spans="1:9" x14ac:dyDescent="0.25">
      <c r="A1310" t="str">
        <f>"28226"</f>
        <v>28226</v>
      </c>
      <c r="B1310" t="s">
        <v>38</v>
      </c>
      <c r="C1310" t="s">
        <v>616</v>
      </c>
      <c r="D1310" t="str">
        <f>"008"</f>
        <v>008</v>
      </c>
      <c r="E1310">
        <v>2009</v>
      </c>
      <c r="F1310">
        <v>28584200</v>
      </c>
      <c r="G1310">
        <v>55421600</v>
      </c>
      <c r="H1310">
        <v>26837400</v>
      </c>
    </row>
    <row r="1311" spans="1:9" x14ac:dyDescent="0.25">
      <c r="A1311" t="str">
        <f>"28226"</f>
        <v>28226</v>
      </c>
      <c r="B1311" t="s">
        <v>38</v>
      </c>
      <c r="C1311" t="s">
        <v>616</v>
      </c>
      <c r="D1311" t="s">
        <v>13</v>
      </c>
      <c r="E1311" t="s">
        <v>14</v>
      </c>
      <c r="F1311" t="s">
        <v>15</v>
      </c>
      <c r="G1311" t="s">
        <v>15</v>
      </c>
      <c r="H1311" t="s">
        <v>15</v>
      </c>
      <c r="I1311" s="1">
        <v>944362000</v>
      </c>
    </row>
    <row r="1312" spans="1:9" x14ac:dyDescent="0.25">
      <c r="A1312" t="str">
        <f t="shared" ref="A1312:A1317" si="23">"28241"</f>
        <v>28241</v>
      </c>
      <c r="B1312" t="s">
        <v>38</v>
      </c>
      <c r="C1312" t="s">
        <v>537</v>
      </c>
      <c r="D1312" t="str">
        <f>"004"</f>
        <v>004</v>
      </c>
      <c r="E1312">
        <v>2000</v>
      </c>
      <c r="F1312">
        <v>0</v>
      </c>
      <c r="G1312">
        <v>1626800</v>
      </c>
      <c r="H1312">
        <v>1626800</v>
      </c>
    </row>
    <row r="1313" spans="1:9" x14ac:dyDescent="0.25">
      <c r="A1313" t="str">
        <f t="shared" si="23"/>
        <v>28241</v>
      </c>
      <c r="B1313" t="s">
        <v>38</v>
      </c>
      <c r="C1313" t="s">
        <v>537</v>
      </c>
      <c r="D1313" t="str">
        <f>"005"</f>
        <v>005</v>
      </c>
      <c r="E1313">
        <v>2001</v>
      </c>
      <c r="F1313">
        <v>21437300</v>
      </c>
      <c r="G1313">
        <v>32552600</v>
      </c>
      <c r="H1313">
        <v>11115300</v>
      </c>
    </row>
    <row r="1314" spans="1:9" x14ac:dyDescent="0.25">
      <c r="A1314" t="str">
        <f t="shared" si="23"/>
        <v>28241</v>
      </c>
      <c r="B1314" t="s">
        <v>38</v>
      </c>
      <c r="C1314" t="s">
        <v>537</v>
      </c>
      <c r="D1314" t="str">
        <f>"006"</f>
        <v>006</v>
      </c>
      <c r="E1314">
        <v>2009</v>
      </c>
      <c r="F1314">
        <v>0</v>
      </c>
      <c r="G1314">
        <v>7673200</v>
      </c>
      <c r="H1314">
        <v>7673200</v>
      </c>
    </row>
    <row r="1315" spans="1:9" x14ac:dyDescent="0.25">
      <c r="A1315" t="str">
        <f t="shared" si="23"/>
        <v>28241</v>
      </c>
      <c r="B1315" t="s">
        <v>38</v>
      </c>
      <c r="C1315" t="s">
        <v>537</v>
      </c>
      <c r="D1315" t="str">
        <f>"007"</f>
        <v>007</v>
      </c>
      <c r="E1315">
        <v>2012</v>
      </c>
      <c r="F1315">
        <v>18200</v>
      </c>
      <c r="G1315">
        <v>10370900</v>
      </c>
      <c r="H1315">
        <v>10352700</v>
      </c>
    </row>
    <row r="1316" spans="1:9" x14ac:dyDescent="0.25">
      <c r="A1316" t="str">
        <f t="shared" si="23"/>
        <v>28241</v>
      </c>
      <c r="B1316" t="s">
        <v>38</v>
      </c>
      <c r="C1316" t="s">
        <v>537</v>
      </c>
      <c r="D1316" t="str">
        <f>"008"</f>
        <v>008</v>
      </c>
      <c r="E1316">
        <v>2015</v>
      </c>
      <c r="F1316">
        <v>873200</v>
      </c>
      <c r="G1316">
        <v>1596200</v>
      </c>
      <c r="H1316">
        <v>723000</v>
      </c>
    </row>
    <row r="1317" spans="1:9" x14ac:dyDescent="0.25">
      <c r="A1317" t="str">
        <f t="shared" si="23"/>
        <v>28241</v>
      </c>
      <c r="B1317" t="s">
        <v>38</v>
      </c>
      <c r="C1317" t="s">
        <v>537</v>
      </c>
      <c r="D1317" t="s">
        <v>13</v>
      </c>
      <c r="E1317" t="s">
        <v>14</v>
      </c>
      <c r="F1317" t="s">
        <v>15</v>
      </c>
      <c r="G1317" t="s">
        <v>15</v>
      </c>
      <c r="H1317" t="s">
        <v>15</v>
      </c>
      <c r="I1317" s="1">
        <v>541643000</v>
      </c>
    </row>
    <row r="1318" spans="1:9" x14ac:dyDescent="0.25">
      <c r="A1318" t="str">
        <f t="shared" ref="A1318:A1323" si="24">"28246"</f>
        <v>28246</v>
      </c>
      <c r="B1318" t="s">
        <v>38</v>
      </c>
      <c r="C1318" t="s">
        <v>610</v>
      </c>
      <c r="D1318" t="str">
        <f>"002"</f>
        <v>002</v>
      </c>
      <c r="E1318">
        <v>1998</v>
      </c>
      <c r="F1318">
        <v>11445700</v>
      </c>
      <c r="G1318">
        <v>30196300</v>
      </c>
      <c r="H1318">
        <v>18750600</v>
      </c>
    </row>
    <row r="1319" spans="1:9" x14ac:dyDescent="0.25">
      <c r="A1319" t="str">
        <f t="shared" si="24"/>
        <v>28246</v>
      </c>
      <c r="B1319" t="s">
        <v>38</v>
      </c>
      <c r="C1319" t="s">
        <v>610</v>
      </c>
      <c r="D1319" t="str">
        <f>"003"</f>
        <v>003</v>
      </c>
      <c r="E1319">
        <v>2006</v>
      </c>
      <c r="F1319">
        <v>6993800</v>
      </c>
      <c r="G1319">
        <v>11551200</v>
      </c>
      <c r="H1319">
        <v>4557400</v>
      </c>
    </row>
    <row r="1320" spans="1:9" x14ac:dyDescent="0.25">
      <c r="A1320" t="str">
        <f t="shared" si="24"/>
        <v>28246</v>
      </c>
      <c r="B1320" t="s">
        <v>38</v>
      </c>
      <c r="C1320" t="s">
        <v>610</v>
      </c>
      <c r="D1320" t="str">
        <f>"004"</f>
        <v>004</v>
      </c>
      <c r="E1320">
        <v>2006</v>
      </c>
      <c r="F1320">
        <v>8565400</v>
      </c>
      <c r="G1320">
        <v>25673200</v>
      </c>
      <c r="H1320">
        <v>17107800</v>
      </c>
    </row>
    <row r="1321" spans="1:9" x14ac:dyDescent="0.25">
      <c r="A1321" t="str">
        <f t="shared" si="24"/>
        <v>28246</v>
      </c>
      <c r="B1321" t="s">
        <v>38</v>
      </c>
      <c r="C1321" t="s">
        <v>610</v>
      </c>
      <c r="D1321" t="str">
        <f>"005"</f>
        <v>005</v>
      </c>
      <c r="E1321">
        <v>2014</v>
      </c>
      <c r="F1321">
        <v>5932900</v>
      </c>
      <c r="G1321">
        <v>4367000</v>
      </c>
      <c r="H1321">
        <v>0</v>
      </c>
    </row>
    <row r="1322" spans="1:9" x14ac:dyDescent="0.25">
      <c r="A1322" t="str">
        <f t="shared" si="24"/>
        <v>28246</v>
      </c>
      <c r="B1322" t="s">
        <v>38</v>
      </c>
      <c r="C1322" t="s">
        <v>610</v>
      </c>
      <c r="D1322" t="str">
        <f>"006"</f>
        <v>006</v>
      </c>
      <c r="E1322">
        <v>2014</v>
      </c>
      <c r="F1322">
        <v>3312200</v>
      </c>
      <c r="G1322">
        <v>3150600</v>
      </c>
      <c r="H1322">
        <v>0</v>
      </c>
    </row>
    <row r="1323" spans="1:9" x14ac:dyDescent="0.25">
      <c r="A1323" t="str">
        <f t="shared" si="24"/>
        <v>28246</v>
      </c>
      <c r="B1323" t="s">
        <v>38</v>
      </c>
      <c r="C1323" t="s">
        <v>610</v>
      </c>
      <c r="D1323" t="s">
        <v>13</v>
      </c>
      <c r="E1323" t="s">
        <v>14</v>
      </c>
      <c r="F1323" t="s">
        <v>15</v>
      </c>
      <c r="G1323" t="s">
        <v>15</v>
      </c>
      <c r="H1323" t="s">
        <v>15</v>
      </c>
      <c r="I1323" s="1">
        <v>560302900</v>
      </c>
    </row>
    <row r="1324" spans="1:9" x14ac:dyDescent="0.25">
      <c r="A1324" t="str">
        <f>"28290"</f>
        <v>28290</v>
      </c>
      <c r="B1324" t="s">
        <v>38</v>
      </c>
      <c r="C1324" t="s">
        <v>519</v>
      </c>
      <c r="D1324" t="str">
        <f>"002"</f>
        <v>002</v>
      </c>
      <c r="E1324">
        <v>2011</v>
      </c>
      <c r="F1324">
        <v>7158000</v>
      </c>
      <c r="G1324">
        <v>9300700</v>
      </c>
      <c r="H1324">
        <v>2142700</v>
      </c>
    </row>
    <row r="1325" spans="1:9" x14ac:dyDescent="0.25">
      <c r="A1325" t="str">
        <f>"28290"</f>
        <v>28290</v>
      </c>
      <c r="B1325" t="s">
        <v>38</v>
      </c>
      <c r="C1325" t="s">
        <v>519</v>
      </c>
      <c r="D1325" t="str">
        <f>"003"</f>
        <v>003</v>
      </c>
      <c r="E1325">
        <v>2012</v>
      </c>
      <c r="F1325">
        <v>1583100</v>
      </c>
      <c r="G1325">
        <v>5311000</v>
      </c>
      <c r="H1325">
        <v>3727900</v>
      </c>
    </row>
    <row r="1326" spans="1:9" x14ac:dyDescent="0.25">
      <c r="A1326" t="str">
        <f>"28290"</f>
        <v>28290</v>
      </c>
      <c r="B1326" t="s">
        <v>38</v>
      </c>
      <c r="C1326" t="s">
        <v>519</v>
      </c>
      <c r="D1326" t="str">
        <f>"004"</f>
        <v>004</v>
      </c>
      <c r="E1326">
        <v>2014</v>
      </c>
      <c r="F1326">
        <v>2320100</v>
      </c>
      <c r="G1326">
        <v>3402600</v>
      </c>
      <c r="H1326">
        <v>1082500</v>
      </c>
    </row>
    <row r="1327" spans="1:9" x14ac:dyDescent="0.25">
      <c r="A1327" t="str">
        <f>"28290"</f>
        <v>28290</v>
      </c>
      <c r="B1327" t="s">
        <v>38</v>
      </c>
      <c r="C1327" t="s">
        <v>519</v>
      </c>
      <c r="D1327" t="s">
        <v>13</v>
      </c>
      <c r="E1327" t="s">
        <v>14</v>
      </c>
      <c r="F1327" t="s">
        <v>15</v>
      </c>
      <c r="G1327" t="s">
        <v>15</v>
      </c>
      <c r="H1327" t="s">
        <v>15</v>
      </c>
      <c r="I1327" s="1">
        <v>227226100</v>
      </c>
    </row>
    <row r="1328" spans="1:9" x14ac:dyDescent="0.25">
      <c r="A1328" t="str">
        <f>"28291"</f>
        <v>28291</v>
      </c>
      <c r="B1328" t="s">
        <v>38</v>
      </c>
      <c r="C1328" t="s">
        <v>378</v>
      </c>
      <c r="D1328" t="str">
        <f>"004"</f>
        <v>004</v>
      </c>
      <c r="E1328">
        <v>2005</v>
      </c>
      <c r="F1328">
        <v>1047600</v>
      </c>
      <c r="G1328">
        <v>36776800</v>
      </c>
      <c r="H1328">
        <v>35729200</v>
      </c>
    </row>
    <row r="1329" spans="1:9" x14ac:dyDescent="0.25">
      <c r="A1329" t="str">
        <f>"28291"</f>
        <v>28291</v>
      </c>
      <c r="B1329" t="s">
        <v>38</v>
      </c>
      <c r="C1329" t="s">
        <v>378</v>
      </c>
      <c r="D1329" t="str">
        <f>"005"</f>
        <v>005</v>
      </c>
      <c r="E1329">
        <v>2005</v>
      </c>
      <c r="F1329">
        <v>39631000</v>
      </c>
      <c r="G1329">
        <v>61476100</v>
      </c>
      <c r="H1329">
        <v>21845100</v>
      </c>
    </row>
    <row r="1330" spans="1:9" x14ac:dyDescent="0.25">
      <c r="A1330" t="str">
        <f>"28291"</f>
        <v>28291</v>
      </c>
      <c r="B1330" t="s">
        <v>38</v>
      </c>
      <c r="C1330" t="s">
        <v>378</v>
      </c>
      <c r="D1330" t="str">
        <f>"006"</f>
        <v>006</v>
      </c>
      <c r="E1330">
        <v>2005</v>
      </c>
      <c r="F1330">
        <v>225800</v>
      </c>
      <c r="G1330">
        <v>3424100</v>
      </c>
      <c r="H1330">
        <v>3198300</v>
      </c>
    </row>
    <row r="1331" spans="1:9" x14ac:dyDescent="0.25">
      <c r="A1331" t="str">
        <f>"28291"</f>
        <v>28291</v>
      </c>
      <c r="B1331" t="s">
        <v>38</v>
      </c>
      <c r="C1331" t="s">
        <v>378</v>
      </c>
      <c r="D1331" t="str">
        <f>"007"</f>
        <v>007</v>
      </c>
      <c r="E1331">
        <v>2016</v>
      </c>
      <c r="F1331">
        <v>42443600</v>
      </c>
      <c r="G1331">
        <v>44816000</v>
      </c>
      <c r="H1331">
        <v>2372400</v>
      </c>
    </row>
    <row r="1332" spans="1:9" x14ac:dyDescent="0.25">
      <c r="A1332" t="str">
        <f>"28291"</f>
        <v>28291</v>
      </c>
      <c r="B1332" t="s">
        <v>38</v>
      </c>
      <c r="C1332" t="s">
        <v>378</v>
      </c>
      <c r="D1332" t="s">
        <v>13</v>
      </c>
      <c r="E1332" t="s">
        <v>14</v>
      </c>
      <c r="F1332" t="s">
        <v>15</v>
      </c>
      <c r="G1332" t="s">
        <v>15</v>
      </c>
      <c r="H1332" t="s">
        <v>15</v>
      </c>
      <c r="I1332" s="1">
        <v>985361900</v>
      </c>
    </row>
    <row r="1333" spans="1:9" x14ac:dyDescent="0.25">
      <c r="A1333" t="str">
        <f>"28292"</f>
        <v>28292</v>
      </c>
      <c r="B1333" t="s">
        <v>38</v>
      </c>
      <c r="C1333" t="s">
        <v>617</v>
      </c>
      <c r="D1333" t="str">
        <f>"004"</f>
        <v>004</v>
      </c>
      <c r="E1333">
        <v>1990</v>
      </c>
      <c r="F1333">
        <v>968200</v>
      </c>
      <c r="G1333">
        <v>30932400</v>
      </c>
      <c r="H1333">
        <v>29964200</v>
      </c>
    </row>
    <row r="1334" spans="1:9" x14ac:dyDescent="0.25">
      <c r="A1334" t="str">
        <f>"28292"</f>
        <v>28292</v>
      </c>
      <c r="B1334" t="s">
        <v>38</v>
      </c>
      <c r="C1334" t="s">
        <v>617</v>
      </c>
      <c r="D1334" t="str">
        <f>"005"</f>
        <v>005</v>
      </c>
      <c r="E1334">
        <v>2007</v>
      </c>
      <c r="F1334">
        <v>14500</v>
      </c>
      <c r="G1334">
        <v>13900</v>
      </c>
      <c r="H1334">
        <v>0</v>
      </c>
    </row>
    <row r="1335" spans="1:9" x14ac:dyDescent="0.25">
      <c r="A1335" t="str">
        <f>"28292"</f>
        <v>28292</v>
      </c>
      <c r="B1335" t="s">
        <v>38</v>
      </c>
      <c r="C1335" t="s">
        <v>617</v>
      </c>
      <c r="D1335" t="str">
        <f>"008"</f>
        <v>008</v>
      </c>
      <c r="E1335">
        <v>2007</v>
      </c>
      <c r="F1335">
        <v>503700</v>
      </c>
      <c r="G1335">
        <v>575100</v>
      </c>
      <c r="H1335">
        <v>71400</v>
      </c>
    </row>
    <row r="1336" spans="1:9" x14ac:dyDescent="0.25">
      <c r="A1336" t="str">
        <f>"28292"</f>
        <v>28292</v>
      </c>
      <c r="B1336" t="s">
        <v>38</v>
      </c>
      <c r="C1336" t="s">
        <v>617</v>
      </c>
      <c r="D1336" t="s">
        <v>13</v>
      </c>
      <c r="E1336" t="s">
        <v>14</v>
      </c>
      <c r="F1336" t="s">
        <v>15</v>
      </c>
      <c r="G1336" t="s">
        <v>15</v>
      </c>
      <c r="H1336" t="s">
        <v>15</v>
      </c>
      <c r="I1336" s="1">
        <v>55338400</v>
      </c>
    </row>
    <row r="1337" spans="1:9" x14ac:dyDescent="0.25">
      <c r="A1337" t="s">
        <v>32</v>
      </c>
      <c r="B1337" t="s">
        <v>40</v>
      </c>
      <c r="C1337" t="s">
        <v>34</v>
      </c>
      <c r="D1337" t="s">
        <v>13</v>
      </c>
      <c r="E1337" t="s">
        <v>14</v>
      </c>
      <c r="F1337" t="s">
        <v>15</v>
      </c>
      <c r="G1337" t="s">
        <v>15</v>
      </c>
      <c r="H1337" t="s">
        <v>15</v>
      </c>
      <c r="I1337" s="1">
        <v>3314234300</v>
      </c>
    </row>
    <row r="1338" spans="1:9" x14ac:dyDescent="0.25">
      <c r="A1338" t="s">
        <v>32</v>
      </c>
      <c r="B1338" t="s">
        <v>41</v>
      </c>
      <c r="C1338" t="s">
        <v>537</v>
      </c>
      <c r="D1338" t="s">
        <v>13</v>
      </c>
      <c r="E1338" t="s">
        <v>14</v>
      </c>
      <c r="F1338" t="s">
        <v>15</v>
      </c>
      <c r="G1338" t="s">
        <v>15</v>
      </c>
      <c r="H1338" t="s">
        <v>15</v>
      </c>
      <c r="I1338" s="1">
        <v>7363259200</v>
      </c>
    </row>
    <row r="1339" spans="1:9" x14ac:dyDescent="0.25">
      <c r="A1339" t="str">
        <f>"29002"</f>
        <v>29002</v>
      </c>
      <c r="B1339" t="s">
        <v>11</v>
      </c>
      <c r="C1339" t="s">
        <v>618</v>
      </c>
      <c r="D1339" t="s">
        <v>13</v>
      </c>
      <c r="E1339" t="s">
        <v>14</v>
      </c>
      <c r="F1339" t="s">
        <v>15</v>
      </c>
      <c r="G1339" t="s">
        <v>15</v>
      </c>
      <c r="H1339" t="s">
        <v>15</v>
      </c>
      <c r="I1339" s="1">
        <v>157658700</v>
      </c>
    </row>
    <row r="1340" spans="1:9" x14ac:dyDescent="0.25">
      <c r="A1340" t="str">
        <f>"29004"</f>
        <v>29004</v>
      </c>
      <c r="B1340" t="s">
        <v>11</v>
      </c>
      <c r="C1340" t="s">
        <v>619</v>
      </c>
      <c r="D1340" t="s">
        <v>13</v>
      </c>
      <c r="E1340" t="s">
        <v>14</v>
      </c>
      <c r="F1340" t="s">
        <v>15</v>
      </c>
      <c r="G1340" t="s">
        <v>15</v>
      </c>
      <c r="H1340" t="s">
        <v>15</v>
      </c>
      <c r="I1340" s="1">
        <v>78474400</v>
      </c>
    </row>
    <row r="1341" spans="1:9" x14ac:dyDescent="0.25">
      <c r="A1341" t="str">
        <f>"29006"</f>
        <v>29006</v>
      </c>
      <c r="B1341" t="s">
        <v>11</v>
      </c>
      <c r="C1341" t="s">
        <v>620</v>
      </c>
      <c r="D1341" t="s">
        <v>13</v>
      </c>
      <c r="E1341" t="s">
        <v>14</v>
      </c>
      <c r="F1341" t="s">
        <v>15</v>
      </c>
      <c r="G1341" t="s">
        <v>15</v>
      </c>
      <c r="H1341" t="s">
        <v>15</v>
      </c>
      <c r="I1341" s="1">
        <v>33370600</v>
      </c>
    </row>
    <row r="1342" spans="1:9" x14ac:dyDescent="0.25">
      <c r="A1342" t="str">
        <f>"29008"</f>
        <v>29008</v>
      </c>
      <c r="B1342" t="s">
        <v>11</v>
      </c>
      <c r="C1342" t="s">
        <v>621</v>
      </c>
      <c r="D1342" t="s">
        <v>13</v>
      </c>
      <c r="E1342" t="s">
        <v>14</v>
      </c>
      <c r="F1342" t="s">
        <v>15</v>
      </c>
      <c r="G1342" t="s">
        <v>15</v>
      </c>
      <c r="H1342" t="s">
        <v>15</v>
      </c>
      <c r="I1342" s="1">
        <v>16947300</v>
      </c>
    </row>
    <row r="1343" spans="1:9" x14ac:dyDescent="0.25">
      <c r="A1343" t="str">
        <f>"29010"</f>
        <v>29010</v>
      </c>
      <c r="B1343" t="s">
        <v>11</v>
      </c>
      <c r="C1343" t="s">
        <v>622</v>
      </c>
      <c r="D1343" t="s">
        <v>13</v>
      </c>
      <c r="E1343" t="s">
        <v>14</v>
      </c>
      <c r="F1343" t="s">
        <v>15</v>
      </c>
      <c r="G1343" t="s">
        <v>15</v>
      </c>
      <c r="H1343" t="s">
        <v>15</v>
      </c>
      <c r="I1343" s="1">
        <v>47165300</v>
      </c>
    </row>
    <row r="1344" spans="1:9" x14ac:dyDescent="0.25">
      <c r="A1344" t="str">
        <f>"29012"</f>
        <v>29012</v>
      </c>
      <c r="B1344" t="s">
        <v>11</v>
      </c>
      <c r="C1344" t="s">
        <v>623</v>
      </c>
      <c r="D1344" t="s">
        <v>13</v>
      </c>
      <c r="E1344" t="s">
        <v>14</v>
      </c>
      <c r="F1344" t="s">
        <v>15</v>
      </c>
      <c r="G1344" t="s">
        <v>15</v>
      </c>
      <c r="H1344" t="s">
        <v>15</v>
      </c>
      <c r="I1344" s="1">
        <v>423321700</v>
      </c>
    </row>
    <row r="1345" spans="1:9" x14ac:dyDescent="0.25">
      <c r="A1345" t="str">
        <f>"29014"</f>
        <v>29014</v>
      </c>
      <c r="B1345" t="s">
        <v>11</v>
      </c>
      <c r="C1345" t="s">
        <v>624</v>
      </c>
      <c r="D1345" t="s">
        <v>13</v>
      </c>
      <c r="E1345" t="s">
        <v>14</v>
      </c>
      <c r="F1345" t="s">
        <v>15</v>
      </c>
      <c r="G1345" t="s">
        <v>15</v>
      </c>
      <c r="H1345" t="s">
        <v>15</v>
      </c>
      <c r="I1345" s="1">
        <v>79685000</v>
      </c>
    </row>
    <row r="1346" spans="1:9" x14ac:dyDescent="0.25">
      <c r="A1346" t="str">
        <f>"29016"</f>
        <v>29016</v>
      </c>
      <c r="B1346" t="s">
        <v>11</v>
      </c>
      <c r="C1346" t="s">
        <v>549</v>
      </c>
      <c r="D1346" t="s">
        <v>13</v>
      </c>
      <c r="E1346" t="s">
        <v>14</v>
      </c>
      <c r="F1346" t="s">
        <v>15</v>
      </c>
      <c r="G1346" t="s">
        <v>15</v>
      </c>
      <c r="H1346" t="s">
        <v>15</v>
      </c>
      <c r="I1346" s="1">
        <v>4304700</v>
      </c>
    </row>
    <row r="1347" spans="1:9" x14ac:dyDescent="0.25">
      <c r="A1347" t="str">
        <f>"29018"</f>
        <v>29018</v>
      </c>
      <c r="B1347" t="s">
        <v>11</v>
      </c>
      <c r="C1347" t="s">
        <v>625</v>
      </c>
      <c r="D1347" t="s">
        <v>13</v>
      </c>
      <c r="E1347" t="s">
        <v>14</v>
      </c>
      <c r="F1347" t="s">
        <v>15</v>
      </c>
      <c r="G1347" t="s">
        <v>15</v>
      </c>
      <c r="H1347" t="s">
        <v>15</v>
      </c>
      <c r="I1347" s="1">
        <v>143021700</v>
      </c>
    </row>
    <row r="1348" spans="1:9" x14ac:dyDescent="0.25">
      <c r="A1348" t="str">
        <f>"29020"</f>
        <v>29020</v>
      </c>
      <c r="B1348" t="s">
        <v>11</v>
      </c>
      <c r="C1348" t="s">
        <v>626</v>
      </c>
      <c r="D1348" t="s">
        <v>13</v>
      </c>
      <c r="E1348" t="s">
        <v>14</v>
      </c>
      <c r="F1348" t="s">
        <v>15</v>
      </c>
      <c r="G1348" t="s">
        <v>15</v>
      </c>
      <c r="H1348" t="s">
        <v>15</v>
      </c>
      <c r="I1348" s="1">
        <v>59411900</v>
      </c>
    </row>
    <row r="1349" spans="1:9" x14ac:dyDescent="0.25">
      <c r="A1349" t="str">
        <f>"29022"</f>
        <v>29022</v>
      </c>
      <c r="B1349" t="s">
        <v>11</v>
      </c>
      <c r="C1349" t="s">
        <v>627</v>
      </c>
      <c r="D1349" t="s">
        <v>13</v>
      </c>
      <c r="E1349" t="s">
        <v>14</v>
      </c>
      <c r="F1349" t="s">
        <v>15</v>
      </c>
      <c r="G1349" t="s">
        <v>15</v>
      </c>
      <c r="H1349" t="s">
        <v>15</v>
      </c>
      <c r="I1349" s="1">
        <v>72239000</v>
      </c>
    </row>
    <row r="1350" spans="1:9" x14ac:dyDescent="0.25">
      <c r="A1350" t="str">
        <f>"29024"</f>
        <v>29024</v>
      </c>
      <c r="B1350" t="s">
        <v>11</v>
      </c>
      <c r="C1350" t="s">
        <v>628</v>
      </c>
      <c r="D1350" t="s">
        <v>13</v>
      </c>
      <c r="E1350" t="s">
        <v>14</v>
      </c>
      <c r="F1350" t="s">
        <v>15</v>
      </c>
      <c r="G1350" t="s">
        <v>15</v>
      </c>
      <c r="H1350" t="s">
        <v>15</v>
      </c>
      <c r="I1350" s="1">
        <v>127266400</v>
      </c>
    </row>
    <row r="1351" spans="1:9" x14ac:dyDescent="0.25">
      <c r="A1351" t="str">
        <f>"29026"</f>
        <v>29026</v>
      </c>
      <c r="B1351" t="s">
        <v>11</v>
      </c>
      <c r="C1351" t="s">
        <v>507</v>
      </c>
      <c r="D1351" t="s">
        <v>13</v>
      </c>
      <c r="E1351" t="s">
        <v>14</v>
      </c>
      <c r="F1351" t="s">
        <v>15</v>
      </c>
      <c r="G1351" t="s">
        <v>15</v>
      </c>
      <c r="H1351" t="s">
        <v>15</v>
      </c>
      <c r="I1351" s="1">
        <v>63649000</v>
      </c>
    </row>
    <row r="1352" spans="1:9" x14ac:dyDescent="0.25">
      <c r="A1352" t="str">
        <f>"29028"</f>
        <v>29028</v>
      </c>
      <c r="B1352" t="s">
        <v>11</v>
      </c>
      <c r="C1352" t="s">
        <v>629</v>
      </c>
      <c r="D1352" t="s">
        <v>13</v>
      </c>
      <c r="E1352" t="s">
        <v>14</v>
      </c>
      <c r="F1352" t="s">
        <v>15</v>
      </c>
      <c r="G1352" t="s">
        <v>15</v>
      </c>
      <c r="H1352" t="s">
        <v>15</v>
      </c>
      <c r="I1352" s="1">
        <v>236439500</v>
      </c>
    </row>
    <row r="1353" spans="1:9" x14ac:dyDescent="0.25">
      <c r="A1353" t="str">
        <f>"29030"</f>
        <v>29030</v>
      </c>
      <c r="B1353" t="s">
        <v>11</v>
      </c>
      <c r="C1353" t="s">
        <v>630</v>
      </c>
      <c r="D1353" t="s">
        <v>13</v>
      </c>
      <c r="E1353" t="s">
        <v>14</v>
      </c>
      <c r="F1353" t="s">
        <v>15</v>
      </c>
      <c r="G1353" t="s">
        <v>15</v>
      </c>
      <c r="H1353" t="s">
        <v>15</v>
      </c>
      <c r="I1353" s="1">
        <v>40570300</v>
      </c>
    </row>
    <row r="1354" spans="1:9" x14ac:dyDescent="0.25">
      <c r="A1354" t="str">
        <f>"29032"</f>
        <v>29032</v>
      </c>
      <c r="B1354" t="s">
        <v>11</v>
      </c>
      <c r="C1354" t="s">
        <v>631</v>
      </c>
      <c r="D1354" t="s">
        <v>13</v>
      </c>
      <c r="E1354" t="s">
        <v>14</v>
      </c>
      <c r="F1354" t="s">
        <v>15</v>
      </c>
      <c r="G1354" t="s">
        <v>15</v>
      </c>
      <c r="H1354" t="s">
        <v>15</v>
      </c>
      <c r="I1354" s="1">
        <v>62371300</v>
      </c>
    </row>
    <row r="1355" spans="1:9" x14ac:dyDescent="0.25">
      <c r="A1355" t="str">
        <f>"29034"</f>
        <v>29034</v>
      </c>
      <c r="B1355" t="s">
        <v>11</v>
      </c>
      <c r="C1355" t="s">
        <v>632</v>
      </c>
      <c r="D1355" t="s">
        <v>13</v>
      </c>
      <c r="E1355" t="s">
        <v>14</v>
      </c>
      <c r="F1355" t="s">
        <v>15</v>
      </c>
      <c r="G1355" t="s">
        <v>15</v>
      </c>
      <c r="H1355" t="s">
        <v>15</v>
      </c>
      <c r="I1355" s="1">
        <v>32360100</v>
      </c>
    </row>
    <row r="1356" spans="1:9" x14ac:dyDescent="0.25">
      <c r="A1356" t="str">
        <f>"29036"</f>
        <v>29036</v>
      </c>
      <c r="B1356" t="s">
        <v>11</v>
      </c>
      <c r="C1356" t="s">
        <v>408</v>
      </c>
      <c r="D1356" t="s">
        <v>13</v>
      </c>
      <c r="E1356" t="s">
        <v>14</v>
      </c>
      <c r="F1356" t="s">
        <v>15</v>
      </c>
      <c r="G1356" t="s">
        <v>15</v>
      </c>
      <c r="H1356" t="s">
        <v>15</v>
      </c>
      <c r="I1356" s="1">
        <v>59562300</v>
      </c>
    </row>
    <row r="1357" spans="1:9" x14ac:dyDescent="0.25">
      <c r="A1357" t="str">
        <f>"29038"</f>
        <v>29038</v>
      </c>
      <c r="B1357" t="s">
        <v>11</v>
      </c>
      <c r="C1357" t="s">
        <v>633</v>
      </c>
      <c r="D1357" t="s">
        <v>13</v>
      </c>
      <c r="E1357" t="s">
        <v>14</v>
      </c>
      <c r="F1357" t="s">
        <v>15</v>
      </c>
      <c r="G1357" t="s">
        <v>15</v>
      </c>
      <c r="H1357" t="s">
        <v>15</v>
      </c>
      <c r="I1357" s="1">
        <v>48077900</v>
      </c>
    </row>
    <row r="1358" spans="1:9" x14ac:dyDescent="0.25">
      <c r="A1358" t="s">
        <v>32</v>
      </c>
      <c r="B1358" t="s">
        <v>33</v>
      </c>
      <c r="C1358" t="s">
        <v>34</v>
      </c>
      <c r="D1358" t="s">
        <v>13</v>
      </c>
      <c r="E1358" t="s">
        <v>14</v>
      </c>
      <c r="F1358" t="s">
        <v>15</v>
      </c>
      <c r="G1358" t="s">
        <v>15</v>
      </c>
      <c r="H1358" t="s">
        <v>15</v>
      </c>
      <c r="I1358" s="1">
        <v>1785897100</v>
      </c>
    </row>
    <row r="1359" spans="1:9" x14ac:dyDescent="0.25">
      <c r="A1359" t="str">
        <f>"29111"</f>
        <v>29111</v>
      </c>
      <c r="B1359" t="s">
        <v>35</v>
      </c>
      <c r="C1359" t="s">
        <v>634</v>
      </c>
      <c r="D1359" t="str">
        <f>"001"</f>
        <v>001</v>
      </c>
      <c r="E1359">
        <v>1995</v>
      </c>
      <c r="F1359">
        <v>630200</v>
      </c>
      <c r="G1359">
        <v>5722200</v>
      </c>
      <c r="H1359">
        <v>5092000</v>
      </c>
    </row>
    <row r="1360" spans="1:9" x14ac:dyDescent="0.25">
      <c r="A1360" t="str">
        <f>"29111"</f>
        <v>29111</v>
      </c>
      <c r="B1360" t="s">
        <v>35</v>
      </c>
      <c r="C1360" t="s">
        <v>634</v>
      </c>
      <c r="D1360" t="s">
        <v>13</v>
      </c>
      <c r="E1360" t="s">
        <v>14</v>
      </c>
      <c r="F1360" t="s">
        <v>15</v>
      </c>
      <c r="G1360" t="s">
        <v>15</v>
      </c>
      <c r="H1360" t="s">
        <v>15</v>
      </c>
      <c r="I1360" s="1">
        <v>18706000</v>
      </c>
    </row>
    <row r="1361" spans="1:9" x14ac:dyDescent="0.25">
      <c r="A1361" t="str">
        <f>"29136"</f>
        <v>29136</v>
      </c>
      <c r="B1361" t="s">
        <v>35</v>
      </c>
      <c r="C1361" t="s">
        <v>635</v>
      </c>
      <c r="D1361" t="s">
        <v>13</v>
      </c>
      <c r="E1361" t="s">
        <v>14</v>
      </c>
      <c r="F1361" t="s">
        <v>15</v>
      </c>
      <c r="G1361" t="s">
        <v>15</v>
      </c>
      <c r="H1361" t="s">
        <v>15</v>
      </c>
      <c r="I1361" s="1">
        <v>11184500</v>
      </c>
    </row>
    <row r="1362" spans="1:9" x14ac:dyDescent="0.25">
      <c r="A1362" t="str">
        <f>"29146"</f>
        <v>29146</v>
      </c>
      <c r="B1362" t="s">
        <v>35</v>
      </c>
      <c r="C1362" t="s">
        <v>636</v>
      </c>
      <c r="D1362" t="s">
        <v>13</v>
      </c>
      <c r="E1362" t="s">
        <v>14</v>
      </c>
      <c r="F1362" t="s">
        <v>15</v>
      </c>
      <c r="G1362" t="s">
        <v>15</v>
      </c>
      <c r="H1362" t="s">
        <v>15</v>
      </c>
      <c r="I1362" s="1">
        <v>26717500</v>
      </c>
    </row>
    <row r="1363" spans="1:9" x14ac:dyDescent="0.25">
      <c r="A1363" t="str">
        <f>"29161"</f>
        <v>29161</v>
      </c>
      <c r="B1363" t="s">
        <v>35</v>
      </c>
      <c r="C1363" t="s">
        <v>629</v>
      </c>
      <c r="D1363" t="str">
        <f>"002"</f>
        <v>002</v>
      </c>
      <c r="E1363">
        <v>1995</v>
      </c>
      <c r="F1363">
        <v>1233500</v>
      </c>
      <c r="G1363">
        <v>6054900</v>
      </c>
      <c r="H1363">
        <v>4821400</v>
      </c>
    </row>
    <row r="1364" spans="1:9" x14ac:dyDescent="0.25">
      <c r="A1364" t="str">
        <f>"29161"</f>
        <v>29161</v>
      </c>
      <c r="B1364" t="s">
        <v>35</v>
      </c>
      <c r="C1364" t="s">
        <v>629</v>
      </c>
      <c r="D1364" t="str">
        <f>"003"</f>
        <v>003</v>
      </c>
      <c r="E1364">
        <v>1995</v>
      </c>
      <c r="F1364">
        <v>7296300</v>
      </c>
      <c r="G1364">
        <v>13179300</v>
      </c>
      <c r="H1364">
        <v>5883000</v>
      </c>
    </row>
    <row r="1365" spans="1:9" x14ac:dyDescent="0.25">
      <c r="A1365" t="str">
        <f>"29161"</f>
        <v>29161</v>
      </c>
      <c r="B1365" t="s">
        <v>35</v>
      </c>
      <c r="C1365" t="s">
        <v>629</v>
      </c>
      <c r="D1365" t="s">
        <v>13</v>
      </c>
      <c r="E1365" t="s">
        <v>14</v>
      </c>
      <c r="F1365" t="s">
        <v>15</v>
      </c>
      <c r="G1365" t="s">
        <v>15</v>
      </c>
      <c r="H1365" t="s">
        <v>15</v>
      </c>
      <c r="I1365" s="1">
        <v>33464700</v>
      </c>
    </row>
    <row r="1366" spans="1:9" x14ac:dyDescent="0.25">
      <c r="A1366" t="str">
        <f>"29186"</f>
        <v>29186</v>
      </c>
      <c r="B1366" t="s">
        <v>35</v>
      </c>
      <c r="C1366" t="s">
        <v>637</v>
      </c>
      <c r="D1366" t="s">
        <v>13</v>
      </c>
      <c r="E1366" t="s">
        <v>14</v>
      </c>
      <c r="F1366" t="s">
        <v>15</v>
      </c>
      <c r="G1366" t="s">
        <v>15</v>
      </c>
      <c r="H1366" t="s">
        <v>15</v>
      </c>
      <c r="I1366" s="1">
        <v>15979600</v>
      </c>
    </row>
    <row r="1367" spans="1:9" x14ac:dyDescent="0.25">
      <c r="A1367" t="str">
        <f>"29191"</f>
        <v>29191</v>
      </c>
      <c r="B1367" t="s">
        <v>35</v>
      </c>
      <c r="C1367" t="s">
        <v>633</v>
      </c>
      <c r="D1367" t="s">
        <v>13</v>
      </c>
      <c r="E1367" t="s">
        <v>14</v>
      </c>
      <c r="F1367" t="s">
        <v>15</v>
      </c>
      <c r="G1367" t="s">
        <v>15</v>
      </c>
      <c r="H1367" t="s">
        <v>15</v>
      </c>
      <c r="I1367" s="1">
        <v>25679100</v>
      </c>
    </row>
    <row r="1368" spans="1:9" x14ac:dyDescent="0.25">
      <c r="A1368" t="s">
        <v>32</v>
      </c>
      <c r="B1368" t="s">
        <v>37</v>
      </c>
      <c r="C1368" t="s">
        <v>34</v>
      </c>
      <c r="D1368" t="s">
        <v>13</v>
      </c>
      <c r="E1368" t="s">
        <v>14</v>
      </c>
      <c r="F1368" t="s">
        <v>15</v>
      </c>
      <c r="G1368" t="s">
        <v>15</v>
      </c>
      <c r="H1368" t="s">
        <v>15</v>
      </c>
      <c r="I1368" s="1">
        <v>131731400</v>
      </c>
    </row>
    <row r="1369" spans="1:9" x14ac:dyDescent="0.25">
      <c r="A1369" t="str">
        <f t="shared" ref="A1369:A1374" si="25">"29221"</f>
        <v>29221</v>
      </c>
      <c r="B1369" t="s">
        <v>38</v>
      </c>
      <c r="C1369" t="s">
        <v>638</v>
      </c>
      <c r="D1369" t="str">
        <f>"002"</f>
        <v>002</v>
      </c>
      <c r="E1369">
        <v>1999</v>
      </c>
      <c r="F1369">
        <v>273200</v>
      </c>
      <c r="G1369">
        <v>605100</v>
      </c>
      <c r="H1369">
        <v>331900</v>
      </c>
    </row>
    <row r="1370" spans="1:9" x14ac:dyDescent="0.25">
      <c r="A1370" t="str">
        <f t="shared" si="25"/>
        <v>29221</v>
      </c>
      <c r="B1370" t="s">
        <v>38</v>
      </c>
      <c r="C1370" t="s">
        <v>638</v>
      </c>
      <c r="D1370" t="str">
        <f>"003"</f>
        <v>003</v>
      </c>
      <c r="E1370">
        <v>1999</v>
      </c>
      <c r="F1370">
        <v>2436500</v>
      </c>
      <c r="G1370">
        <v>3601900</v>
      </c>
      <c r="H1370">
        <v>1165400</v>
      </c>
    </row>
    <row r="1371" spans="1:9" x14ac:dyDescent="0.25">
      <c r="A1371" t="str">
        <f t="shared" si="25"/>
        <v>29221</v>
      </c>
      <c r="B1371" t="s">
        <v>38</v>
      </c>
      <c r="C1371" t="s">
        <v>638</v>
      </c>
      <c r="D1371" t="str">
        <f>"004"</f>
        <v>004</v>
      </c>
      <c r="E1371">
        <v>1999</v>
      </c>
      <c r="F1371">
        <v>1311300</v>
      </c>
      <c r="G1371">
        <v>4203700</v>
      </c>
      <c r="H1371">
        <v>2892400</v>
      </c>
    </row>
    <row r="1372" spans="1:9" x14ac:dyDescent="0.25">
      <c r="A1372" t="str">
        <f t="shared" si="25"/>
        <v>29221</v>
      </c>
      <c r="B1372" t="s">
        <v>38</v>
      </c>
      <c r="C1372" t="s">
        <v>638</v>
      </c>
      <c r="D1372" t="str">
        <f>"005"</f>
        <v>005</v>
      </c>
      <c r="E1372">
        <v>1999</v>
      </c>
      <c r="F1372">
        <v>36500</v>
      </c>
      <c r="G1372">
        <v>2705200</v>
      </c>
      <c r="H1372">
        <v>2668700</v>
      </c>
    </row>
    <row r="1373" spans="1:9" x14ac:dyDescent="0.25">
      <c r="A1373" t="str">
        <f t="shared" si="25"/>
        <v>29221</v>
      </c>
      <c r="B1373" t="s">
        <v>38</v>
      </c>
      <c r="C1373" t="s">
        <v>638</v>
      </c>
      <c r="D1373" t="str">
        <f>"006"</f>
        <v>006</v>
      </c>
      <c r="E1373">
        <v>2014</v>
      </c>
      <c r="F1373">
        <v>818500</v>
      </c>
      <c r="G1373">
        <v>1689500</v>
      </c>
      <c r="H1373">
        <v>871000</v>
      </c>
    </row>
    <row r="1374" spans="1:9" x14ac:dyDescent="0.25">
      <c r="A1374" t="str">
        <f t="shared" si="25"/>
        <v>29221</v>
      </c>
      <c r="B1374" t="s">
        <v>38</v>
      </c>
      <c r="C1374" t="s">
        <v>638</v>
      </c>
      <c r="D1374" t="s">
        <v>13</v>
      </c>
      <c r="E1374" t="s">
        <v>14</v>
      </c>
      <c r="F1374" t="s">
        <v>15</v>
      </c>
      <c r="G1374" t="s">
        <v>15</v>
      </c>
      <c r="H1374" t="s">
        <v>15</v>
      </c>
      <c r="I1374" s="1">
        <v>54807400</v>
      </c>
    </row>
    <row r="1375" spans="1:9" x14ac:dyDescent="0.25">
      <c r="A1375" t="str">
        <f>"29251"</f>
        <v>29251</v>
      </c>
      <c r="B1375" t="s">
        <v>38</v>
      </c>
      <c r="C1375" t="s">
        <v>639</v>
      </c>
      <c r="D1375" t="str">
        <f>"002"</f>
        <v>002</v>
      </c>
      <c r="E1375">
        <v>1995</v>
      </c>
      <c r="F1375">
        <v>2684900</v>
      </c>
      <c r="G1375">
        <v>20219100</v>
      </c>
      <c r="H1375">
        <v>17534200</v>
      </c>
    </row>
    <row r="1376" spans="1:9" x14ac:dyDescent="0.25">
      <c r="A1376" t="str">
        <f>"29251"</f>
        <v>29251</v>
      </c>
      <c r="B1376" t="s">
        <v>38</v>
      </c>
      <c r="C1376" t="s">
        <v>639</v>
      </c>
      <c r="D1376" t="str">
        <f>"003"</f>
        <v>003</v>
      </c>
      <c r="E1376">
        <v>1995</v>
      </c>
      <c r="F1376">
        <v>9184500</v>
      </c>
      <c r="G1376">
        <v>37305400</v>
      </c>
      <c r="H1376">
        <v>28120900</v>
      </c>
    </row>
    <row r="1377" spans="1:9" x14ac:dyDescent="0.25">
      <c r="A1377" t="str">
        <f>"29251"</f>
        <v>29251</v>
      </c>
      <c r="B1377" t="s">
        <v>38</v>
      </c>
      <c r="C1377" t="s">
        <v>639</v>
      </c>
      <c r="D1377" t="s">
        <v>13</v>
      </c>
      <c r="E1377" t="s">
        <v>14</v>
      </c>
      <c r="F1377" t="s">
        <v>15</v>
      </c>
      <c r="G1377" t="s">
        <v>15</v>
      </c>
      <c r="H1377" t="s">
        <v>15</v>
      </c>
      <c r="I1377" s="1">
        <v>180358500</v>
      </c>
    </row>
    <row r="1378" spans="1:9" x14ac:dyDescent="0.25">
      <c r="A1378" t="str">
        <f t="shared" ref="A1378:A1383" si="26">"29261"</f>
        <v>29261</v>
      </c>
      <c r="B1378" t="s">
        <v>38</v>
      </c>
      <c r="C1378" t="s">
        <v>640</v>
      </c>
      <c r="D1378" t="str">
        <f>"009"</f>
        <v>009</v>
      </c>
      <c r="E1378">
        <v>1991</v>
      </c>
      <c r="F1378">
        <v>8300</v>
      </c>
      <c r="G1378">
        <v>394600</v>
      </c>
      <c r="H1378">
        <v>386300</v>
      </c>
    </row>
    <row r="1379" spans="1:9" x14ac:dyDescent="0.25">
      <c r="A1379" t="str">
        <f t="shared" si="26"/>
        <v>29261</v>
      </c>
      <c r="B1379" t="s">
        <v>38</v>
      </c>
      <c r="C1379" t="s">
        <v>640</v>
      </c>
      <c r="D1379" t="str">
        <f>"010"</f>
        <v>010</v>
      </c>
      <c r="E1379">
        <v>1991</v>
      </c>
      <c r="F1379">
        <v>9900</v>
      </c>
      <c r="G1379">
        <v>291800</v>
      </c>
      <c r="H1379">
        <v>281900</v>
      </c>
    </row>
    <row r="1380" spans="1:9" x14ac:dyDescent="0.25">
      <c r="A1380" t="str">
        <f t="shared" si="26"/>
        <v>29261</v>
      </c>
      <c r="B1380" t="s">
        <v>38</v>
      </c>
      <c r="C1380" t="s">
        <v>640</v>
      </c>
      <c r="D1380" t="str">
        <f>"011"</f>
        <v>011</v>
      </c>
      <c r="E1380">
        <v>1997</v>
      </c>
      <c r="F1380">
        <v>179500</v>
      </c>
      <c r="G1380">
        <v>12815700</v>
      </c>
      <c r="H1380">
        <v>12636200</v>
      </c>
    </row>
    <row r="1381" spans="1:9" x14ac:dyDescent="0.25">
      <c r="A1381" t="str">
        <f t="shared" si="26"/>
        <v>29261</v>
      </c>
      <c r="B1381" t="s">
        <v>38</v>
      </c>
      <c r="C1381" t="s">
        <v>640</v>
      </c>
      <c r="D1381" t="str">
        <f>"012"</f>
        <v>012</v>
      </c>
      <c r="E1381">
        <v>2010</v>
      </c>
      <c r="F1381">
        <v>1140800</v>
      </c>
      <c r="G1381">
        <v>3748000</v>
      </c>
      <c r="H1381">
        <v>2607200</v>
      </c>
    </row>
    <row r="1382" spans="1:9" x14ac:dyDescent="0.25">
      <c r="A1382" t="str">
        <f t="shared" si="26"/>
        <v>29261</v>
      </c>
      <c r="B1382" t="s">
        <v>38</v>
      </c>
      <c r="C1382" t="s">
        <v>640</v>
      </c>
      <c r="D1382" t="str">
        <f>"013"</f>
        <v>013</v>
      </c>
      <c r="E1382">
        <v>2010</v>
      </c>
      <c r="F1382">
        <v>157200</v>
      </c>
      <c r="G1382">
        <v>195300</v>
      </c>
      <c r="H1382">
        <v>38100</v>
      </c>
    </row>
    <row r="1383" spans="1:9" x14ac:dyDescent="0.25">
      <c r="A1383" t="str">
        <f t="shared" si="26"/>
        <v>29261</v>
      </c>
      <c r="B1383" t="s">
        <v>38</v>
      </c>
      <c r="C1383" t="s">
        <v>640</v>
      </c>
      <c r="D1383" t="s">
        <v>13</v>
      </c>
      <c r="E1383" t="s">
        <v>14</v>
      </c>
      <c r="F1383" t="s">
        <v>15</v>
      </c>
      <c r="G1383" t="s">
        <v>15</v>
      </c>
      <c r="H1383" t="s">
        <v>15</v>
      </c>
      <c r="I1383" s="1">
        <v>70347700</v>
      </c>
    </row>
    <row r="1384" spans="1:9" x14ac:dyDescent="0.25">
      <c r="A1384" t="str">
        <f>"29291"</f>
        <v>29291</v>
      </c>
      <c r="B1384" t="s">
        <v>38</v>
      </c>
      <c r="C1384" t="s">
        <v>39</v>
      </c>
      <c r="D1384" t="str">
        <f>"004"</f>
        <v>004</v>
      </c>
      <c r="E1384">
        <v>2006</v>
      </c>
      <c r="F1384">
        <v>549700</v>
      </c>
      <c r="G1384">
        <v>473000</v>
      </c>
      <c r="H1384">
        <v>0</v>
      </c>
    </row>
    <row r="1385" spans="1:9" x14ac:dyDescent="0.25">
      <c r="A1385" t="str">
        <f>"29291"</f>
        <v>29291</v>
      </c>
      <c r="B1385" t="s">
        <v>38</v>
      </c>
      <c r="C1385" t="s">
        <v>39</v>
      </c>
      <c r="D1385" t="s">
        <v>13</v>
      </c>
      <c r="E1385" t="s">
        <v>14</v>
      </c>
      <c r="F1385" t="s">
        <v>15</v>
      </c>
      <c r="G1385" t="s">
        <v>15</v>
      </c>
      <c r="H1385" t="s">
        <v>15</v>
      </c>
      <c r="I1385" s="1">
        <v>544600</v>
      </c>
    </row>
    <row r="1386" spans="1:9" x14ac:dyDescent="0.25">
      <c r="A1386" t="s">
        <v>32</v>
      </c>
      <c r="B1386" t="s">
        <v>40</v>
      </c>
      <c r="C1386" t="s">
        <v>34</v>
      </c>
      <c r="D1386" t="s">
        <v>13</v>
      </c>
      <c r="E1386" t="s">
        <v>14</v>
      </c>
      <c r="F1386" t="s">
        <v>15</v>
      </c>
      <c r="G1386" t="s">
        <v>15</v>
      </c>
      <c r="H1386" t="s">
        <v>15</v>
      </c>
      <c r="I1386" s="1">
        <v>306058200</v>
      </c>
    </row>
    <row r="1387" spans="1:9" x14ac:dyDescent="0.25">
      <c r="A1387" t="s">
        <v>32</v>
      </c>
      <c r="B1387" t="s">
        <v>41</v>
      </c>
      <c r="C1387" t="s">
        <v>377</v>
      </c>
      <c r="D1387" t="s">
        <v>13</v>
      </c>
      <c r="E1387" t="s">
        <v>14</v>
      </c>
      <c r="F1387" t="s">
        <v>15</v>
      </c>
      <c r="G1387" t="s">
        <v>15</v>
      </c>
      <c r="H1387" t="s">
        <v>15</v>
      </c>
      <c r="I1387" s="1">
        <v>2223686700</v>
      </c>
    </row>
    <row r="1388" spans="1:9" x14ac:dyDescent="0.25">
      <c r="A1388" t="str">
        <f>"30002"</f>
        <v>30002</v>
      </c>
      <c r="B1388" t="s">
        <v>11</v>
      </c>
      <c r="C1388" t="s">
        <v>641</v>
      </c>
      <c r="D1388" t="s">
        <v>13</v>
      </c>
      <c r="E1388" t="s">
        <v>14</v>
      </c>
      <c r="F1388" t="s">
        <v>15</v>
      </c>
      <c r="G1388" t="s">
        <v>15</v>
      </c>
      <c r="H1388" t="s">
        <v>15</v>
      </c>
      <c r="I1388" s="1">
        <v>226661500</v>
      </c>
    </row>
    <row r="1389" spans="1:9" x14ac:dyDescent="0.25">
      <c r="A1389" t="str">
        <f>"30006"</f>
        <v>30006</v>
      </c>
      <c r="B1389" t="s">
        <v>11</v>
      </c>
      <c r="C1389" t="s">
        <v>513</v>
      </c>
      <c r="D1389" t="s">
        <v>13</v>
      </c>
      <c r="E1389" t="s">
        <v>14</v>
      </c>
      <c r="F1389" t="s">
        <v>15</v>
      </c>
      <c r="G1389" t="s">
        <v>15</v>
      </c>
      <c r="H1389" t="s">
        <v>15</v>
      </c>
      <c r="I1389" s="1">
        <v>248068200</v>
      </c>
    </row>
    <row r="1390" spans="1:9" x14ac:dyDescent="0.25">
      <c r="A1390" t="str">
        <f>"30010"</f>
        <v>30010</v>
      </c>
      <c r="B1390" t="s">
        <v>11</v>
      </c>
      <c r="C1390" t="s">
        <v>642</v>
      </c>
      <c r="D1390" t="s">
        <v>13</v>
      </c>
      <c r="E1390" t="s">
        <v>14</v>
      </c>
      <c r="F1390" t="s">
        <v>15</v>
      </c>
      <c r="G1390" t="s">
        <v>15</v>
      </c>
      <c r="H1390" t="s">
        <v>15</v>
      </c>
      <c r="I1390" s="1">
        <v>550770200</v>
      </c>
    </row>
    <row r="1391" spans="1:9" x14ac:dyDescent="0.25">
      <c r="A1391" t="str">
        <f>"30014"</f>
        <v>30014</v>
      </c>
      <c r="B1391" t="s">
        <v>11</v>
      </c>
      <c r="C1391" t="s">
        <v>643</v>
      </c>
      <c r="D1391" t="s">
        <v>13</v>
      </c>
      <c r="E1391" t="s">
        <v>14</v>
      </c>
      <c r="F1391" t="s">
        <v>15</v>
      </c>
      <c r="G1391" t="s">
        <v>15</v>
      </c>
      <c r="H1391" t="s">
        <v>15</v>
      </c>
      <c r="I1391" s="1">
        <v>92155600</v>
      </c>
    </row>
    <row r="1392" spans="1:9" x14ac:dyDescent="0.25">
      <c r="A1392" t="str">
        <f>"30016"</f>
        <v>30016</v>
      </c>
      <c r="B1392" t="s">
        <v>11</v>
      </c>
      <c r="C1392" t="s">
        <v>644</v>
      </c>
      <c r="D1392" t="s">
        <v>13</v>
      </c>
      <c r="E1392" t="s">
        <v>14</v>
      </c>
      <c r="F1392" t="s">
        <v>15</v>
      </c>
      <c r="G1392" t="s">
        <v>15</v>
      </c>
      <c r="H1392" t="s">
        <v>15</v>
      </c>
      <c r="I1392" s="1">
        <v>365920800</v>
      </c>
    </row>
    <row r="1393" spans="1:9" x14ac:dyDescent="0.25">
      <c r="A1393" t="s">
        <v>32</v>
      </c>
      <c r="B1393" t="s">
        <v>33</v>
      </c>
      <c r="C1393" t="s">
        <v>34</v>
      </c>
      <c r="D1393" t="s">
        <v>13</v>
      </c>
      <c r="E1393" t="s">
        <v>14</v>
      </c>
      <c r="F1393" t="s">
        <v>15</v>
      </c>
      <c r="G1393" t="s">
        <v>15</v>
      </c>
      <c r="H1393" t="s">
        <v>15</v>
      </c>
      <c r="I1393" s="1">
        <v>1483576300</v>
      </c>
    </row>
    <row r="1394" spans="1:9" x14ac:dyDescent="0.25">
      <c r="A1394" t="str">
        <f>"30104"</f>
        <v>30104</v>
      </c>
      <c r="B1394" t="s">
        <v>35</v>
      </c>
      <c r="C1394" t="s">
        <v>306</v>
      </c>
      <c r="D1394" t="s">
        <v>13</v>
      </c>
      <c r="E1394" t="s">
        <v>14</v>
      </c>
      <c r="F1394" t="s">
        <v>15</v>
      </c>
      <c r="G1394" t="s">
        <v>15</v>
      </c>
      <c r="H1394" t="s">
        <v>15</v>
      </c>
      <c r="I1394" s="1">
        <v>642025600</v>
      </c>
    </row>
    <row r="1395" spans="1:9" x14ac:dyDescent="0.25">
      <c r="A1395" t="str">
        <f>"30131"</f>
        <v>30131</v>
      </c>
      <c r="B1395" t="s">
        <v>35</v>
      </c>
      <c r="C1395" t="s">
        <v>645</v>
      </c>
      <c r="D1395" t="s">
        <v>13</v>
      </c>
      <c r="E1395" t="s">
        <v>14</v>
      </c>
      <c r="F1395" t="s">
        <v>15</v>
      </c>
      <c r="G1395" t="s">
        <v>15</v>
      </c>
      <c r="H1395" t="s">
        <v>15</v>
      </c>
      <c r="I1395" s="1">
        <v>331100</v>
      </c>
    </row>
    <row r="1396" spans="1:9" x14ac:dyDescent="0.25">
      <c r="A1396" t="str">
        <f>"30171"</f>
        <v>30171</v>
      </c>
      <c r="B1396" t="s">
        <v>35</v>
      </c>
      <c r="C1396" t="s">
        <v>646</v>
      </c>
      <c r="D1396" t="str">
        <f>"001"</f>
        <v>001</v>
      </c>
      <c r="E1396">
        <v>2012</v>
      </c>
      <c r="F1396">
        <v>14133700</v>
      </c>
      <c r="G1396">
        <v>16566300</v>
      </c>
      <c r="H1396">
        <v>2432600</v>
      </c>
    </row>
    <row r="1397" spans="1:9" x14ac:dyDescent="0.25">
      <c r="A1397" t="str">
        <f>"30171"</f>
        <v>30171</v>
      </c>
      <c r="B1397" t="s">
        <v>35</v>
      </c>
      <c r="C1397" t="s">
        <v>646</v>
      </c>
      <c r="D1397" t="str">
        <f>"002"</f>
        <v>002</v>
      </c>
      <c r="E1397">
        <v>2017</v>
      </c>
      <c r="F1397">
        <v>14925300</v>
      </c>
      <c r="G1397">
        <v>15091100</v>
      </c>
      <c r="H1397">
        <v>165800</v>
      </c>
    </row>
    <row r="1398" spans="1:9" x14ac:dyDescent="0.25">
      <c r="A1398" t="str">
        <f>"30171"</f>
        <v>30171</v>
      </c>
      <c r="B1398" t="s">
        <v>35</v>
      </c>
      <c r="C1398" t="s">
        <v>646</v>
      </c>
      <c r="D1398" t="s">
        <v>13</v>
      </c>
      <c r="E1398" t="s">
        <v>14</v>
      </c>
      <c r="F1398" t="s">
        <v>15</v>
      </c>
      <c r="G1398" t="s">
        <v>15</v>
      </c>
      <c r="H1398" t="s">
        <v>15</v>
      </c>
      <c r="I1398" s="1">
        <v>256139100</v>
      </c>
    </row>
    <row r="1399" spans="1:9" x14ac:dyDescent="0.25">
      <c r="A1399" t="str">
        <f t="shared" ref="A1399:A1404" si="27">"30174"</f>
        <v>30174</v>
      </c>
      <c r="B1399" t="s">
        <v>35</v>
      </c>
      <c r="C1399" t="s">
        <v>647</v>
      </c>
      <c r="D1399" t="str">
        <f>"002"</f>
        <v>002</v>
      </c>
      <c r="E1399">
        <v>1999</v>
      </c>
      <c r="F1399">
        <v>84130100</v>
      </c>
      <c r="G1399">
        <v>796224200</v>
      </c>
      <c r="H1399">
        <v>712094100</v>
      </c>
    </row>
    <row r="1400" spans="1:9" x14ac:dyDescent="0.25">
      <c r="A1400" t="str">
        <f t="shared" si="27"/>
        <v>30174</v>
      </c>
      <c r="B1400" t="s">
        <v>35</v>
      </c>
      <c r="C1400" t="s">
        <v>647</v>
      </c>
      <c r="D1400" t="str">
        <f>"004"</f>
        <v>004</v>
      </c>
      <c r="E1400">
        <v>2007</v>
      </c>
      <c r="F1400">
        <v>166100</v>
      </c>
      <c r="G1400">
        <v>1452900</v>
      </c>
      <c r="H1400">
        <v>1286800</v>
      </c>
    </row>
    <row r="1401" spans="1:9" x14ac:dyDescent="0.25">
      <c r="A1401" t="str">
        <f t="shared" si="27"/>
        <v>30174</v>
      </c>
      <c r="B1401" t="s">
        <v>35</v>
      </c>
      <c r="C1401" t="s">
        <v>647</v>
      </c>
      <c r="D1401" t="str">
        <f>"005"</f>
        <v>005</v>
      </c>
      <c r="E1401">
        <v>2017</v>
      </c>
      <c r="F1401">
        <v>25069900</v>
      </c>
      <c r="G1401">
        <v>81624500</v>
      </c>
      <c r="H1401">
        <v>56554600</v>
      </c>
    </row>
    <row r="1402" spans="1:9" x14ac:dyDescent="0.25">
      <c r="A1402" t="str">
        <f t="shared" si="27"/>
        <v>30174</v>
      </c>
      <c r="B1402" t="s">
        <v>35</v>
      </c>
      <c r="C1402" t="s">
        <v>647</v>
      </c>
      <c r="D1402" t="str">
        <f>"006"</f>
        <v>006</v>
      </c>
      <c r="E1402">
        <v>2018</v>
      </c>
      <c r="F1402">
        <v>88900</v>
      </c>
      <c r="G1402">
        <v>8429100</v>
      </c>
      <c r="H1402">
        <v>8340200</v>
      </c>
    </row>
    <row r="1403" spans="1:9" x14ac:dyDescent="0.25">
      <c r="A1403" t="str">
        <f t="shared" si="27"/>
        <v>30174</v>
      </c>
      <c r="B1403" t="s">
        <v>35</v>
      </c>
      <c r="C1403" t="s">
        <v>647</v>
      </c>
      <c r="D1403" t="str">
        <f>"007"</f>
        <v>007</v>
      </c>
      <c r="E1403">
        <v>2018</v>
      </c>
      <c r="F1403">
        <v>832500</v>
      </c>
      <c r="G1403">
        <v>872300</v>
      </c>
      <c r="H1403">
        <v>39800</v>
      </c>
    </row>
    <row r="1404" spans="1:9" x14ac:dyDescent="0.25">
      <c r="A1404" t="str">
        <f t="shared" si="27"/>
        <v>30174</v>
      </c>
      <c r="B1404" t="s">
        <v>35</v>
      </c>
      <c r="C1404" t="s">
        <v>647</v>
      </c>
      <c r="D1404" t="s">
        <v>13</v>
      </c>
      <c r="E1404" t="s">
        <v>14</v>
      </c>
      <c r="F1404" t="s">
        <v>15</v>
      </c>
      <c r="G1404" t="s">
        <v>15</v>
      </c>
      <c r="H1404" t="s">
        <v>15</v>
      </c>
      <c r="I1404" s="1">
        <v>3122024000</v>
      </c>
    </row>
    <row r="1405" spans="1:9" x14ac:dyDescent="0.25">
      <c r="A1405" t="str">
        <f>"30179"</f>
        <v>30179</v>
      </c>
      <c r="B1405" t="s">
        <v>35</v>
      </c>
      <c r="C1405" t="s">
        <v>648</v>
      </c>
      <c r="D1405" t="str">
        <f>"001"</f>
        <v>001</v>
      </c>
      <c r="E1405">
        <v>2015</v>
      </c>
      <c r="F1405">
        <v>29500</v>
      </c>
      <c r="G1405">
        <v>7402100</v>
      </c>
      <c r="H1405">
        <v>7372600</v>
      </c>
    </row>
    <row r="1406" spans="1:9" x14ac:dyDescent="0.25">
      <c r="A1406" t="str">
        <f>"30179"</f>
        <v>30179</v>
      </c>
      <c r="B1406" t="s">
        <v>35</v>
      </c>
      <c r="C1406" t="s">
        <v>648</v>
      </c>
      <c r="D1406" t="s">
        <v>13</v>
      </c>
      <c r="E1406" t="s">
        <v>14</v>
      </c>
      <c r="F1406" t="s">
        <v>15</v>
      </c>
      <c r="G1406" t="s">
        <v>15</v>
      </c>
      <c r="H1406" t="s">
        <v>15</v>
      </c>
      <c r="I1406" s="1">
        <v>1481431700</v>
      </c>
    </row>
    <row r="1407" spans="1:9" x14ac:dyDescent="0.25">
      <c r="A1407" t="str">
        <f t="shared" ref="A1407:A1418" si="28">"30182"</f>
        <v>30182</v>
      </c>
      <c r="B1407" t="s">
        <v>35</v>
      </c>
      <c r="C1407" t="s">
        <v>643</v>
      </c>
      <c r="D1407" t="str">
        <f>"001"</f>
        <v>001</v>
      </c>
      <c r="E1407">
        <v>2015</v>
      </c>
      <c r="F1407">
        <v>476300</v>
      </c>
      <c r="G1407">
        <v>55450400</v>
      </c>
      <c r="H1407">
        <v>54974100</v>
      </c>
    </row>
    <row r="1408" spans="1:9" x14ac:dyDescent="0.25">
      <c r="A1408" t="str">
        <f t="shared" si="28"/>
        <v>30182</v>
      </c>
      <c r="B1408" t="s">
        <v>35</v>
      </c>
      <c r="C1408" t="s">
        <v>643</v>
      </c>
      <c r="D1408" t="str">
        <f>"002"</f>
        <v>002</v>
      </c>
      <c r="E1408">
        <v>2015</v>
      </c>
      <c r="F1408">
        <v>5810800</v>
      </c>
      <c r="G1408">
        <v>56294400</v>
      </c>
      <c r="H1408">
        <v>50483600</v>
      </c>
    </row>
    <row r="1409" spans="1:9" x14ac:dyDescent="0.25">
      <c r="A1409" t="str">
        <f t="shared" si="28"/>
        <v>30182</v>
      </c>
      <c r="B1409" t="s">
        <v>35</v>
      </c>
      <c r="C1409" t="s">
        <v>643</v>
      </c>
      <c r="D1409" t="str">
        <f>"003"</f>
        <v>003</v>
      </c>
      <c r="E1409">
        <v>2018</v>
      </c>
      <c r="F1409">
        <v>1779800</v>
      </c>
      <c r="G1409">
        <v>1716000</v>
      </c>
      <c r="H1409">
        <v>0</v>
      </c>
    </row>
    <row r="1410" spans="1:9" x14ac:dyDescent="0.25">
      <c r="A1410" t="str">
        <f t="shared" si="28"/>
        <v>30182</v>
      </c>
      <c r="B1410" t="s">
        <v>35</v>
      </c>
      <c r="C1410" t="s">
        <v>643</v>
      </c>
      <c r="D1410" t="str">
        <f>"004"</f>
        <v>004</v>
      </c>
      <c r="E1410">
        <v>2018</v>
      </c>
      <c r="F1410">
        <v>1088600</v>
      </c>
      <c r="G1410">
        <v>1160500</v>
      </c>
      <c r="H1410">
        <v>71900</v>
      </c>
    </row>
    <row r="1411" spans="1:9" x14ac:dyDescent="0.25">
      <c r="A1411" t="str">
        <f t="shared" si="28"/>
        <v>30182</v>
      </c>
      <c r="B1411" t="s">
        <v>35</v>
      </c>
      <c r="C1411" t="s">
        <v>643</v>
      </c>
      <c r="D1411" t="str">
        <f>"005"</f>
        <v>005</v>
      </c>
      <c r="E1411">
        <v>2018</v>
      </c>
      <c r="F1411">
        <v>1338800</v>
      </c>
      <c r="G1411">
        <v>1492400</v>
      </c>
      <c r="H1411">
        <v>153600</v>
      </c>
    </row>
    <row r="1412" spans="1:9" x14ac:dyDescent="0.25">
      <c r="A1412" t="str">
        <f t="shared" si="28"/>
        <v>30182</v>
      </c>
      <c r="B1412" t="s">
        <v>35</v>
      </c>
      <c r="C1412" t="s">
        <v>643</v>
      </c>
      <c r="D1412" t="str">
        <f>"006"</f>
        <v>006</v>
      </c>
      <c r="E1412">
        <v>2018</v>
      </c>
      <c r="F1412">
        <v>2448400</v>
      </c>
      <c r="G1412">
        <v>2617500</v>
      </c>
      <c r="H1412">
        <v>169100</v>
      </c>
    </row>
    <row r="1413" spans="1:9" x14ac:dyDescent="0.25">
      <c r="A1413" t="str">
        <f t="shared" si="28"/>
        <v>30182</v>
      </c>
      <c r="B1413" t="s">
        <v>35</v>
      </c>
      <c r="C1413" t="s">
        <v>643</v>
      </c>
      <c r="D1413" t="str">
        <f>"007"</f>
        <v>007</v>
      </c>
      <c r="E1413">
        <v>2018</v>
      </c>
      <c r="F1413">
        <v>8364800</v>
      </c>
      <c r="G1413">
        <v>9120200</v>
      </c>
      <c r="H1413">
        <v>755400</v>
      </c>
    </row>
    <row r="1414" spans="1:9" x14ac:dyDescent="0.25">
      <c r="A1414" t="str">
        <f t="shared" si="28"/>
        <v>30182</v>
      </c>
      <c r="B1414" t="s">
        <v>35</v>
      </c>
      <c r="C1414" t="s">
        <v>643</v>
      </c>
      <c r="D1414" t="str">
        <f>"008"</f>
        <v>008</v>
      </c>
      <c r="E1414">
        <v>2018</v>
      </c>
      <c r="F1414">
        <v>362100</v>
      </c>
      <c r="G1414">
        <v>386200</v>
      </c>
      <c r="H1414">
        <v>24100</v>
      </c>
    </row>
    <row r="1415" spans="1:9" x14ac:dyDescent="0.25">
      <c r="A1415" t="str">
        <f t="shared" si="28"/>
        <v>30182</v>
      </c>
      <c r="B1415" t="s">
        <v>35</v>
      </c>
      <c r="C1415" t="s">
        <v>643</v>
      </c>
      <c r="D1415" t="str">
        <f>"009"</f>
        <v>009</v>
      </c>
      <c r="E1415">
        <v>2018</v>
      </c>
      <c r="F1415">
        <v>2081700</v>
      </c>
      <c r="G1415">
        <v>2217900</v>
      </c>
      <c r="H1415">
        <v>136200</v>
      </c>
    </row>
    <row r="1416" spans="1:9" x14ac:dyDescent="0.25">
      <c r="A1416" t="str">
        <f t="shared" si="28"/>
        <v>30182</v>
      </c>
      <c r="B1416" t="s">
        <v>35</v>
      </c>
      <c r="C1416" t="s">
        <v>643</v>
      </c>
      <c r="D1416" t="str">
        <f>"010"</f>
        <v>010</v>
      </c>
      <c r="E1416">
        <v>2018</v>
      </c>
      <c r="F1416">
        <v>3219200</v>
      </c>
      <c r="G1416">
        <v>3422100</v>
      </c>
      <c r="H1416">
        <v>202900</v>
      </c>
    </row>
    <row r="1417" spans="1:9" x14ac:dyDescent="0.25">
      <c r="A1417" t="str">
        <f t="shared" si="28"/>
        <v>30182</v>
      </c>
      <c r="B1417" t="s">
        <v>35</v>
      </c>
      <c r="C1417" t="s">
        <v>643</v>
      </c>
      <c r="D1417" t="str">
        <f>"011"</f>
        <v>011</v>
      </c>
      <c r="E1417">
        <v>2018</v>
      </c>
      <c r="F1417">
        <v>195100</v>
      </c>
      <c r="G1417">
        <v>208100</v>
      </c>
      <c r="H1417">
        <v>13000</v>
      </c>
    </row>
    <row r="1418" spans="1:9" x14ac:dyDescent="0.25">
      <c r="A1418" t="str">
        <f t="shared" si="28"/>
        <v>30182</v>
      </c>
      <c r="B1418" t="s">
        <v>35</v>
      </c>
      <c r="C1418" t="s">
        <v>643</v>
      </c>
      <c r="D1418" t="s">
        <v>13</v>
      </c>
      <c r="E1418" t="s">
        <v>14</v>
      </c>
      <c r="F1418" t="s">
        <v>15</v>
      </c>
      <c r="G1418" t="s">
        <v>15</v>
      </c>
      <c r="H1418" t="s">
        <v>15</v>
      </c>
      <c r="I1418" s="1">
        <v>789062700</v>
      </c>
    </row>
    <row r="1419" spans="1:9" x14ac:dyDescent="0.25">
      <c r="A1419" t="str">
        <f>"30186"</f>
        <v>30186</v>
      </c>
      <c r="B1419" t="s">
        <v>35</v>
      </c>
      <c r="C1419" t="s">
        <v>649</v>
      </c>
      <c r="D1419" t="str">
        <f>"001"</f>
        <v>001</v>
      </c>
      <c r="E1419">
        <v>2007</v>
      </c>
      <c r="F1419">
        <v>44044400</v>
      </c>
      <c r="G1419">
        <v>53298400</v>
      </c>
      <c r="H1419">
        <v>9254000</v>
      </c>
    </row>
    <row r="1420" spans="1:9" x14ac:dyDescent="0.25">
      <c r="A1420" t="str">
        <f>"30186"</f>
        <v>30186</v>
      </c>
      <c r="B1420" t="s">
        <v>35</v>
      </c>
      <c r="C1420" t="s">
        <v>649</v>
      </c>
      <c r="D1420" t="s">
        <v>13</v>
      </c>
      <c r="E1420" t="s">
        <v>14</v>
      </c>
      <c r="F1420" t="s">
        <v>15</v>
      </c>
      <c r="G1420" t="s">
        <v>15</v>
      </c>
      <c r="H1420" t="s">
        <v>15</v>
      </c>
      <c r="I1420" s="1">
        <v>871802200</v>
      </c>
    </row>
    <row r="1421" spans="1:9" x14ac:dyDescent="0.25">
      <c r="A1421" t="s">
        <v>32</v>
      </c>
      <c r="B1421" t="s">
        <v>37</v>
      </c>
      <c r="C1421" t="s">
        <v>34</v>
      </c>
      <c r="D1421" t="s">
        <v>13</v>
      </c>
      <c r="E1421" t="s">
        <v>14</v>
      </c>
      <c r="F1421" t="s">
        <v>15</v>
      </c>
      <c r="G1421" t="s">
        <v>15</v>
      </c>
      <c r="H1421" t="s">
        <v>15</v>
      </c>
      <c r="I1421" s="1">
        <v>7162816400</v>
      </c>
    </row>
    <row r="1422" spans="1:9" x14ac:dyDescent="0.25">
      <c r="A1422" t="str">
        <f t="shared" ref="A1422:A1444" si="29">"30241"</f>
        <v>30241</v>
      </c>
      <c r="B1422" t="s">
        <v>38</v>
      </c>
      <c r="C1422" t="s">
        <v>650</v>
      </c>
      <c r="D1422" t="str">
        <f>"001"</f>
        <v>001</v>
      </c>
      <c r="E1422">
        <v>1979</v>
      </c>
      <c r="F1422">
        <v>2273000</v>
      </c>
      <c r="G1422">
        <v>78665600</v>
      </c>
      <c r="H1422">
        <v>76392600</v>
      </c>
    </row>
    <row r="1423" spans="1:9" x14ac:dyDescent="0.25">
      <c r="A1423" t="str">
        <f t="shared" si="29"/>
        <v>30241</v>
      </c>
      <c r="B1423" t="s">
        <v>38</v>
      </c>
      <c r="C1423" t="s">
        <v>650</v>
      </c>
      <c r="D1423" t="str">
        <f>"004"</f>
        <v>004</v>
      </c>
      <c r="E1423">
        <v>1989</v>
      </c>
      <c r="F1423">
        <v>16173300</v>
      </c>
      <c r="G1423">
        <v>118874000</v>
      </c>
      <c r="H1423">
        <v>102700700</v>
      </c>
    </row>
    <row r="1424" spans="1:9" x14ac:dyDescent="0.25">
      <c r="A1424" t="str">
        <f t="shared" si="29"/>
        <v>30241</v>
      </c>
      <c r="B1424" t="s">
        <v>38</v>
      </c>
      <c r="C1424" t="s">
        <v>650</v>
      </c>
      <c r="D1424" t="str">
        <f>"005"</f>
        <v>005</v>
      </c>
      <c r="E1424">
        <v>1994</v>
      </c>
      <c r="F1424">
        <v>319700</v>
      </c>
      <c r="G1424">
        <v>108183000</v>
      </c>
      <c r="H1424">
        <v>107863300</v>
      </c>
    </row>
    <row r="1425" spans="1:8" x14ac:dyDescent="0.25">
      <c r="A1425" t="str">
        <f t="shared" si="29"/>
        <v>30241</v>
      </c>
      <c r="B1425" t="s">
        <v>38</v>
      </c>
      <c r="C1425" t="s">
        <v>650</v>
      </c>
      <c r="D1425" t="str">
        <f>"006"</f>
        <v>006</v>
      </c>
      <c r="E1425">
        <v>1997</v>
      </c>
      <c r="F1425">
        <v>3716200</v>
      </c>
      <c r="G1425">
        <v>17516000</v>
      </c>
      <c r="H1425">
        <v>13799800</v>
      </c>
    </row>
    <row r="1426" spans="1:8" x14ac:dyDescent="0.25">
      <c r="A1426" t="str">
        <f t="shared" si="29"/>
        <v>30241</v>
      </c>
      <c r="B1426" t="s">
        <v>38</v>
      </c>
      <c r="C1426" t="s">
        <v>650</v>
      </c>
      <c r="D1426" t="str">
        <f>"007"</f>
        <v>007</v>
      </c>
      <c r="E1426">
        <v>2002</v>
      </c>
      <c r="F1426">
        <v>1178600</v>
      </c>
      <c r="G1426">
        <v>11569000</v>
      </c>
      <c r="H1426">
        <v>10390400</v>
      </c>
    </row>
    <row r="1427" spans="1:8" x14ac:dyDescent="0.25">
      <c r="A1427" t="str">
        <f t="shared" si="29"/>
        <v>30241</v>
      </c>
      <c r="B1427" t="s">
        <v>38</v>
      </c>
      <c r="C1427" t="s">
        <v>650</v>
      </c>
      <c r="D1427" t="str">
        <f>"008"</f>
        <v>008</v>
      </c>
      <c r="E1427">
        <v>2002</v>
      </c>
      <c r="F1427">
        <v>245900</v>
      </c>
      <c r="G1427">
        <v>66907400</v>
      </c>
      <c r="H1427">
        <v>66661500</v>
      </c>
    </row>
    <row r="1428" spans="1:8" x14ac:dyDescent="0.25">
      <c r="A1428" t="str">
        <f t="shared" si="29"/>
        <v>30241</v>
      </c>
      <c r="B1428" t="s">
        <v>38</v>
      </c>
      <c r="C1428" t="s">
        <v>650</v>
      </c>
      <c r="D1428" t="str">
        <f>"009"</f>
        <v>009</v>
      </c>
      <c r="E1428">
        <v>2003</v>
      </c>
      <c r="F1428">
        <v>24538700</v>
      </c>
      <c r="G1428">
        <v>64854600</v>
      </c>
      <c r="H1428">
        <v>40315900</v>
      </c>
    </row>
    <row r="1429" spans="1:8" x14ac:dyDescent="0.25">
      <c r="A1429" t="str">
        <f t="shared" si="29"/>
        <v>30241</v>
      </c>
      <c r="B1429" t="s">
        <v>38</v>
      </c>
      <c r="C1429" t="s">
        <v>650</v>
      </c>
      <c r="D1429" t="str">
        <f>"010"</f>
        <v>010</v>
      </c>
      <c r="E1429">
        <v>2005</v>
      </c>
      <c r="F1429">
        <v>12297700</v>
      </c>
      <c r="G1429">
        <v>15591000</v>
      </c>
      <c r="H1429">
        <v>3293300</v>
      </c>
    </row>
    <row r="1430" spans="1:8" x14ac:dyDescent="0.25">
      <c r="A1430" t="str">
        <f t="shared" si="29"/>
        <v>30241</v>
      </c>
      <c r="B1430" t="s">
        <v>38</v>
      </c>
      <c r="C1430" t="s">
        <v>650</v>
      </c>
      <c r="D1430" t="str">
        <f>"011"</f>
        <v>011</v>
      </c>
      <c r="E1430">
        <v>2006</v>
      </c>
      <c r="F1430">
        <v>2873300</v>
      </c>
      <c r="G1430">
        <v>107437100</v>
      </c>
      <c r="H1430">
        <v>104563800</v>
      </c>
    </row>
    <row r="1431" spans="1:8" x14ac:dyDescent="0.25">
      <c r="A1431" t="str">
        <f t="shared" si="29"/>
        <v>30241</v>
      </c>
      <c r="B1431" t="s">
        <v>38</v>
      </c>
      <c r="C1431" t="s">
        <v>650</v>
      </c>
      <c r="D1431" t="str">
        <f>"013"</f>
        <v>013</v>
      </c>
      <c r="E1431">
        <v>2008</v>
      </c>
      <c r="F1431">
        <v>625100</v>
      </c>
      <c r="G1431">
        <v>56520300</v>
      </c>
      <c r="H1431">
        <v>55895200</v>
      </c>
    </row>
    <row r="1432" spans="1:8" x14ac:dyDescent="0.25">
      <c r="A1432" t="str">
        <f t="shared" si="29"/>
        <v>30241</v>
      </c>
      <c r="B1432" t="s">
        <v>38</v>
      </c>
      <c r="C1432" t="s">
        <v>650</v>
      </c>
      <c r="D1432" t="str">
        <f>"015"</f>
        <v>015</v>
      </c>
      <c r="E1432">
        <v>2013</v>
      </c>
      <c r="F1432">
        <v>291500</v>
      </c>
      <c r="G1432">
        <v>1261900</v>
      </c>
      <c r="H1432">
        <v>970400</v>
      </c>
    </row>
    <row r="1433" spans="1:8" x14ac:dyDescent="0.25">
      <c r="A1433" t="str">
        <f t="shared" si="29"/>
        <v>30241</v>
      </c>
      <c r="B1433" t="s">
        <v>38</v>
      </c>
      <c r="C1433" t="s">
        <v>650</v>
      </c>
      <c r="D1433" t="str">
        <f>"016"</f>
        <v>016</v>
      </c>
      <c r="E1433">
        <v>2013</v>
      </c>
      <c r="F1433">
        <v>1571900</v>
      </c>
      <c r="G1433">
        <v>160535300</v>
      </c>
      <c r="H1433">
        <v>158963400</v>
      </c>
    </row>
    <row r="1434" spans="1:8" x14ac:dyDescent="0.25">
      <c r="A1434" t="str">
        <f t="shared" si="29"/>
        <v>30241</v>
      </c>
      <c r="B1434" t="s">
        <v>38</v>
      </c>
      <c r="C1434" t="s">
        <v>650</v>
      </c>
      <c r="D1434" t="str">
        <f>"017"</f>
        <v>017</v>
      </c>
      <c r="E1434">
        <v>2014</v>
      </c>
      <c r="F1434">
        <v>50900</v>
      </c>
      <c r="G1434">
        <v>9278000</v>
      </c>
      <c r="H1434">
        <v>9227100</v>
      </c>
    </row>
    <row r="1435" spans="1:8" x14ac:dyDescent="0.25">
      <c r="A1435" t="str">
        <f t="shared" si="29"/>
        <v>30241</v>
      </c>
      <c r="B1435" t="s">
        <v>38</v>
      </c>
      <c r="C1435" t="s">
        <v>650</v>
      </c>
      <c r="D1435" t="str">
        <f>"018"</f>
        <v>018</v>
      </c>
      <c r="E1435">
        <v>2015</v>
      </c>
      <c r="F1435">
        <v>182300</v>
      </c>
      <c r="G1435">
        <v>14852200</v>
      </c>
      <c r="H1435">
        <v>14669900</v>
      </c>
    </row>
    <row r="1436" spans="1:8" x14ac:dyDescent="0.25">
      <c r="A1436" t="str">
        <f t="shared" si="29"/>
        <v>30241</v>
      </c>
      <c r="B1436" t="s">
        <v>38</v>
      </c>
      <c r="C1436" t="s">
        <v>650</v>
      </c>
      <c r="D1436" t="str">
        <f>"019"</f>
        <v>019</v>
      </c>
      <c r="E1436">
        <v>2017</v>
      </c>
      <c r="F1436">
        <v>400900</v>
      </c>
      <c r="G1436">
        <v>358400</v>
      </c>
      <c r="H1436">
        <v>0</v>
      </c>
    </row>
    <row r="1437" spans="1:8" x14ac:dyDescent="0.25">
      <c r="A1437" t="str">
        <f t="shared" si="29"/>
        <v>30241</v>
      </c>
      <c r="B1437" t="s">
        <v>38</v>
      </c>
      <c r="C1437" t="s">
        <v>650</v>
      </c>
      <c r="D1437" t="str">
        <f>"020"</f>
        <v>020</v>
      </c>
      <c r="E1437">
        <v>2017</v>
      </c>
      <c r="F1437">
        <v>4000</v>
      </c>
      <c r="G1437">
        <v>11967400</v>
      </c>
      <c r="H1437">
        <v>11963400</v>
      </c>
    </row>
    <row r="1438" spans="1:8" x14ac:dyDescent="0.25">
      <c r="A1438" t="str">
        <f t="shared" si="29"/>
        <v>30241</v>
      </c>
      <c r="B1438" t="s">
        <v>38</v>
      </c>
      <c r="C1438" t="s">
        <v>650</v>
      </c>
      <c r="D1438" t="str">
        <f>"021"</f>
        <v>021</v>
      </c>
      <c r="E1438">
        <v>2017</v>
      </c>
      <c r="F1438">
        <v>19400</v>
      </c>
      <c r="G1438">
        <v>12111900</v>
      </c>
      <c r="H1438">
        <v>12092500</v>
      </c>
    </row>
    <row r="1439" spans="1:8" x14ac:dyDescent="0.25">
      <c r="A1439" t="str">
        <f t="shared" si="29"/>
        <v>30241</v>
      </c>
      <c r="B1439" t="s">
        <v>38</v>
      </c>
      <c r="C1439" t="s">
        <v>650</v>
      </c>
      <c r="D1439" t="str">
        <f>"022"</f>
        <v>022</v>
      </c>
      <c r="E1439">
        <v>2018</v>
      </c>
      <c r="F1439">
        <v>14852400</v>
      </c>
      <c r="G1439">
        <v>16107000</v>
      </c>
      <c r="H1439">
        <v>1254600</v>
      </c>
    </row>
    <row r="1440" spans="1:8" x14ac:dyDescent="0.25">
      <c r="A1440" t="str">
        <f t="shared" si="29"/>
        <v>30241</v>
      </c>
      <c r="B1440" t="s">
        <v>38</v>
      </c>
      <c r="C1440" t="s">
        <v>650</v>
      </c>
      <c r="D1440" t="str">
        <f>"023"</f>
        <v>023</v>
      </c>
      <c r="E1440">
        <v>2018</v>
      </c>
      <c r="F1440">
        <v>0</v>
      </c>
      <c r="G1440">
        <v>0</v>
      </c>
      <c r="H1440">
        <v>0</v>
      </c>
    </row>
    <row r="1441" spans="1:9" x14ac:dyDescent="0.25">
      <c r="A1441" t="str">
        <f t="shared" si="29"/>
        <v>30241</v>
      </c>
      <c r="B1441" t="s">
        <v>38</v>
      </c>
      <c r="C1441" t="s">
        <v>650</v>
      </c>
      <c r="D1441" t="str">
        <f>"024"</f>
        <v>024</v>
      </c>
      <c r="E1441">
        <v>2018</v>
      </c>
      <c r="F1441">
        <v>0</v>
      </c>
      <c r="G1441">
        <v>0</v>
      </c>
      <c r="H1441">
        <v>0</v>
      </c>
    </row>
    <row r="1442" spans="1:9" x14ac:dyDescent="0.25">
      <c r="A1442" t="str">
        <f t="shared" si="29"/>
        <v>30241</v>
      </c>
      <c r="B1442" t="s">
        <v>38</v>
      </c>
      <c r="C1442" t="s">
        <v>650</v>
      </c>
      <c r="D1442" t="str">
        <f>"025"</f>
        <v>025</v>
      </c>
      <c r="E1442">
        <v>2018</v>
      </c>
      <c r="F1442">
        <v>121800</v>
      </c>
      <c r="G1442">
        <v>132100</v>
      </c>
      <c r="H1442">
        <v>10300</v>
      </c>
    </row>
    <row r="1443" spans="1:9" x14ac:dyDescent="0.25">
      <c r="A1443" t="str">
        <f t="shared" si="29"/>
        <v>30241</v>
      </c>
      <c r="B1443" t="s">
        <v>38</v>
      </c>
      <c r="C1443" t="s">
        <v>650</v>
      </c>
      <c r="D1443" t="str">
        <f>"026"</f>
        <v>026</v>
      </c>
      <c r="E1443">
        <v>2018</v>
      </c>
      <c r="F1443">
        <v>4635200</v>
      </c>
      <c r="G1443">
        <v>5026800</v>
      </c>
      <c r="H1443">
        <v>391600</v>
      </c>
    </row>
    <row r="1444" spans="1:9" x14ac:dyDescent="0.25">
      <c r="A1444" t="str">
        <f t="shared" si="29"/>
        <v>30241</v>
      </c>
      <c r="B1444" t="s">
        <v>38</v>
      </c>
      <c r="C1444" t="s">
        <v>650</v>
      </c>
      <c r="D1444" t="s">
        <v>13</v>
      </c>
      <c r="E1444" t="s">
        <v>14</v>
      </c>
      <c r="F1444" t="s">
        <v>15</v>
      </c>
      <c r="G1444" t="s">
        <v>15</v>
      </c>
      <c r="H1444" t="s">
        <v>15</v>
      </c>
      <c r="I1444" s="1">
        <v>6489002300</v>
      </c>
    </row>
    <row r="1445" spans="1:9" x14ac:dyDescent="0.25">
      <c r="A1445" t="s">
        <v>32</v>
      </c>
      <c r="B1445" t="s">
        <v>40</v>
      </c>
      <c r="C1445" t="s">
        <v>34</v>
      </c>
      <c r="D1445" t="s">
        <v>13</v>
      </c>
      <c r="E1445" t="s">
        <v>14</v>
      </c>
      <c r="F1445" t="s">
        <v>15</v>
      </c>
      <c r="G1445" t="s">
        <v>15</v>
      </c>
      <c r="H1445" t="s">
        <v>15</v>
      </c>
      <c r="I1445" s="1">
        <v>6489002300</v>
      </c>
    </row>
    <row r="1446" spans="1:9" x14ac:dyDescent="0.25">
      <c r="A1446" t="s">
        <v>32</v>
      </c>
      <c r="B1446" t="s">
        <v>41</v>
      </c>
      <c r="C1446" t="s">
        <v>650</v>
      </c>
      <c r="D1446" t="s">
        <v>13</v>
      </c>
      <c r="E1446" t="s">
        <v>14</v>
      </c>
      <c r="F1446" t="s">
        <v>15</v>
      </c>
      <c r="G1446" t="s">
        <v>15</v>
      </c>
      <c r="H1446" t="s">
        <v>15</v>
      </c>
      <c r="I1446" s="1">
        <v>15135395000</v>
      </c>
    </row>
    <row r="1447" spans="1:9" x14ac:dyDescent="0.25">
      <c r="A1447" t="str">
        <f>"31002"</f>
        <v>31002</v>
      </c>
      <c r="B1447" t="s">
        <v>11</v>
      </c>
      <c r="C1447" t="s">
        <v>651</v>
      </c>
      <c r="D1447" t="s">
        <v>13</v>
      </c>
      <c r="E1447" t="s">
        <v>14</v>
      </c>
      <c r="F1447" t="s">
        <v>15</v>
      </c>
      <c r="G1447" t="s">
        <v>15</v>
      </c>
      <c r="H1447" t="s">
        <v>15</v>
      </c>
      <c r="I1447" s="1">
        <v>96592800</v>
      </c>
    </row>
    <row r="1448" spans="1:9" x14ac:dyDescent="0.25">
      <c r="A1448" t="str">
        <f>"31004"</f>
        <v>31004</v>
      </c>
      <c r="B1448" t="s">
        <v>11</v>
      </c>
      <c r="C1448" t="s">
        <v>652</v>
      </c>
      <c r="D1448" t="s">
        <v>13</v>
      </c>
      <c r="E1448" t="s">
        <v>14</v>
      </c>
      <c r="F1448" t="s">
        <v>15</v>
      </c>
      <c r="G1448" t="s">
        <v>15</v>
      </c>
      <c r="H1448" t="s">
        <v>15</v>
      </c>
      <c r="I1448" s="1">
        <v>112607100</v>
      </c>
    </row>
    <row r="1449" spans="1:9" x14ac:dyDescent="0.25">
      <c r="A1449" t="str">
        <f>"31006"</f>
        <v>31006</v>
      </c>
      <c r="B1449" t="s">
        <v>11</v>
      </c>
      <c r="C1449" t="s">
        <v>653</v>
      </c>
      <c r="D1449" t="s">
        <v>13</v>
      </c>
      <c r="E1449" t="s">
        <v>14</v>
      </c>
      <c r="F1449" t="s">
        <v>15</v>
      </c>
      <c r="G1449" t="s">
        <v>15</v>
      </c>
      <c r="H1449" t="s">
        <v>15</v>
      </c>
      <c r="I1449" s="1">
        <v>112068300</v>
      </c>
    </row>
    <row r="1450" spans="1:9" x14ac:dyDescent="0.25">
      <c r="A1450" t="str">
        <f>"31008"</f>
        <v>31008</v>
      </c>
      <c r="B1450" t="s">
        <v>11</v>
      </c>
      <c r="C1450" t="s">
        <v>589</v>
      </c>
      <c r="D1450" t="s">
        <v>13</v>
      </c>
      <c r="E1450" t="s">
        <v>14</v>
      </c>
      <c r="F1450" t="s">
        <v>15</v>
      </c>
      <c r="G1450" t="s">
        <v>15</v>
      </c>
      <c r="H1450" t="s">
        <v>15</v>
      </c>
      <c r="I1450" s="1">
        <v>103899400</v>
      </c>
    </row>
    <row r="1451" spans="1:9" x14ac:dyDescent="0.25">
      <c r="A1451" t="str">
        <f>"31010"</f>
        <v>31010</v>
      </c>
      <c r="B1451" t="s">
        <v>11</v>
      </c>
      <c r="C1451" t="s">
        <v>22</v>
      </c>
      <c r="D1451" t="s">
        <v>13</v>
      </c>
      <c r="E1451" t="s">
        <v>14</v>
      </c>
      <c r="F1451" t="s">
        <v>15</v>
      </c>
      <c r="G1451" t="s">
        <v>15</v>
      </c>
      <c r="H1451" t="s">
        <v>15</v>
      </c>
      <c r="I1451" s="1">
        <v>107762200</v>
      </c>
    </row>
    <row r="1452" spans="1:9" x14ac:dyDescent="0.25">
      <c r="A1452" t="str">
        <f>"31012"</f>
        <v>31012</v>
      </c>
      <c r="B1452" t="s">
        <v>11</v>
      </c>
      <c r="C1452" t="s">
        <v>654</v>
      </c>
      <c r="D1452" t="s">
        <v>13</v>
      </c>
      <c r="E1452" t="s">
        <v>14</v>
      </c>
      <c r="F1452" t="s">
        <v>15</v>
      </c>
      <c r="G1452" t="s">
        <v>15</v>
      </c>
      <c r="H1452" t="s">
        <v>15</v>
      </c>
      <c r="I1452" s="1">
        <v>151124600</v>
      </c>
    </row>
    <row r="1453" spans="1:9" x14ac:dyDescent="0.25">
      <c r="A1453" t="str">
        <f>"31014"</f>
        <v>31014</v>
      </c>
      <c r="B1453" t="s">
        <v>11</v>
      </c>
      <c r="C1453" t="s">
        <v>655</v>
      </c>
      <c r="D1453" t="s">
        <v>13</v>
      </c>
      <c r="E1453" t="s">
        <v>14</v>
      </c>
      <c r="F1453" t="s">
        <v>15</v>
      </c>
      <c r="G1453" t="s">
        <v>15</v>
      </c>
      <c r="H1453" t="s">
        <v>15</v>
      </c>
      <c r="I1453" s="1">
        <v>142305400</v>
      </c>
    </row>
    <row r="1454" spans="1:9" x14ac:dyDescent="0.25">
      <c r="A1454" t="str">
        <f>"31016"</f>
        <v>31016</v>
      </c>
      <c r="B1454" t="s">
        <v>11</v>
      </c>
      <c r="C1454" t="s">
        <v>656</v>
      </c>
      <c r="D1454" t="s">
        <v>13</v>
      </c>
      <c r="E1454" t="s">
        <v>14</v>
      </c>
      <c r="F1454" t="s">
        <v>15</v>
      </c>
      <c r="G1454" t="s">
        <v>15</v>
      </c>
      <c r="H1454" t="s">
        <v>15</v>
      </c>
      <c r="I1454" s="1">
        <v>88363600</v>
      </c>
    </row>
    <row r="1455" spans="1:9" x14ac:dyDescent="0.25">
      <c r="A1455" t="str">
        <f>"31018"</f>
        <v>31018</v>
      </c>
      <c r="B1455" t="s">
        <v>11</v>
      </c>
      <c r="C1455" t="s">
        <v>657</v>
      </c>
      <c r="D1455" t="s">
        <v>13</v>
      </c>
      <c r="E1455" t="s">
        <v>14</v>
      </c>
      <c r="F1455" t="s">
        <v>15</v>
      </c>
      <c r="G1455" t="s">
        <v>15</v>
      </c>
      <c r="H1455" t="s">
        <v>15</v>
      </c>
      <c r="I1455" s="1">
        <v>168730000</v>
      </c>
    </row>
    <row r="1456" spans="1:9" x14ac:dyDescent="0.25">
      <c r="A1456" t="str">
        <f>"31020"</f>
        <v>31020</v>
      </c>
      <c r="B1456" t="s">
        <v>11</v>
      </c>
      <c r="C1456" t="s">
        <v>658</v>
      </c>
      <c r="D1456" t="s">
        <v>13</v>
      </c>
      <c r="E1456" t="s">
        <v>14</v>
      </c>
      <c r="F1456" t="s">
        <v>15</v>
      </c>
      <c r="G1456" t="s">
        <v>15</v>
      </c>
      <c r="H1456" t="s">
        <v>15</v>
      </c>
      <c r="I1456" s="1">
        <v>115529200</v>
      </c>
    </row>
    <row r="1457" spans="1:9" x14ac:dyDescent="0.25">
      <c r="A1457" t="s">
        <v>32</v>
      </c>
      <c r="B1457" t="s">
        <v>33</v>
      </c>
      <c r="C1457" t="s">
        <v>34</v>
      </c>
      <c r="D1457" t="s">
        <v>13</v>
      </c>
      <c r="E1457" t="s">
        <v>14</v>
      </c>
      <c r="F1457" t="s">
        <v>15</v>
      </c>
      <c r="G1457" t="s">
        <v>15</v>
      </c>
      <c r="H1457" t="s">
        <v>15</v>
      </c>
      <c r="I1457" s="1">
        <v>1198982600</v>
      </c>
    </row>
    <row r="1458" spans="1:9" x14ac:dyDescent="0.25">
      <c r="A1458" t="str">
        <f>"31111"</f>
        <v>31111</v>
      </c>
      <c r="B1458" t="s">
        <v>35</v>
      </c>
      <c r="C1458" t="s">
        <v>653</v>
      </c>
      <c r="D1458" t="s">
        <v>13</v>
      </c>
      <c r="E1458" t="s">
        <v>14</v>
      </c>
      <c r="F1458" t="s">
        <v>15</v>
      </c>
      <c r="G1458" t="s">
        <v>15</v>
      </c>
      <c r="H1458" t="s">
        <v>15</v>
      </c>
      <c r="I1458" s="1">
        <v>33951700</v>
      </c>
    </row>
    <row r="1459" spans="1:9" x14ac:dyDescent="0.25">
      <c r="A1459" t="str">
        <f>"31146"</f>
        <v>31146</v>
      </c>
      <c r="B1459" t="s">
        <v>35</v>
      </c>
      <c r="C1459" t="s">
        <v>654</v>
      </c>
      <c r="D1459" t="str">
        <f>"001"</f>
        <v>001</v>
      </c>
      <c r="E1459">
        <v>1995</v>
      </c>
      <c r="F1459">
        <v>4720200</v>
      </c>
      <c r="G1459">
        <v>35730900</v>
      </c>
      <c r="H1459">
        <v>31010700</v>
      </c>
    </row>
    <row r="1460" spans="1:9" x14ac:dyDescent="0.25">
      <c r="A1460" t="str">
        <f>"31146"</f>
        <v>31146</v>
      </c>
      <c r="B1460" t="s">
        <v>35</v>
      </c>
      <c r="C1460" t="s">
        <v>654</v>
      </c>
      <c r="D1460" t="s">
        <v>13</v>
      </c>
      <c r="E1460" t="s">
        <v>14</v>
      </c>
      <c r="F1460" t="s">
        <v>15</v>
      </c>
      <c r="G1460" t="s">
        <v>15</v>
      </c>
      <c r="H1460" t="s">
        <v>15</v>
      </c>
      <c r="I1460" s="1">
        <v>168558500</v>
      </c>
    </row>
    <row r="1461" spans="1:9" x14ac:dyDescent="0.25">
      <c r="A1461" t="s">
        <v>32</v>
      </c>
      <c r="B1461" t="s">
        <v>37</v>
      </c>
      <c r="C1461" t="s">
        <v>34</v>
      </c>
      <c r="D1461" t="s">
        <v>13</v>
      </c>
      <c r="E1461" t="s">
        <v>14</v>
      </c>
      <c r="F1461" t="s">
        <v>15</v>
      </c>
      <c r="G1461" t="s">
        <v>15</v>
      </c>
      <c r="H1461" t="s">
        <v>15</v>
      </c>
      <c r="I1461" s="1">
        <v>202510200</v>
      </c>
    </row>
    <row r="1462" spans="1:9" x14ac:dyDescent="0.25">
      <c r="A1462" t="str">
        <f>"31201"</f>
        <v>31201</v>
      </c>
      <c r="B1462" t="s">
        <v>38</v>
      </c>
      <c r="C1462" t="s">
        <v>659</v>
      </c>
      <c r="D1462" t="str">
        <f>"001"</f>
        <v>001</v>
      </c>
      <c r="E1462">
        <v>2005</v>
      </c>
      <c r="F1462">
        <v>7899200</v>
      </c>
      <c r="G1462">
        <v>8028200</v>
      </c>
      <c r="H1462">
        <v>129000</v>
      </c>
    </row>
    <row r="1463" spans="1:9" x14ac:dyDescent="0.25">
      <c r="A1463" t="str">
        <f>"31201"</f>
        <v>31201</v>
      </c>
      <c r="B1463" t="s">
        <v>38</v>
      </c>
      <c r="C1463" t="s">
        <v>659</v>
      </c>
      <c r="D1463" t="str">
        <f>"002"</f>
        <v>002</v>
      </c>
      <c r="E1463">
        <v>2006</v>
      </c>
      <c r="F1463">
        <v>1910700</v>
      </c>
      <c r="G1463">
        <v>6619800</v>
      </c>
      <c r="H1463">
        <v>4709100</v>
      </c>
    </row>
    <row r="1464" spans="1:9" x14ac:dyDescent="0.25">
      <c r="A1464" t="str">
        <f>"31201"</f>
        <v>31201</v>
      </c>
      <c r="B1464" t="s">
        <v>38</v>
      </c>
      <c r="C1464" t="s">
        <v>659</v>
      </c>
      <c r="D1464" t="s">
        <v>13</v>
      </c>
      <c r="E1464" t="s">
        <v>14</v>
      </c>
      <c r="F1464" t="s">
        <v>15</v>
      </c>
      <c r="G1464" t="s">
        <v>15</v>
      </c>
      <c r="H1464" t="s">
        <v>15</v>
      </c>
      <c r="I1464" s="1">
        <v>179174700</v>
      </c>
    </row>
    <row r="1465" spans="1:9" x14ac:dyDescent="0.25">
      <c r="A1465" t="str">
        <f>"31241"</f>
        <v>31241</v>
      </c>
      <c r="B1465" t="s">
        <v>38</v>
      </c>
      <c r="C1465" t="s">
        <v>660</v>
      </c>
      <c r="D1465" t="str">
        <f>"002"</f>
        <v>002</v>
      </c>
      <c r="E1465">
        <v>1994</v>
      </c>
      <c r="F1465">
        <v>399000</v>
      </c>
      <c r="G1465">
        <v>7001600</v>
      </c>
      <c r="H1465">
        <v>6602600</v>
      </c>
    </row>
    <row r="1466" spans="1:9" x14ac:dyDescent="0.25">
      <c r="A1466" t="str">
        <f>"31241"</f>
        <v>31241</v>
      </c>
      <c r="B1466" t="s">
        <v>38</v>
      </c>
      <c r="C1466" t="s">
        <v>660</v>
      </c>
      <c r="D1466" t="s">
        <v>13</v>
      </c>
      <c r="E1466" t="s">
        <v>14</v>
      </c>
      <c r="F1466" t="s">
        <v>15</v>
      </c>
      <c r="G1466" t="s">
        <v>15</v>
      </c>
      <c r="H1466" t="s">
        <v>15</v>
      </c>
      <c r="I1466" s="1">
        <v>165161000</v>
      </c>
    </row>
    <row r="1467" spans="1:9" x14ac:dyDescent="0.25">
      <c r="A1467" t="s">
        <v>32</v>
      </c>
      <c r="B1467" t="s">
        <v>40</v>
      </c>
      <c r="C1467" t="s">
        <v>34</v>
      </c>
      <c r="D1467" t="s">
        <v>13</v>
      </c>
      <c r="E1467" t="s">
        <v>14</v>
      </c>
      <c r="F1467" t="s">
        <v>15</v>
      </c>
      <c r="G1467" t="s">
        <v>15</v>
      </c>
      <c r="H1467" t="s">
        <v>15</v>
      </c>
      <c r="I1467" s="1">
        <v>344335700</v>
      </c>
    </row>
    <row r="1468" spans="1:9" x14ac:dyDescent="0.25">
      <c r="A1468" t="s">
        <v>32</v>
      </c>
      <c r="B1468" t="s">
        <v>41</v>
      </c>
      <c r="C1468" t="s">
        <v>660</v>
      </c>
      <c r="D1468" t="s">
        <v>13</v>
      </c>
      <c r="E1468" t="s">
        <v>14</v>
      </c>
      <c r="F1468" t="s">
        <v>15</v>
      </c>
      <c r="G1468" t="s">
        <v>15</v>
      </c>
      <c r="H1468" t="s">
        <v>15</v>
      </c>
      <c r="I1468" s="1">
        <v>1745828500</v>
      </c>
    </row>
    <row r="1469" spans="1:9" x14ac:dyDescent="0.25">
      <c r="A1469" t="str">
        <f>"32002"</f>
        <v>32002</v>
      </c>
      <c r="B1469" t="s">
        <v>11</v>
      </c>
      <c r="C1469" t="s">
        <v>661</v>
      </c>
      <c r="D1469" t="s">
        <v>13</v>
      </c>
      <c r="E1469" t="s">
        <v>14</v>
      </c>
      <c r="F1469" t="s">
        <v>15</v>
      </c>
      <c r="G1469" t="s">
        <v>15</v>
      </c>
      <c r="H1469" t="s">
        <v>15</v>
      </c>
      <c r="I1469" s="1">
        <v>68508200</v>
      </c>
    </row>
    <row r="1470" spans="1:9" x14ac:dyDescent="0.25">
      <c r="A1470" t="str">
        <f>"32004"</f>
        <v>32004</v>
      </c>
      <c r="B1470" t="s">
        <v>11</v>
      </c>
      <c r="C1470" t="s">
        <v>662</v>
      </c>
      <c r="D1470" t="s">
        <v>13</v>
      </c>
      <c r="E1470" t="s">
        <v>14</v>
      </c>
      <c r="F1470" t="s">
        <v>15</v>
      </c>
      <c r="G1470" t="s">
        <v>15</v>
      </c>
      <c r="H1470" t="s">
        <v>15</v>
      </c>
      <c r="I1470" s="1">
        <v>126185000</v>
      </c>
    </row>
    <row r="1471" spans="1:9" x14ac:dyDescent="0.25">
      <c r="A1471" t="str">
        <f>"32006"</f>
        <v>32006</v>
      </c>
      <c r="B1471" t="s">
        <v>11</v>
      </c>
      <c r="C1471" t="s">
        <v>663</v>
      </c>
      <c r="D1471" t="s">
        <v>13</v>
      </c>
      <c r="E1471" t="s">
        <v>14</v>
      </c>
      <c r="F1471" t="s">
        <v>15</v>
      </c>
      <c r="G1471" t="s">
        <v>15</v>
      </c>
      <c r="H1471" t="s">
        <v>15</v>
      </c>
      <c r="I1471" s="1">
        <v>100426300</v>
      </c>
    </row>
    <row r="1472" spans="1:9" x14ac:dyDescent="0.25">
      <c r="A1472" t="str">
        <f>"32008"</f>
        <v>32008</v>
      </c>
      <c r="B1472" t="s">
        <v>11</v>
      </c>
      <c r="C1472" t="s">
        <v>664</v>
      </c>
      <c r="D1472" t="s">
        <v>13</v>
      </c>
      <c r="E1472" t="s">
        <v>14</v>
      </c>
      <c r="F1472" t="s">
        <v>15</v>
      </c>
      <c r="G1472" t="s">
        <v>15</v>
      </c>
      <c r="H1472" t="s">
        <v>15</v>
      </c>
      <c r="I1472" s="1">
        <v>355848700</v>
      </c>
    </row>
    <row r="1473" spans="1:9" x14ac:dyDescent="0.25">
      <c r="A1473" t="str">
        <f>"32010"</f>
        <v>32010</v>
      </c>
      <c r="B1473" t="s">
        <v>11</v>
      </c>
      <c r="C1473" t="s">
        <v>606</v>
      </c>
      <c r="D1473" t="s">
        <v>13</v>
      </c>
      <c r="E1473" t="s">
        <v>14</v>
      </c>
      <c r="F1473" t="s">
        <v>15</v>
      </c>
      <c r="G1473" t="s">
        <v>15</v>
      </c>
      <c r="H1473" t="s">
        <v>15</v>
      </c>
      <c r="I1473" s="1">
        <v>189316700</v>
      </c>
    </row>
    <row r="1474" spans="1:9" x14ac:dyDescent="0.25">
      <c r="A1474" t="str">
        <f>"32012"</f>
        <v>32012</v>
      </c>
      <c r="B1474" t="s">
        <v>11</v>
      </c>
      <c r="C1474" t="s">
        <v>665</v>
      </c>
      <c r="D1474" t="s">
        <v>13</v>
      </c>
      <c r="E1474" t="s">
        <v>14</v>
      </c>
      <c r="F1474" t="s">
        <v>15</v>
      </c>
      <c r="G1474" t="s">
        <v>15</v>
      </c>
      <c r="H1474" t="s">
        <v>15</v>
      </c>
      <c r="I1474" s="1">
        <v>182691100</v>
      </c>
    </row>
    <row r="1475" spans="1:9" x14ac:dyDescent="0.25">
      <c r="A1475" t="str">
        <f>"32014"</f>
        <v>32014</v>
      </c>
      <c r="B1475" t="s">
        <v>11</v>
      </c>
      <c r="C1475" t="s">
        <v>666</v>
      </c>
      <c r="D1475" t="s">
        <v>13</v>
      </c>
      <c r="E1475" t="s">
        <v>14</v>
      </c>
      <c r="F1475" t="s">
        <v>15</v>
      </c>
      <c r="G1475" t="s">
        <v>15</v>
      </c>
      <c r="H1475" t="s">
        <v>15</v>
      </c>
      <c r="I1475" s="1">
        <v>284728200</v>
      </c>
    </row>
    <row r="1476" spans="1:9" x14ac:dyDescent="0.25">
      <c r="A1476" t="str">
        <f>"32016"</f>
        <v>32016</v>
      </c>
      <c r="B1476" t="s">
        <v>11</v>
      </c>
      <c r="C1476" t="s">
        <v>112</v>
      </c>
      <c r="D1476" t="s">
        <v>13</v>
      </c>
      <c r="E1476" t="s">
        <v>14</v>
      </c>
      <c r="F1476" t="s">
        <v>15</v>
      </c>
      <c r="G1476" t="s">
        <v>15</v>
      </c>
      <c r="H1476" t="s">
        <v>15</v>
      </c>
      <c r="I1476" s="1">
        <v>445156900</v>
      </c>
    </row>
    <row r="1477" spans="1:9" x14ac:dyDescent="0.25">
      <c r="A1477" t="str">
        <f>"32018"</f>
        <v>32018</v>
      </c>
      <c r="B1477" t="s">
        <v>11</v>
      </c>
      <c r="C1477" t="s">
        <v>667</v>
      </c>
      <c r="D1477" t="s">
        <v>13</v>
      </c>
      <c r="E1477" t="s">
        <v>14</v>
      </c>
      <c r="F1477" t="s">
        <v>15</v>
      </c>
      <c r="G1477" t="s">
        <v>15</v>
      </c>
      <c r="H1477" t="s">
        <v>15</v>
      </c>
      <c r="I1477" s="1">
        <v>185765400</v>
      </c>
    </row>
    <row r="1478" spans="1:9" x14ac:dyDescent="0.25">
      <c r="A1478" t="str">
        <f>"32020"</f>
        <v>32020</v>
      </c>
      <c r="B1478" t="s">
        <v>11</v>
      </c>
      <c r="C1478" t="s">
        <v>668</v>
      </c>
      <c r="D1478" t="s">
        <v>13</v>
      </c>
      <c r="E1478" t="s">
        <v>14</v>
      </c>
      <c r="F1478" t="s">
        <v>15</v>
      </c>
      <c r="G1478" t="s">
        <v>15</v>
      </c>
      <c r="H1478" t="s">
        <v>15</v>
      </c>
      <c r="I1478" s="1">
        <v>617582600</v>
      </c>
    </row>
    <row r="1479" spans="1:9" x14ac:dyDescent="0.25">
      <c r="A1479" t="str">
        <f>"32022"</f>
        <v>32022</v>
      </c>
      <c r="B1479" t="s">
        <v>11</v>
      </c>
      <c r="C1479" t="s">
        <v>669</v>
      </c>
      <c r="D1479" t="s">
        <v>13</v>
      </c>
      <c r="E1479" t="s">
        <v>14</v>
      </c>
      <c r="F1479" t="s">
        <v>15</v>
      </c>
      <c r="G1479" t="s">
        <v>15</v>
      </c>
      <c r="H1479" t="s">
        <v>15</v>
      </c>
      <c r="I1479" s="1">
        <v>465787900</v>
      </c>
    </row>
    <row r="1480" spans="1:9" x14ac:dyDescent="0.25">
      <c r="A1480" t="str">
        <f>"32024"</f>
        <v>32024</v>
      </c>
      <c r="B1480" t="s">
        <v>11</v>
      </c>
      <c r="C1480" t="s">
        <v>393</v>
      </c>
      <c r="D1480" t="s">
        <v>13</v>
      </c>
      <c r="E1480" t="s">
        <v>14</v>
      </c>
      <c r="F1480" t="s">
        <v>15</v>
      </c>
      <c r="G1480" t="s">
        <v>15</v>
      </c>
      <c r="H1480" t="s">
        <v>15</v>
      </c>
      <c r="I1480" s="1">
        <v>60552300</v>
      </c>
    </row>
    <row r="1481" spans="1:9" x14ac:dyDescent="0.25">
      <c r="A1481" t="s">
        <v>32</v>
      </c>
      <c r="B1481" t="s">
        <v>33</v>
      </c>
      <c r="C1481" t="s">
        <v>34</v>
      </c>
      <c r="D1481" t="s">
        <v>13</v>
      </c>
      <c r="E1481" t="s">
        <v>14</v>
      </c>
      <c r="F1481" t="s">
        <v>15</v>
      </c>
      <c r="G1481" t="s">
        <v>15</v>
      </c>
      <c r="H1481" t="s">
        <v>15</v>
      </c>
      <c r="I1481" s="1">
        <v>3082549300</v>
      </c>
    </row>
    <row r="1482" spans="1:9" x14ac:dyDescent="0.25">
      <c r="A1482" t="str">
        <f>"32106"</f>
        <v>32106</v>
      </c>
      <c r="B1482" t="s">
        <v>35</v>
      </c>
      <c r="C1482" t="s">
        <v>661</v>
      </c>
      <c r="D1482" t="str">
        <f>"001"</f>
        <v>001</v>
      </c>
      <c r="E1482">
        <v>2008</v>
      </c>
      <c r="F1482">
        <v>484800</v>
      </c>
      <c r="G1482">
        <v>368400</v>
      </c>
      <c r="H1482">
        <v>0</v>
      </c>
    </row>
    <row r="1483" spans="1:9" x14ac:dyDescent="0.25">
      <c r="A1483" t="str">
        <f>"32106"</f>
        <v>32106</v>
      </c>
      <c r="B1483" t="s">
        <v>35</v>
      </c>
      <c r="C1483" t="s">
        <v>661</v>
      </c>
      <c r="D1483" t="str">
        <f>"002"</f>
        <v>002</v>
      </c>
      <c r="E1483">
        <v>2015</v>
      </c>
      <c r="F1483">
        <v>620500</v>
      </c>
      <c r="G1483">
        <v>2308800</v>
      </c>
      <c r="H1483">
        <v>1688300</v>
      </c>
    </row>
    <row r="1484" spans="1:9" x14ac:dyDescent="0.25">
      <c r="A1484" t="str">
        <f>"32106"</f>
        <v>32106</v>
      </c>
      <c r="B1484" t="s">
        <v>35</v>
      </c>
      <c r="C1484" t="s">
        <v>661</v>
      </c>
      <c r="D1484" t="s">
        <v>13</v>
      </c>
      <c r="E1484" t="s">
        <v>14</v>
      </c>
      <c r="F1484" t="s">
        <v>15</v>
      </c>
      <c r="G1484" t="s">
        <v>15</v>
      </c>
      <c r="H1484" t="s">
        <v>15</v>
      </c>
      <c r="I1484" s="1">
        <v>86673500</v>
      </c>
    </row>
    <row r="1485" spans="1:9" x14ac:dyDescent="0.25">
      <c r="A1485" t="str">
        <f>"32136"</f>
        <v>32136</v>
      </c>
      <c r="B1485" t="s">
        <v>35</v>
      </c>
      <c r="C1485" t="s">
        <v>670</v>
      </c>
      <c r="D1485" t="str">
        <f>"002"</f>
        <v>002</v>
      </c>
      <c r="E1485">
        <v>2009</v>
      </c>
      <c r="F1485">
        <v>2647000</v>
      </c>
      <c r="G1485">
        <v>14605000</v>
      </c>
      <c r="H1485">
        <v>11958000</v>
      </c>
    </row>
    <row r="1486" spans="1:9" x14ac:dyDescent="0.25">
      <c r="A1486" t="str">
        <f>"32136"</f>
        <v>32136</v>
      </c>
      <c r="B1486" t="s">
        <v>35</v>
      </c>
      <c r="C1486" t="s">
        <v>670</v>
      </c>
      <c r="D1486" t="str">
        <f>"003"</f>
        <v>003</v>
      </c>
      <c r="E1486">
        <v>2015</v>
      </c>
      <c r="F1486">
        <v>37362300</v>
      </c>
      <c r="G1486">
        <v>80371500</v>
      </c>
      <c r="H1486">
        <v>43009200</v>
      </c>
    </row>
    <row r="1487" spans="1:9" x14ac:dyDescent="0.25">
      <c r="A1487" t="str">
        <f>"32136"</f>
        <v>32136</v>
      </c>
      <c r="B1487" t="s">
        <v>35</v>
      </c>
      <c r="C1487" t="s">
        <v>670</v>
      </c>
      <c r="D1487" t="s">
        <v>13</v>
      </c>
      <c r="E1487" t="s">
        <v>14</v>
      </c>
      <c r="F1487" t="s">
        <v>15</v>
      </c>
      <c r="G1487" t="s">
        <v>15</v>
      </c>
      <c r="H1487" t="s">
        <v>15</v>
      </c>
      <c r="I1487" s="1">
        <v>716116900</v>
      </c>
    </row>
    <row r="1488" spans="1:9" x14ac:dyDescent="0.25">
      <c r="A1488" t="str">
        <f>"32176"</f>
        <v>32176</v>
      </c>
      <c r="B1488" t="s">
        <v>35</v>
      </c>
      <c r="C1488" t="s">
        <v>119</v>
      </c>
      <c r="D1488" t="str">
        <f>"001"</f>
        <v>001</v>
      </c>
      <c r="E1488">
        <v>2010</v>
      </c>
      <c r="F1488">
        <v>1176300</v>
      </c>
      <c r="G1488">
        <v>5789400</v>
      </c>
      <c r="H1488">
        <v>4613100</v>
      </c>
    </row>
    <row r="1489" spans="1:9" x14ac:dyDescent="0.25">
      <c r="A1489" t="str">
        <f>"32176"</f>
        <v>32176</v>
      </c>
      <c r="B1489" t="s">
        <v>35</v>
      </c>
      <c r="C1489" t="s">
        <v>119</v>
      </c>
      <c r="D1489" t="s">
        <v>13</v>
      </c>
      <c r="E1489" t="s">
        <v>14</v>
      </c>
      <c r="F1489" t="s">
        <v>15</v>
      </c>
      <c r="G1489" t="s">
        <v>15</v>
      </c>
      <c r="H1489" t="s">
        <v>15</v>
      </c>
      <c r="I1489" s="1">
        <v>35941500</v>
      </c>
    </row>
    <row r="1490" spans="1:9" x14ac:dyDescent="0.25">
      <c r="A1490" t="str">
        <f>"32191"</f>
        <v>32191</v>
      </c>
      <c r="B1490" t="s">
        <v>35</v>
      </c>
      <c r="C1490" t="s">
        <v>671</v>
      </c>
      <c r="D1490" t="str">
        <f>"001"</f>
        <v>001</v>
      </c>
      <c r="E1490">
        <v>2007</v>
      </c>
      <c r="F1490">
        <v>4910800</v>
      </c>
      <c r="G1490">
        <v>18657300</v>
      </c>
      <c r="H1490">
        <v>13746500</v>
      </c>
    </row>
    <row r="1491" spans="1:9" x14ac:dyDescent="0.25">
      <c r="A1491" t="str">
        <f>"32191"</f>
        <v>32191</v>
      </c>
      <c r="B1491" t="s">
        <v>35</v>
      </c>
      <c r="C1491" t="s">
        <v>671</v>
      </c>
      <c r="D1491" t="s">
        <v>13</v>
      </c>
      <c r="E1491" t="s">
        <v>14</v>
      </c>
      <c r="F1491" t="s">
        <v>15</v>
      </c>
      <c r="G1491" t="s">
        <v>15</v>
      </c>
      <c r="H1491" t="s">
        <v>15</v>
      </c>
      <c r="I1491" s="1">
        <v>435129500</v>
      </c>
    </row>
    <row r="1492" spans="1:9" x14ac:dyDescent="0.25">
      <c r="A1492" t="s">
        <v>32</v>
      </c>
      <c r="B1492" t="s">
        <v>37</v>
      </c>
      <c r="C1492" t="s">
        <v>34</v>
      </c>
      <c r="D1492" t="s">
        <v>13</v>
      </c>
      <c r="E1492" t="s">
        <v>14</v>
      </c>
      <c r="F1492" t="s">
        <v>15</v>
      </c>
      <c r="G1492" t="s">
        <v>15</v>
      </c>
      <c r="H1492" t="s">
        <v>15</v>
      </c>
      <c r="I1492" s="1">
        <v>1273861400</v>
      </c>
    </row>
    <row r="1493" spans="1:9" x14ac:dyDescent="0.25">
      <c r="A1493" t="str">
        <f t="shared" ref="A1493:A1503" si="30">"32246"</f>
        <v>32246</v>
      </c>
      <c r="B1493" t="s">
        <v>38</v>
      </c>
      <c r="C1493" t="s">
        <v>672</v>
      </c>
      <c r="D1493" t="str">
        <f>"006"</f>
        <v>006</v>
      </c>
      <c r="E1493">
        <v>1994</v>
      </c>
      <c r="F1493">
        <v>33884800</v>
      </c>
      <c r="G1493">
        <v>97635100</v>
      </c>
      <c r="H1493">
        <v>63750300</v>
      </c>
    </row>
    <row r="1494" spans="1:9" x14ac:dyDescent="0.25">
      <c r="A1494" t="str">
        <f t="shared" si="30"/>
        <v>32246</v>
      </c>
      <c r="B1494" t="s">
        <v>38</v>
      </c>
      <c r="C1494" t="s">
        <v>672</v>
      </c>
      <c r="D1494" t="str">
        <f>"007"</f>
        <v>007</v>
      </c>
      <c r="E1494">
        <v>1997</v>
      </c>
      <c r="F1494">
        <v>15000800</v>
      </c>
      <c r="G1494">
        <v>26654000</v>
      </c>
      <c r="H1494">
        <v>11653200</v>
      </c>
    </row>
    <row r="1495" spans="1:9" x14ac:dyDescent="0.25">
      <c r="A1495" t="str">
        <f t="shared" si="30"/>
        <v>32246</v>
      </c>
      <c r="B1495" t="s">
        <v>38</v>
      </c>
      <c r="C1495" t="s">
        <v>672</v>
      </c>
      <c r="D1495" t="str">
        <f>"010"</f>
        <v>010</v>
      </c>
      <c r="E1495">
        <v>2003</v>
      </c>
      <c r="F1495">
        <v>2540100</v>
      </c>
      <c r="G1495">
        <v>9237600</v>
      </c>
      <c r="H1495">
        <v>6697500</v>
      </c>
    </row>
    <row r="1496" spans="1:9" x14ac:dyDescent="0.25">
      <c r="A1496" t="str">
        <f t="shared" si="30"/>
        <v>32246</v>
      </c>
      <c r="B1496" t="s">
        <v>38</v>
      </c>
      <c r="C1496" t="s">
        <v>672</v>
      </c>
      <c r="D1496" t="str">
        <f>"011"</f>
        <v>011</v>
      </c>
      <c r="E1496">
        <v>2005</v>
      </c>
      <c r="F1496">
        <v>132955800</v>
      </c>
      <c r="G1496">
        <v>281828700</v>
      </c>
      <c r="H1496">
        <v>148872900</v>
      </c>
    </row>
    <row r="1497" spans="1:9" x14ac:dyDescent="0.25">
      <c r="A1497" t="str">
        <f t="shared" si="30"/>
        <v>32246</v>
      </c>
      <c r="B1497" t="s">
        <v>38</v>
      </c>
      <c r="C1497" t="s">
        <v>672</v>
      </c>
      <c r="D1497" t="str">
        <f>"012"</f>
        <v>012</v>
      </c>
      <c r="E1497">
        <v>2005</v>
      </c>
      <c r="F1497">
        <v>19363800</v>
      </c>
      <c r="G1497">
        <v>39810500</v>
      </c>
      <c r="H1497">
        <v>20446700</v>
      </c>
    </row>
    <row r="1498" spans="1:9" x14ac:dyDescent="0.25">
      <c r="A1498" t="str">
        <f t="shared" si="30"/>
        <v>32246</v>
      </c>
      <c r="B1498" t="s">
        <v>38</v>
      </c>
      <c r="C1498" t="s">
        <v>672</v>
      </c>
      <c r="D1498" t="str">
        <f>"013"</f>
        <v>013</v>
      </c>
      <c r="E1498">
        <v>2006</v>
      </c>
      <c r="F1498">
        <v>53698400</v>
      </c>
      <c r="G1498">
        <v>121834500</v>
      </c>
      <c r="H1498">
        <v>68136100</v>
      </c>
    </row>
    <row r="1499" spans="1:9" x14ac:dyDescent="0.25">
      <c r="A1499" t="str">
        <f t="shared" si="30"/>
        <v>32246</v>
      </c>
      <c r="B1499" t="s">
        <v>38</v>
      </c>
      <c r="C1499" t="s">
        <v>672</v>
      </c>
      <c r="D1499" t="str">
        <f>"014"</f>
        <v>014</v>
      </c>
      <c r="E1499">
        <v>2006</v>
      </c>
      <c r="F1499">
        <v>60747300</v>
      </c>
      <c r="G1499">
        <v>118910100</v>
      </c>
      <c r="H1499">
        <v>58162800</v>
      </c>
    </row>
    <row r="1500" spans="1:9" x14ac:dyDescent="0.25">
      <c r="A1500" t="str">
        <f t="shared" si="30"/>
        <v>32246</v>
      </c>
      <c r="B1500" t="s">
        <v>38</v>
      </c>
      <c r="C1500" t="s">
        <v>672</v>
      </c>
      <c r="D1500" t="str">
        <f>"015"</f>
        <v>015</v>
      </c>
      <c r="E1500">
        <v>2013</v>
      </c>
      <c r="F1500">
        <v>62802000</v>
      </c>
      <c r="G1500">
        <v>95109700</v>
      </c>
      <c r="H1500">
        <v>32307700</v>
      </c>
    </row>
    <row r="1501" spans="1:9" x14ac:dyDescent="0.25">
      <c r="A1501" t="str">
        <f t="shared" si="30"/>
        <v>32246</v>
      </c>
      <c r="B1501" t="s">
        <v>38</v>
      </c>
      <c r="C1501" t="s">
        <v>672</v>
      </c>
      <c r="D1501" t="str">
        <f>"016"</f>
        <v>016</v>
      </c>
      <c r="E1501">
        <v>2014</v>
      </c>
      <c r="F1501">
        <v>18087300</v>
      </c>
      <c r="G1501">
        <v>24749300</v>
      </c>
      <c r="H1501">
        <v>6662000</v>
      </c>
    </row>
    <row r="1502" spans="1:9" x14ac:dyDescent="0.25">
      <c r="A1502" t="str">
        <f t="shared" si="30"/>
        <v>32246</v>
      </c>
      <c r="B1502" t="s">
        <v>38</v>
      </c>
      <c r="C1502" t="s">
        <v>672</v>
      </c>
      <c r="D1502" t="str">
        <f>"017"</f>
        <v>017</v>
      </c>
      <c r="E1502">
        <v>2015</v>
      </c>
      <c r="F1502">
        <v>11744600</v>
      </c>
      <c r="G1502">
        <v>74051100</v>
      </c>
      <c r="H1502">
        <v>62306500</v>
      </c>
    </row>
    <row r="1503" spans="1:9" x14ac:dyDescent="0.25">
      <c r="A1503" t="str">
        <f t="shared" si="30"/>
        <v>32246</v>
      </c>
      <c r="B1503" t="s">
        <v>38</v>
      </c>
      <c r="C1503" t="s">
        <v>672</v>
      </c>
      <c r="D1503" t="s">
        <v>13</v>
      </c>
      <c r="E1503" t="s">
        <v>14</v>
      </c>
      <c r="F1503" t="s">
        <v>15</v>
      </c>
      <c r="G1503" t="s">
        <v>15</v>
      </c>
      <c r="H1503" t="s">
        <v>15</v>
      </c>
      <c r="I1503" s="1">
        <v>3543717600</v>
      </c>
    </row>
    <row r="1504" spans="1:9" x14ac:dyDescent="0.25">
      <c r="A1504" t="str">
        <f>"32265"</f>
        <v>32265</v>
      </c>
      <c r="B1504" t="s">
        <v>38</v>
      </c>
      <c r="C1504" t="s">
        <v>668</v>
      </c>
      <c r="D1504" t="s">
        <v>13</v>
      </c>
      <c r="E1504" t="s">
        <v>14</v>
      </c>
      <c r="F1504" t="s">
        <v>15</v>
      </c>
      <c r="G1504" t="s">
        <v>15</v>
      </c>
      <c r="H1504" t="s">
        <v>15</v>
      </c>
      <c r="I1504" s="1">
        <v>2098305900</v>
      </c>
    </row>
    <row r="1505" spans="1:9" x14ac:dyDescent="0.25">
      <c r="A1505" t="s">
        <v>32</v>
      </c>
      <c r="B1505" t="s">
        <v>40</v>
      </c>
      <c r="C1505" t="s">
        <v>34</v>
      </c>
      <c r="D1505" t="s">
        <v>13</v>
      </c>
      <c r="E1505" t="s">
        <v>14</v>
      </c>
      <c r="F1505" t="s">
        <v>15</v>
      </c>
      <c r="G1505" t="s">
        <v>15</v>
      </c>
      <c r="H1505" t="s">
        <v>15</v>
      </c>
      <c r="I1505" s="1">
        <v>5642023500</v>
      </c>
    </row>
    <row r="1506" spans="1:9" x14ac:dyDescent="0.25">
      <c r="A1506" t="s">
        <v>32</v>
      </c>
      <c r="B1506" t="s">
        <v>41</v>
      </c>
      <c r="C1506" t="s">
        <v>672</v>
      </c>
      <c r="D1506" t="s">
        <v>13</v>
      </c>
      <c r="E1506" t="s">
        <v>14</v>
      </c>
      <c r="F1506" t="s">
        <v>15</v>
      </c>
      <c r="G1506" t="s">
        <v>15</v>
      </c>
      <c r="H1506" t="s">
        <v>15</v>
      </c>
      <c r="I1506" s="1">
        <v>9998434200</v>
      </c>
    </row>
    <row r="1507" spans="1:9" x14ac:dyDescent="0.25">
      <c r="A1507" t="str">
        <f>"33002"</f>
        <v>33002</v>
      </c>
      <c r="B1507" t="s">
        <v>11</v>
      </c>
      <c r="C1507" t="s">
        <v>673</v>
      </c>
      <c r="D1507" t="s">
        <v>13</v>
      </c>
      <c r="E1507" t="s">
        <v>14</v>
      </c>
      <c r="F1507" t="s">
        <v>15</v>
      </c>
      <c r="G1507" t="s">
        <v>15</v>
      </c>
      <c r="H1507" t="s">
        <v>15</v>
      </c>
      <c r="I1507" s="1">
        <v>49868100</v>
      </c>
    </row>
    <row r="1508" spans="1:9" x14ac:dyDescent="0.25">
      <c r="A1508" t="str">
        <f>"33004"</f>
        <v>33004</v>
      </c>
      <c r="B1508" t="s">
        <v>11</v>
      </c>
      <c r="C1508" t="s">
        <v>674</v>
      </c>
      <c r="D1508" t="s">
        <v>13</v>
      </c>
      <c r="E1508" t="s">
        <v>14</v>
      </c>
      <c r="F1508" t="s">
        <v>15</v>
      </c>
      <c r="G1508" t="s">
        <v>15</v>
      </c>
      <c r="H1508" t="s">
        <v>15</v>
      </c>
      <c r="I1508" s="1">
        <v>62103500</v>
      </c>
    </row>
    <row r="1509" spans="1:9" x14ac:dyDescent="0.25">
      <c r="A1509" t="str">
        <f>"33006"</f>
        <v>33006</v>
      </c>
      <c r="B1509" t="s">
        <v>11</v>
      </c>
      <c r="C1509" t="s">
        <v>675</v>
      </c>
      <c r="D1509" t="s">
        <v>13</v>
      </c>
      <c r="E1509" t="s">
        <v>14</v>
      </c>
      <c r="F1509" t="s">
        <v>15</v>
      </c>
      <c r="G1509" t="s">
        <v>15</v>
      </c>
      <c r="H1509" t="s">
        <v>15</v>
      </c>
      <c r="I1509" s="1">
        <v>42534900</v>
      </c>
    </row>
    <row r="1510" spans="1:9" x14ac:dyDescent="0.25">
      <c r="A1510" t="str">
        <f>"33008"</f>
        <v>33008</v>
      </c>
      <c r="B1510" t="s">
        <v>11</v>
      </c>
      <c r="C1510" t="s">
        <v>676</v>
      </c>
      <c r="D1510" t="s">
        <v>13</v>
      </c>
      <c r="E1510" t="s">
        <v>14</v>
      </c>
      <c r="F1510" t="s">
        <v>15</v>
      </c>
      <c r="G1510" t="s">
        <v>15</v>
      </c>
      <c r="H1510" t="s">
        <v>15</v>
      </c>
      <c r="I1510" s="1">
        <v>29203200</v>
      </c>
    </row>
    <row r="1511" spans="1:9" x14ac:dyDescent="0.25">
      <c r="A1511" t="str">
        <f>"33010"</f>
        <v>33010</v>
      </c>
      <c r="B1511" t="s">
        <v>11</v>
      </c>
      <c r="C1511" t="s">
        <v>677</v>
      </c>
      <c r="D1511" t="s">
        <v>13</v>
      </c>
      <c r="E1511" t="s">
        <v>14</v>
      </c>
      <c r="F1511" t="s">
        <v>15</v>
      </c>
      <c r="G1511" t="s">
        <v>15</v>
      </c>
      <c r="H1511" t="s">
        <v>15</v>
      </c>
      <c r="I1511" s="1">
        <v>84588200</v>
      </c>
    </row>
    <row r="1512" spans="1:9" x14ac:dyDescent="0.25">
      <c r="A1512" t="str">
        <f>"33012"</f>
        <v>33012</v>
      </c>
      <c r="B1512" t="s">
        <v>11</v>
      </c>
      <c r="C1512" t="s">
        <v>678</v>
      </c>
      <c r="D1512" t="s">
        <v>13</v>
      </c>
      <c r="E1512" t="s">
        <v>14</v>
      </c>
      <c r="F1512" t="s">
        <v>15</v>
      </c>
      <c r="G1512" t="s">
        <v>15</v>
      </c>
      <c r="H1512" t="s">
        <v>15</v>
      </c>
      <c r="I1512" s="1">
        <v>42522200</v>
      </c>
    </row>
    <row r="1513" spans="1:9" x14ac:dyDescent="0.25">
      <c r="A1513" t="str">
        <f>"33014"</f>
        <v>33014</v>
      </c>
      <c r="B1513" t="s">
        <v>11</v>
      </c>
      <c r="C1513" t="s">
        <v>679</v>
      </c>
      <c r="D1513" t="s">
        <v>13</v>
      </c>
      <c r="E1513" t="s">
        <v>14</v>
      </c>
      <c r="F1513" t="s">
        <v>15</v>
      </c>
      <c r="G1513" t="s">
        <v>15</v>
      </c>
      <c r="H1513" t="s">
        <v>15</v>
      </c>
      <c r="I1513" s="1">
        <v>35525000</v>
      </c>
    </row>
    <row r="1514" spans="1:9" x14ac:dyDescent="0.25">
      <c r="A1514" t="str">
        <f>"33016"</f>
        <v>33016</v>
      </c>
      <c r="B1514" t="s">
        <v>11</v>
      </c>
      <c r="C1514" t="s">
        <v>680</v>
      </c>
      <c r="D1514" t="s">
        <v>13</v>
      </c>
      <c r="E1514" t="s">
        <v>14</v>
      </c>
      <c r="F1514" t="s">
        <v>15</v>
      </c>
      <c r="G1514" t="s">
        <v>15</v>
      </c>
      <c r="H1514" t="s">
        <v>15</v>
      </c>
      <c r="I1514" s="1">
        <v>47958900</v>
      </c>
    </row>
    <row r="1515" spans="1:9" x14ac:dyDescent="0.25">
      <c r="A1515" t="str">
        <f>"33018"</f>
        <v>33018</v>
      </c>
      <c r="B1515" t="s">
        <v>11</v>
      </c>
      <c r="C1515" t="s">
        <v>681</v>
      </c>
      <c r="D1515" t="s">
        <v>13</v>
      </c>
      <c r="E1515" t="s">
        <v>14</v>
      </c>
      <c r="F1515" t="s">
        <v>15</v>
      </c>
      <c r="G1515" t="s">
        <v>15</v>
      </c>
      <c r="H1515" t="s">
        <v>15</v>
      </c>
      <c r="I1515" s="1">
        <v>37118000</v>
      </c>
    </row>
    <row r="1516" spans="1:9" x14ac:dyDescent="0.25">
      <c r="A1516" t="str">
        <f>"33020"</f>
        <v>33020</v>
      </c>
      <c r="B1516" t="s">
        <v>11</v>
      </c>
      <c r="C1516" t="s">
        <v>682</v>
      </c>
      <c r="D1516" t="s">
        <v>13</v>
      </c>
      <c r="E1516" t="s">
        <v>14</v>
      </c>
      <c r="F1516" t="s">
        <v>15</v>
      </c>
      <c r="G1516" t="s">
        <v>15</v>
      </c>
      <c r="H1516" t="s">
        <v>15</v>
      </c>
      <c r="I1516" s="1">
        <v>22086400</v>
      </c>
    </row>
    <row r="1517" spans="1:9" x14ac:dyDescent="0.25">
      <c r="A1517" t="str">
        <f>"33022"</f>
        <v>33022</v>
      </c>
      <c r="B1517" t="s">
        <v>11</v>
      </c>
      <c r="C1517" t="s">
        <v>544</v>
      </c>
      <c r="D1517" t="s">
        <v>13</v>
      </c>
      <c r="E1517" t="s">
        <v>14</v>
      </c>
      <c r="F1517" t="s">
        <v>15</v>
      </c>
      <c r="G1517" t="s">
        <v>15</v>
      </c>
      <c r="H1517" t="s">
        <v>15</v>
      </c>
      <c r="I1517" s="1">
        <v>13297400</v>
      </c>
    </row>
    <row r="1518" spans="1:9" x14ac:dyDescent="0.25">
      <c r="A1518" t="str">
        <f>"33024"</f>
        <v>33024</v>
      </c>
      <c r="B1518" t="s">
        <v>11</v>
      </c>
      <c r="C1518" t="s">
        <v>683</v>
      </c>
      <c r="D1518" t="s">
        <v>13</v>
      </c>
      <c r="E1518" t="s">
        <v>14</v>
      </c>
      <c r="F1518" t="s">
        <v>15</v>
      </c>
      <c r="G1518" t="s">
        <v>15</v>
      </c>
      <c r="H1518" t="s">
        <v>15</v>
      </c>
      <c r="I1518" s="1">
        <v>34332300</v>
      </c>
    </row>
    <row r="1519" spans="1:9" x14ac:dyDescent="0.25">
      <c r="A1519" t="str">
        <f>"33026"</f>
        <v>33026</v>
      </c>
      <c r="B1519" t="s">
        <v>11</v>
      </c>
      <c r="C1519" t="s">
        <v>444</v>
      </c>
      <c r="D1519" t="s">
        <v>13</v>
      </c>
      <c r="E1519" t="s">
        <v>14</v>
      </c>
      <c r="F1519" t="s">
        <v>15</v>
      </c>
      <c r="G1519" t="s">
        <v>15</v>
      </c>
      <c r="H1519" t="s">
        <v>15</v>
      </c>
      <c r="I1519" s="1">
        <v>41565800</v>
      </c>
    </row>
    <row r="1520" spans="1:9" x14ac:dyDescent="0.25">
      <c r="A1520" t="str">
        <f>"33028"</f>
        <v>33028</v>
      </c>
      <c r="B1520" t="s">
        <v>11</v>
      </c>
      <c r="C1520" t="s">
        <v>684</v>
      </c>
      <c r="D1520" t="s">
        <v>13</v>
      </c>
      <c r="E1520" t="s">
        <v>14</v>
      </c>
      <c r="F1520" t="s">
        <v>15</v>
      </c>
      <c r="G1520" t="s">
        <v>15</v>
      </c>
      <c r="H1520" t="s">
        <v>15</v>
      </c>
      <c r="I1520" s="1">
        <v>43944800</v>
      </c>
    </row>
    <row r="1521" spans="1:9" x14ac:dyDescent="0.25">
      <c r="A1521" t="str">
        <f>"33030"</f>
        <v>33030</v>
      </c>
      <c r="B1521" t="s">
        <v>11</v>
      </c>
      <c r="C1521" t="s">
        <v>685</v>
      </c>
      <c r="D1521" t="s">
        <v>13</v>
      </c>
      <c r="E1521" t="s">
        <v>14</v>
      </c>
      <c r="F1521" t="s">
        <v>15</v>
      </c>
      <c r="G1521" t="s">
        <v>15</v>
      </c>
      <c r="H1521" t="s">
        <v>15</v>
      </c>
      <c r="I1521" s="1">
        <v>38700400</v>
      </c>
    </row>
    <row r="1522" spans="1:9" x14ac:dyDescent="0.25">
      <c r="A1522" t="str">
        <f>"33032"</f>
        <v>33032</v>
      </c>
      <c r="B1522" t="s">
        <v>11</v>
      </c>
      <c r="C1522" t="s">
        <v>686</v>
      </c>
      <c r="D1522" t="s">
        <v>13</v>
      </c>
      <c r="E1522" t="s">
        <v>14</v>
      </c>
      <c r="F1522" t="s">
        <v>15</v>
      </c>
      <c r="G1522" t="s">
        <v>15</v>
      </c>
      <c r="H1522" t="s">
        <v>15</v>
      </c>
      <c r="I1522" s="1">
        <v>12507500</v>
      </c>
    </row>
    <row r="1523" spans="1:9" x14ac:dyDescent="0.25">
      <c r="A1523" t="str">
        <f>"33034"</f>
        <v>33034</v>
      </c>
      <c r="B1523" t="s">
        <v>11</v>
      </c>
      <c r="C1523" t="s">
        <v>687</v>
      </c>
      <c r="D1523" t="s">
        <v>13</v>
      </c>
      <c r="E1523" t="s">
        <v>14</v>
      </c>
      <c r="F1523" t="s">
        <v>15</v>
      </c>
      <c r="G1523" t="s">
        <v>15</v>
      </c>
      <c r="H1523" t="s">
        <v>15</v>
      </c>
      <c r="I1523" s="1">
        <v>71349700</v>
      </c>
    </row>
    <row r="1524" spans="1:9" x14ac:dyDescent="0.25">
      <c r="A1524" t="str">
        <f>"33036"</f>
        <v>33036</v>
      </c>
      <c r="B1524" t="s">
        <v>11</v>
      </c>
      <c r="C1524" t="s">
        <v>688</v>
      </c>
      <c r="D1524" t="s">
        <v>13</v>
      </c>
      <c r="E1524" t="s">
        <v>14</v>
      </c>
      <c r="F1524" t="s">
        <v>15</v>
      </c>
      <c r="G1524" t="s">
        <v>15</v>
      </c>
      <c r="H1524" t="s">
        <v>15</v>
      </c>
      <c r="I1524" s="1">
        <v>74901300</v>
      </c>
    </row>
    <row r="1525" spans="1:9" x14ac:dyDescent="0.25">
      <c r="A1525" t="s">
        <v>32</v>
      </c>
      <c r="B1525" t="s">
        <v>33</v>
      </c>
      <c r="C1525" t="s">
        <v>34</v>
      </c>
      <c r="D1525" t="s">
        <v>13</v>
      </c>
      <c r="E1525" t="s">
        <v>14</v>
      </c>
      <c r="F1525" t="s">
        <v>15</v>
      </c>
      <c r="G1525" t="s">
        <v>15</v>
      </c>
      <c r="H1525" t="s">
        <v>15</v>
      </c>
      <c r="I1525" s="1">
        <v>784107600</v>
      </c>
    </row>
    <row r="1526" spans="1:9" x14ac:dyDescent="0.25">
      <c r="A1526" t="str">
        <f>"33101"</f>
        <v>33101</v>
      </c>
      <c r="B1526" t="s">
        <v>35</v>
      </c>
      <c r="C1526" t="s">
        <v>673</v>
      </c>
      <c r="D1526" t="str">
        <f>"003"</f>
        <v>003</v>
      </c>
      <c r="E1526">
        <v>2012</v>
      </c>
      <c r="F1526">
        <v>1751500</v>
      </c>
      <c r="G1526">
        <v>1761700</v>
      </c>
      <c r="H1526">
        <v>10200</v>
      </c>
    </row>
    <row r="1527" spans="1:9" x14ac:dyDescent="0.25">
      <c r="A1527" t="str">
        <f>"33101"</f>
        <v>33101</v>
      </c>
      <c r="B1527" t="s">
        <v>35</v>
      </c>
      <c r="C1527" t="s">
        <v>673</v>
      </c>
      <c r="D1527" t="s">
        <v>13</v>
      </c>
      <c r="E1527" t="s">
        <v>14</v>
      </c>
      <c r="F1527" t="s">
        <v>15</v>
      </c>
      <c r="G1527" t="s">
        <v>15</v>
      </c>
      <c r="H1527" t="s">
        <v>15</v>
      </c>
      <c r="I1527" s="1">
        <v>39058000</v>
      </c>
    </row>
    <row r="1528" spans="1:9" x14ac:dyDescent="0.25">
      <c r="A1528" t="str">
        <f>"33106"</f>
        <v>33106</v>
      </c>
      <c r="B1528" t="s">
        <v>35</v>
      </c>
      <c r="C1528" t="s">
        <v>674</v>
      </c>
      <c r="D1528" t="str">
        <f>"001"</f>
        <v>001</v>
      </c>
      <c r="E1528">
        <v>2004</v>
      </c>
      <c r="F1528">
        <v>56000</v>
      </c>
      <c r="G1528">
        <v>7078900</v>
      </c>
      <c r="H1528">
        <v>7022900</v>
      </c>
    </row>
    <row r="1529" spans="1:9" x14ac:dyDescent="0.25">
      <c r="A1529" t="str">
        <f>"33106"</f>
        <v>33106</v>
      </c>
      <c r="B1529" t="s">
        <v>35</v>
      </c>
      <c r="C1529" t="s">
        <v>674</v>
      </c>
      <c r="D1529" t="s">
        <v>13</v>
      </c>
      <c r="E1529" t="s">
        <v>14</v>
      </c>
      <c r="F1529" t="s">
        <v>15</v>
      </c>
      <c r="G1529" t="s">
        <v>15</v>
      </c>
      <c r="H1529" t="s">
        <v>15</v>
      </c>
      <c r="I1529" s="1">
        <v>69721900</v>
      </c>
    </row>
    <row r="1530" spans="1:9" x14ac:dyDescent="0.25">
      <c r="A1530" t="str">
        <f>"33107"</f>
        <v>33107</v>
      </c>
      <c r="B1530" t="s">
        <v>35</v>
      </c>
      <c r="C1530" t="s">
        <v>675</v>
      </c>
      <c r="D1530" t="s">
        <v>13</v>
      </c>
      <c r="E1530" t="s">
        <v>14</v>
      </c>
      <c r="F1530" t="s">
        <v>15</v>
      </c>
      <c r="G1530" t="s">
        <v>15</v>
      </c>
      <c r="H1530" t="s">
        <v>15</v>
      </c>
      <c r="I1530" s="1">
        <v>47203000</v>
      </c>
    </row>
    <row r="1531" spans="1:9" x14ac:dyDescent="0.25">
      <c r="A1531" t="str">
        <f>"33108"</f>
        <v>33108</v>
      </c>
      <c r="B1531" t="s">
        <v>35</v>
      </c>
      <c r="C1531" t="s">
        <v>569</v>
      </c>
      <c r="D1531" t="s">
        <v>13</v>
      </c>
      <c r="E1531" t="s">
        <v>14</v>
      </c>
      <c r="F1531" t="s">
        <v>15</v>
      </c>
      <c r="G1531" t="s">
        <v>15</v>
      </c>
      <c r="H1531" t="s">
        <v>15</v>
      </c>
      <c r="I1531" s="1">
        <v>32135500</v>
      </c>
    </row>
    <row r="1532" spans="1:9" x14ac:dyDescent="0.25">
      <c r="A1532" t="str">
        <f>"33131"</f>
        <v>33131</v>
      </c>
      <c r="B1532" t="s">
        <v>35</v>
      </c>
      <c r="C1532" t="s">
        <v>680</v>
      </c>
      <c r="D1532" t="str">
        <f>"001"</f>
        <v>001</v>
      </c>
      <c r="E1532">
        <v>2001</v>
      </c>
      <c r="F1532">
        <v>449900</v>
      </c>
      <c r="G1532">
        <v>1383300</v>
      </c>
      <c r="H1532">
        <v>933400</v>
      </c>
    </row>
    <row r="1533" spans="1:9" x14ac:dyDescent="0.25">
      <c r="A1533" t="str">
        <f>"33131"</f>
        <v>33131</v>
      </c>
      <c r="B1533" t="s">
        <v>35</v>
      </c>
      <c r="C1533" t="s">
        <v>680</v>
      </c>
      <c r="D1533" t="s">
        <v>13</v>
      </c>
      <c r="E1533" t="s">
        <v>14</v>
      </c>
      <c r="F1533" t="s">
        <v>15</v>
      </c>
      <c r="G1533" t="s">
        <v>15</v>
      </c>
      <c r="H1533" t="s">
        <v>15</v>
      </c>
      <c r="I1533" s="1">
        <v>6937000</v>
      </c>
    </row>
    <row r="1534" spans="1:9" x14ac:dyDescent="0.25">
      <c r="A1534" t="str">
        <f>"33136"</f>
        <v>33136</v>
      </c>
      <c r="B1534" t="s">
        <v>35</v>
      </c>
      <c r="C1534" t="s">
        <v>501</v>
      </c>
      <c r="D1534" t="s">
        <v>13</v>
      </c>
      <c r="E1534" t="s">
        <v>14</v>
      </c>
      <c r="F1534" t="s">
        <v>15</v>
      </c>
      <c r="G1534" t="s">
        <v>15</v>
      </c>
      <c r="H1534" t="s">
        <v>15</v>
      </c>
      <c r="I1534" s="1">
        <v>1348600</v>
      </c>
    </row>
    <row r="1535" spans="1:9" x14ac:dyDescent="0.25">
      <c r="A1535" t="str">
        <f>"33181"</f>
        <v>33181</v>
      </c>
      <c r="B1535" t="s">
        <v>35</v>
      </c>
      <c r="C1535" t="s">
        <v>689</v>
      </c>
      <c r="D1535" t="s">
        <v>13</v>
      </c>
      <c r="E1535" t="s">
        <v>14</v>
      </c>
      <c r="F1535" t="s">
        <v>15</v>
      </c>
      <c r="G1535" t="s">
        <v>15</v>
      </c>
      <c r="H1535" t="s">
        <v>15</v>
      </c>
      <c r="I1535" s="1">
        <v>19737300</v>
      </c>
    </row>
    <row r="1536" spans="1:9" x14ac:dyDescent="0.25">
      <c r="A1536" t="s">
        <v>32</v>
      </c>
      <c r="B1536" t="s">
        <v>37</v>
      </c>
      <c r="C1536" t="s">
        <v>34</v>
      </c>
      <c r="D1536" t="s">
        <v>13</v>
      </c>
      <c r="E1536" t="s">
        <v>14</v>
      </c>
      <c r="F1536" t="s">
        <v>15</v>
      </c>
      <c r="G1536" t="s">
        <v>15</v>
      </c>
      <c r="H1536" t="s">
        <v>15</v>
      </c>
      <c r="I1536" s="1">
        <v>216141300</v>
      </c>
    </row>
    <row r="1537" spans="1:9" x14ac:dyDescent="0.25">
      <c r="A1537" t="str">
        <f>"33211"</f>
        <v>33211</v>
      </c>
      <c r="B1537" t="s">
        <v>38</v>
      </c>
      <c r="C1537" t="s">
        <v>530</v>
      </c>
      <c r="D1537" t="str">
        <f>"002"</f>
        <v>002</v>
      </c>
      <c r="E1537">
        <v>1999</v>
      </c>
      <c r="F1537">
        <v>66700</v>
      </c>
      <c r="G1537">
        <v>2228100</v>
      </c>
      <c r="H1537">
        <v>2161400</v>
      </c>
    </row>
    <row r="1538" spans="1:9" x14ac:dyDescent="0.25">
      <c r="A1538" t="str">
        <f>"33211"</f>
        <v>33211</v>
      </c>
      <c r="B1538" t="s">
        <v>38</v>
      </c>
      <c r="C1538" t="s">
        <v>530</v>
      </c>
      <c r="D1538" t="s">
        <v>13</v>
      </c>
      <c r="E1538" t="s">
        <v>14</v>
      </c>
      <c r="F1538" t="s">
        <v>15</v>
      </c>
      <c r="G1538" t="s">
        <v>15</v>
      </c>
      <c r="H1538" t="s">
        <v>15</v>
      </c>
      <c r="I1538" s="1">
        <v>16773600</v>
      </c>
    </row>
    <row r="1539" spans="1:9" x14ac:dyDescent="0.25">
      <c r="A1539" t="str">
        <f>"33216"</f>
        <v>33216</v>
      </c>
      <c r="B1539" t="s">
        <v>38</v>
      </c>
      <c r="C1539" t="s">
        <v>677</v>
      </c>
      <c r="D1539" t="str">
        <f>"006"</f>
        <v>006</v>
      </c>
      <c r="E1539">
        <v>2003</v>
      </c>
      <c r="F1539">
        <v>4304900</v>
      </c>
      <c r="G1539">
        <v>33151200</v>
      </c>
      <c r="H1539">
        <v>28846300</v>
      </c>
    </row>
    <row r="1540" spans="1:9" x14ac:dyDescent="0.25">
      <c r="A1540" t="str">
        <f>"33216"</f>
        <v>33216</v>
      </c>
      <c r="B1540" t="s">
        <v>38</v>
      </c>
      <c r="C1540" t="s">
        <v>677</v>
      </c>
      <c r="D1540" t="str">
        <f>"007"</f>
        <v>007</v>
      </c>
      <c r="E1540">
        <v>2006</v>
      </c>
      <c r="F1540">
        <v>2186300</v>
      </c>
      <c r="G1540">
        <v>5161600</v>
      </c>
      <c r="H1540">
        <v>2975300</v>
      </c>
    </row>
    <row r="1541" spans="1:9" x14ac:dyDescent="0.25">
      <c r="A1541" t="str">
        <f>"33216"</f>
        <v>33216</v>
      </c>
      <c r="B1541" t="s">
        <v>38</v>
      </c>
      <c r="C1541" t="s">
        <v>677</v>
      </c>
      <c r="D1541" t="str">
        <f>"008"</f>
        <v>008</v>
      </c>
      <c r="E1541">
        <v>2018</v>
      </c>
      <c r="F1541">
        <v>22500</v>
      </c>
      <c r="G1541">
        <v>25400</v>
      </c>
      <c r="H1541">
        <v>2900</v>
      </c>
    </row>
    <row r="1542" spans="1:9" x14ac:dyDescent="0.25">
      <c r="A1542" t="str">
        <f>"33216"</f>
        <v>33216</v>
      </c>
      <c r="B1542" t="s">
        <v>38</v>
      </c>
      <c r="C1542" t="s">
        <v>677</v>
      </c>
      <c r="D1542" t="s">
        <v>13</v>
      </c>
      <c r="E1542" t="s">
        <v>14</v>
      </c>
      <c r="F1542" t="s">
        <v>15</v>
      </c>
      <c r="G1542" t="s">
        <v>15</v>
      </c>
      <c r="H1542" t="s">
        <v>15</v>
      </c>
      <c r="I1542" s="1">
        <v>103021900</v>
      </c>
    </row>
    <row r="1543" spans="1:9" x14ac:dyDescent="0.25">
      <c r="A1543" t="str">
        <f t="shared" ref="A1543:A1548" si="31">"33281"</f>
        <v>33281</v>
      </c>
      <c r="B1543" t="s">
        <v>38</v>
      </c>
      <c r="C1543" t="s">
        <v>684</v>
      </c>
      <c r="D1543" t="str">
        <f>"003"</f>
        <v>003</v>
      </c>
      <c r="E1543">
        <v>1997</v>
      </c>
      <c r="F1543">
        <v>1480000</v>
      </c>
      <c r="G1543">
        <v>5295500</v>
      </c>
      <c r="H1543">
        <v>3815500</v>
      </c>
    </row>
    <row r="1544" spans="1:9" x14ac:dyDescent="0.25">
      <c r="A1544" t="str">
        <f t="shared" si="31"/>
        <v>33281</v>
      </c>
      <c r="B1544" t="s">
        <v>38</v>
      </c>
      <c r="C1544" t="s">
        <v>684</v>
      </c>
      <c r="D1544" t="str">
        <f>"004"</f>
        <v>004</v>
      </c>
      <c r="E1544">
        <v>1997</v>
      </c>
      <c r="F1544">
        <v>15000</v>
      </c>
      <c r="G1544">
        <v>1081900</v>
      </c>
      <c r="H1544">
        <v>1066900</v>
      </c>
    </row>
    <row r="1545" spans="1:9" x14ac:dyDescent="0.25">
      <c r="A1545" t="str">
        <f t="shared" si="31"/>
        <v>33281</v>
      </c>
      <c r="B1545" t="s">
        <v>38</v>
      </c>
      <c r="C1545" t="s">
        <v>684</v>
      </c>
      <c r="D1545" t="str">
        <f>"005"</f>
        <v>005</v>
      </c>
      <c r="E1545">
        <v>2005</v>
      </c>
      <c r="F1545">
        <v>161500</v>
      </c>
      <c r="G1545">
        <v>516200</v>
      </c>
      <c r="H1545">
        <v>354700</v>
      </c>
    </row>
    <row r="1546" spans="1:9" x14ac:dyDescent="0.25">
      <c r="A1546" t="str">
        <f t="shared" si="31"/>
        <v>33281</v>
      </c>
      <c r="B1546" t="s">
        <v>38</v>
      </c>
      <c r="C1546" t="s">
        <v>684</v>
      </c>
      <c r="D1546" t="str">
        <f>"006"</f>
        <v>006</v>
      </c>
      <c r="E1546">
        <v>2010</v>
      </c>
      <c r="F1546">
        <v>12400</v>
      </c>
      <c r="G1546">
        <v>2917100</v>
      </c>
      <c r="H1546">
        <v>2904700</v>
      </c>
    </row>
    <row r="1547" spans="1:9" x14ac:dyDescent="0.25">
      <c r="A1547" t="str">
        <f t="shared" si="31"/>
        <v>33281</v>
      </c>
      <c r="B1547" t="s">
        <v>38</v>
      </c>
      <c r="C1547" t="s">
        <v>684</v>
      </c>
      <c r="D1547" t="str">
        <f>"007"</f>
        <v>007</v>
      </c>
      <c r="E1547">
        <v>2010</v>
      </c>
      <c r="F1547">
        <v>1070300</v>
      </c>
      <c r="G1547">
        <v>3111700</v>
      </c>
      <c r="H1547">
        <v>2041400</v>
      </c>
    </row>
    <row r="1548" spans="1:9" x14ac:dyDescent="0.25">
      <c r="A1548" t="str">
        <f t="shared" si="31"/>
        <v>33281</v>
      </c>
      <c r="B1548" t="s">
        <v>38</v>
      </c>
      <c r="C1548" t="s">
        <v>684</v>
      </c>
      <c r="D1548" t="s">
        <v>13</v>
      </c>
      <c r="E1548" t="s">
        <v>14</v>
      </c>
      <c r="F1548" t="s">
        <v>15</v>
      </c>
      <c r="G1548" t="s">
        <v>15</v>
      </c>
      <c r="H1548" t="s">
        <v>15</v>
      </c>
      <c r="I1548" s="1">
        <v>53062500</v>
      </c>
    </row>
    <row r="1549" spans="1:9" x14ac:dyDescent="0.25">
      <c r="A1549" t="s">
        <v>32</v>
      </c>
      <c r="B1549" t="s">
        <v>40</v>
      </c>
      <c r="C1549" t="s">
        <v>34</v>
      </c>
      <c r="D1549" t="s">
        <v>13</v>
      </c>
      <c r="E1549" t="s">
        <v>14</v>
      </c>
      <c r="F1549" t="s">
        <v>15</v>
      </c>
      <c r="G1549" t="s">
        <v>15</v>
      </c>
      <c r="H1549" t="s">
        <v>15</v>
      </c>
      <c r="I1549" s="1">
        <v>172858000</v>
      </c>
    </row>
    <row r="1550" spans="1:9" x14ac:dyDescent="0.25">
      <c r="A1550" t="s">
        <v>32</v>
      </c>
      <c r="B1550" t="s">
        <v>41</v>
      </c>
      <c r="C1550" t="s">
        <v>201</v>
      </c>
      <c r="D1550" t="s">
        <v>13</v>
      </c>
      <c r="E1550" t="s">
        <v>14</v>
      </c>
      <c r="F1550" t="s">
        <v>15</v>
      </c>
      <c r="G1550" t="s">
        <v>15</v>
      </c>
      <c r="H1550" t="s">
        <v>15</v>
      </c>
      <c r="I1550" s="1">
        <v>1173106900</v>
      </c>
    </row>
    <row r="1551" spans="1:9" x14ac:dyDescent="0.25">
      <c r="A1551" t="str">
        <f>"34002"</f>
        <v>34002</v>
      </c>
      <c r="B1551" t="s">
        <v>11</v>
      </c>
      <c r="C1551" t="s">
        <v>690</v>
      </c>
      <c r="D1551" t="s">
        <v>13</v>
      </c>
      <c r="E1551" t="s">
        <v>14</v>
      </c>
      <c r="F1551" t="s">
        <v>15</v>
      </c>
      <c r="G1551" t="s">
        <v>15</v>
      </c>
      <c r="H1551" t="s">
        <v>15</v>
      </c>
      <c r="I1551" s="1">
        <v>42498700</v>
      </c>
    </row>
    <row r="1552" spans="1:9" x14ac:dyDescent="0.25">
      <c r="A1552" t="str">
        <f>"34004"</f>
        <v>34004</v>
      </c>
      <c r="B1552" t="s">
        <v>11</v>
      </c>
      <c r="C1552" t="s">
        <v>691</v>
      </c>
      <c r="D1552" t="s">
        <v>13</v>
      </c>
      <c r="E1552" t="s">
        <v>14</v>
      </c>
      <c r="F1552" t="s">
        <v>15</v>
      </c>
      <c r="G1552" t="s">
        <v>15</v>
      </c>
      <c r="H1552" t="s">
        <v>15</v>
      </c>
      <c r="I1552" s="1">
        <v>83386000</v>
      </c>
    </row>
    <row r="1553" spans="1:9" x14ac:dyDescent="0.25">
      <c r="A1553" t="str">
        <f>"34006"</f>
        <v>34006</v>
      </c>
      <c r="B1553" t="s">
        <v>11</v>
      </c>
      <c r="C1553" t="s">
        <v>692</v>
      </c>
      <c r="D1553" t="s">
        <v>13</v>
      </c>
      <c r="E1553" t="s">
        <v>14</v>
      </c>
      <c r="F1553" t="s">
        <v>15</v>
      </c>
      <c r="G1553" t="s">
        <v>15</v>
      </c>
      <c r="H1553" t="s">
        <v>15</v>
      </c>
      <c r="I1553" s="1">
        <v>108428600</v>
      </c>
    </row>
    <row r="1554" spans="1:9" x14ac:dyDescent="0.25">
      <c r="A1554" t="str">
        <f>"34008"</f>
        <v>34008</v>
      </c>
      <c r="B1554" t="s">
        <v>11</v>
      </c>
      <c r="C1554" t="s">
        <v>693</v>
      </c>
      <c r="D1554" t="s">
        <v>13</v>
      </c>
      <c r="E1554" t="s">
        <v>14</v>
      </c>
      <c r="F1554" t="s">
        <v>15</v>
      </c>
      <c r="G1554" t="s">
        <v>15</v>
      </c>
      <c r="H1554" t="s">
        <v>15</v>
      </c>
      <c r="I1554" s="1">
        <v>269231800</v>
      </c>
    </row>
    <row r="1555" spans="1:9" x14ac:dyDescent="0.25">
      <c r="A1555" t="str">
        <f>"34010"</f>
        <v>34010</v>
      </c>
      <c r="B1555" t="s">
        <v>11</v>
      </c>
      <c r="C1555" t="s">
        <v>694</v>
      </c>
      <c r="D1555" t="s">
        <v>13</v>
      </c>
      <c r="E1555" t="s">
        <v>14</v>
      </c>
      <c r="F1555" t="s">
        <v>15</v>
      </c>
      <c r="G1555" t="s">
        <v>15</v>
      </c>
      <c r="H1555" t="s">
        <v>15</v>
      </c>
      <c r="I1555" s="1">
        <v>36453800</v>
      </c>
    </row>
    <row r="1556" spans="1:9" x14ac:dyDescent="0.25">
      <c r="A1556" t="str">
        <f>"34012"</f>
        <v>34012</v>
      </c>
      <c r="B1556" t="s">
        <v>11</v>
      </c>
      <c r="C1556" t="s">
        <v>695</v>
      </c>
      <c r="D1556" t="s">
        <v>13</v>
      </c>
      <c r="E1556" t="s">
        <v>14</v>
      </c>
      <c r="F1556" t="s">
        <v>15</v>
      </c>
      <c r="G1556" t="s">
        <v>15</v>
      </c>
      <c r="H1556" t="s">
        <v>15</v>
      </c>
      <c r="I1556" s="1">
        <v>65916400</v>
      </c>
    </row>
    <row r="1557" spans="1:9" x14ac:dyDescent="0.25">
      <c r="A1557" t="str">
        <f>"34014"</f>
        <v>34014</v>
      </c>
      <c r="B1557" t="s">
        <v>11</v>
      </c>
      <c r="C1557" t="s">
        <v>696</v>
      </c>
      <c r="D1557" t="s">
        <v>13</v>
      </c>
      <c r="E1557" t="s">
        <v>14</v>
      </c>
      <c r="F1557" t="s">
        <v>15</v>
      </c>
      <c r="G1557" t="s">
        <v>15</v>
      </c>
      <c r="H1557" t="s">
        <v>15</v>
      </c>
      <c r="I1557" s="1">
        <v>73521600</v>
      </c>
    </row>
    <row r="1558" spans="1:9" x14ac:dyDescent="0.25">
      <c r="A1558" t="str">
        <f>"34016"</f>
        <v>34016</v>
      </c>
      <c r="B1558" t="s">
        <v>11</v>
      </c>
      <c r="C1558" t="s">
        <v>697</v>
      </c>
      <c r="D1558" t="s">
        <v>13</v>
      </c>
      <c r="E1558" t="s">
        <v>14</v>
      </c>
      <c r="F1558" t="s">
        <v>15</v>
      </c>
      <c r="G1558" t="s">
        <v>15</v>
      </c>
      <c r="H1558" t="s">
        <v>15</v>
      </c>
      <c r="I1558" s="1">
        <v>74178000</v>
      </c>
    </row>
    <row r="1559" spans="1:9" x14ac:dyDescent="0.25">
      <c r="A1559" t="str">
        <f>"34018"</f>
        <v>34018</v>
      </c>
      <c r="B1559" t="s">
        <v>11</v>
      </c>
      <c r="C1559" t="s">
        <v>698</v>
      </c>
      <c r="D1559" t="s">
        <v>13</v>
      </c>
      <c r="E1559" t="s">
        <v>14</v>
      </c>
      <c r="F1559" t="s">
        <v>15</v>
      </c>
      <c r="G1559" t="s">
        <v>15</v>
      </c>
      <c r="H1559" t="s">
        <v>15</v>
      </c>
      <c r="I1559" s="1">
        <v>15159800</v>
      </c>
    </row>
    <row r="1560" spans="1:9" x14ac:dyDescent="0.25">
      <c r="A1560" t="str">
        <f>"34020"</f>
        <v>34020</v>
      </c>
      <c r="B1560" t="s">
        <v>11</v>
      </c>
      <c r="C1560" t="s">
        <v>699</v>
      </c>
      <c r="D1560" t="s">
        <v>13</v>
      </c>
      <c r="E1560" t="s">
        <v>14</v>
      </c>
      <c r="F1560" t="s">
        <v>15</v>
      </c>
      <c r="G1560" t="s">
        <v>15</v>
      </c>
      <c r="H1560" t="s">
        <v>15</v>
      </c>
      <c r="I1560" s="1">
        <v>30784900</v>
      </c>
    </row>
    <row r="1561" spans="1:9" x14ac:dyDescent="0.25">
      <c r="A1561" t="str">
        <f>"34022"</f>
        <v>34022</v>
      </c>
      <c r="B1561" t="s">
        <v>11</v>
      </c>
      <c r="C1561" t="s">
        <v>700</v>
      </c>
      <c r="D1561" t="s">
        <v>13</v>
      </c>
      <c r="E1561" t="s">
        <v>14</v>
      </c>
      <c r="F1561" t="s">
        <v>15</v>
      </c>
      <c r="G1561" t="s">
        <v>15</v>
      </c>
      <c r="H1561" t="s">
        <v>15</v>
      </c>
      <c r="I1561" s="1">
        <v>85067300</v>
      </c>
    </row>
    <row r="1562" spans="1:9" x14ac:dyDescent="0.25">
      <c r="A1562" t="str">
        <f>"34024"</f>
        <v>34024</v>
      </c>
      <c r="B1562" t="s">
        <v>11</v>
      </c>
      <c r="C1562" t="s">
        <v>701</v>
      </c>
      <c r="D1562" t="s">
        <v>13</v>
      </c>
      <c r="E1562" t="s">
        <v>14</v>
      </c>
      <c r="F1562" t="s">
        <v>15</v>
      </c>
      <c r="G1562" t="s">
        <v>15</v>
      </c>
      <c r="H1562" t="s">
        <v>15</v>
      </c>
      <c r="I1562" s="1">
        <v>21295800</v>
      </c>
    </row>
    <row r="1563" spans="1:9" x14ac:dyDescent="0.25">
      <c r="A1563" t="str">
        <f>"34026"</f>
        <v>34026</v>
      </c>
      <c r="B1563" t="s">
        <v>11</v>
      </c>
      <c r="C1563" t="s">
        <v>702</v>
      </c>
      <c r="D1563" t="s">
        <v>13</v>
      </c>
      <c r="E1563" t="s">
        <v>14</v>
      </c>
      <c r="F1563" t="s">
        <v>15</v>
      </c>
      <c r="G1563" t="s">
        <v>15</v>
      </c>
      <c r="H1563" t="s">
        <v>15</v>
      </c>
      <c r="I1563" s="1">
        <v>107794100</v>
      </c>
    </row>
    <row r="1564" spans="1:9" x14ac:dyDescent="0.25">
      <c r="A1564" t="str">
        <f>"34028"</f>
        <v>34028</v>
      </c>
      <c r="B1564" t="s">
        <v>11</v>
      </c>
      <c r="C1564" t="s">
        <v>408</v>
      </c>
      <c r="D1564" t="s">
        <v>13</v>
      </c>
      <c r="E1564" t="s">
        <v>14</v>
      </c>
      <c r="F1564" t="s">
        <v>15</v>
      </c>
      <c r="G1564" t="s">
        <v>15</v>
      </c>
      <c r="H1564" t="s">
        <v>15</v>
      </c>
      <c r="I1564" s="1">
        <v>23276800</v>
      </c>
    </row>
    <row r="1565" spans="1:9" x14ac:dyDescent="0.25">
      <c r="A1565" t="str">
        <f>"34030"</f>
        <v>34030</v>
      </c>
      <c r="B1565" t="s">
        <v>11</v>
      </c>
      <c r="C1565" t="s">
        <v>703</v>
      </c>
      <c r="D1565" t="s">
        <v>13</v>
      </c>
      <c r="E1565" t="s">
        <v>14</v>
      </c>
      <c r="F1565" t="s">
        <v>15</v>
      </c>
      <c r="G1565" t="s">
        <v>15</v>
      </c>
      <c r="H1565" t="s">
        <v>15</v>
      </c>
      <c r="I1565" s="1">
        <v>196844000</v>
      </c>
    </row>
    <row r="1566" spans="1:9" x14ac:dyDescent="0.25">
      <c r="A1566" t="str">
        <f>"34032"</f>
        <v>34032</v>
      </c>
      <c r="B1566" t="s">
        <v>11</v>
      </c>
      <c r="C1566" t="s">
        <v>704</v>
      </c>
      <c r="D1566" t="s">
        <v>13</v>
      </c>
      <c r="E1566" t="s">
        <v>14</v>
      </c>
      <c r="F1566" t="s">
        <v>15</v>
      </c>
      <c r="G1566" t="s">
        <v>15</v>
      </c>
      <c r="H1566" t="s">
        <v>15</v>
      </c>
      <c r="I1566" s="1">
        <v>31123000</v>
      </c>
    </row>
    <row r="1567" spans="1:9" x14ac:dyDescent="0.25">
      <c r="A1567" t="str">
        <f>"34034"</f>
        <v>34034</v>
      </c>
      <c r="B1567" t="s">
        <v>11</v>
      </c>
      <c r="C1567" t="s">
        <v>705</v>
      </c>
      <c r="D1567" t="s">
        <v>13</v>
      </c>
      <c r="E1567" t="s">
        <v>14</v>
      </c>
      <c r="F1567" t="s">
        <v>15</v>
      </c>
      <c r="G1567" t="s">
        <v>15</v>
      </c>
      <c r="H1567" t="s">
        <v>15</v>
      </c>
      <c r="I1567" s="1">
        <v>124940100</v>
      </c>
    </row>
    <row r="1568" spans="1:9" x14ac:dyDescent="0.25">
      <c r="A1568" t="s">
        <v>32</v>
      </c>
      <c r="B1568" t="s">
        <v>33</v>
      </c>
      <c r="C1568" t="s">
        <v>34</v>
      </c>
      <c r="D1568" t="s">
        <v>13</v>
      </c>
      <c r="E1568" t="s">
        <v>14</v>
      </c>
      <c r="F1568" t="s">
        <v>15</v>
      </c>
      <c r="G1568" t="s">
        <v>15</v>
      </c>
      <c r="H1568" t="s">
        <v>15</v>
      </c>
      <c r="I1568" s="1">
        <v>1389900700</v>
      </c>
    </row>
    <row r="1569" spans="1:9" x14ac:dyDescent="0.25">
      <c r="A1569" t="str">
        <f>"34191"</f>
        <v>34191</v>
      </c>
      <c r="B1569" t="s">
        <v>35</v>
      </c>
      <c r="C1569" t="s">
        <v>706</v>
      </c>
      <c r="D1569" t="s">
        <v>13</v>
      </c>
      <c r="E1569" t="s">
        <v>14</v>
      </c>
      <c r="F1569" t="s">
        <v>15</v>
      </c>
      <c r="G1569" t="s">
        <v>15</v>
      </c>
      <c r="H1569" t="s">
        <v>15</v>
      </c>
      <c r="I1569" s="1">
        <v>19805800</v>
      </c>
    </row>
    <row r="1570" spans="1:9" x14ac:dyDescent="0.25">
      <c r="A1570" t="s">
        <v>32</v>
      </c>
      <c r="B1570" t="s">
        <v>37</v>
      </c>
      <c r="C1570" t="s">
        <v>34</v>
      </c>
      <c r="D1570" t="s">
        <v>13</v>
      </c>
      <c r="E1570" t="s">
        <v>14</v>
      </c>
      <c r="F1570" t="s">
        <v>15</v>
      </c>
      <c r="G1570" t="s">
        <v>15</v>
      </c>
      <c r="H1570" t="s">
        <v>15</v>
      </c>
      <c r="I1570" s="1">
        <v>19805800</v>
      </c>
    </row>
    <row r="1571" spans="1:9" x14ac:dyDescent="0.25">
      <c r="A1571" t="str">
        <f t="shared" ref="A1571:A1576" si="32">"34201"</f>
        <v>34201</v>
      </c>
      <c r="B1571" t="s">
        <v>38</v>
      </c>
      <c r="C1571" t="s">
        <v>692</v>
      </c>
      <c r="D1571" t="str">
        <f>"003"</f>
        <v>003</v>
      </c>
      <c r="E1571">
        <v>1999</v>
      </c>
      <c r="F1571">
        <v>5166000</v>
      </c>
      <c r="G1571">
        <v>7008400</v>
      </c>
      <c r="H1571">
        <v>1842400</v>
      </c>
    </row>
    <row r="1572" spans="1:9" x14ac:dyDescent="0.25">
      <c r="A1572" t="str">
        <f t="shared" si="32"/>
        <v>34201</v>
      </c>
      <c r="B1572" t="s">
        <v>38</v>
      </c>
      <c r="C1572" t="s">
        <v>692</v>
      </c>
      <c r="D1572" t="str">
        <f>"004"</f>
        <v>004</v>
      </c>
      <c r="E1572">
        <v>1999</v>
      </c>
      <c r="F1572">
        <v>18324000</v>
      </c>
      <c r="G1572">
        <v>25343900</v>
      </c>
      <c r="H1572">
        <v>7019900</v>
      </c>
    </row>
    <row r="1573" spans="1:9" x14ac:dyDescent="0.25">
      <c r="A1573" t="str">
        <f t="shared" si="32"/>
        <v>34201</v>
      </c>
      <c r="B1573" t="s">
        <v>38</v>
      </c>
      <c r="C1573" t="s">
        <v>692</v>
      </c>
      <c r="D1573" t="str">
        <f>"005"</f>
        <v>005</v>
      </c>
      <c r="E1573">
        <v>2001</v>
      </c>
      <c r="F1573">
        <v>9304200</v>
      </c>
      <c r="G1573">
        <v>13497500</v>
      </c>
      <c r="H1573">
        <v>4193300</v>
      </c>
    </row>
    <row r="1574" spans="1:9" x14ac:dyDescent="0.25">
      <c r="A1574" t="str">
        <f t="shared" si="32"/>
        <v>34201</v>
      </c>
      <c r="B1574" t="s">
        <v>38</v>
      </c>
      <c r="C1574" t="s">
        <v>692</v>
      </c>
      <c r="D1574" t="str">
        <f>"006"</f>
        <v>006</v>
      </c>
      <c r="E1574">
        <v>2008</v>
      </c>
      <c r="F1574">
        <v>629800</v>
      </c>
      <c r="G1574">
        <v>8419000</v>
      </c>
      <c r="H1574">
        <v>7789200</v>
      </c>
    </row>
    <row r="1575" spans="1:9" x14ac:dyDescent="0.25">
      <c r="A1575" t="str">
        <f t="shared" si="32"/>
        <v>34201</v>
      </c>
      <c r="B1575" t="s">
        <v>38</v>
      </c>
      <c r="C1575" t="s">
        <v>692</v>
      </c>
      <c r="D1575" t="str">
        <f>"007"</f>
        <v>007</v>
      </c>
      <c r="E1575">
        <v>2010</v>
      </c>
      <c r="F1575">
        <v>6258200</v>
      </c>
      <c r="G1575">
        <v>5812100</v>
      </c>
      <c r="H1575">
        <v>0</v>
      </c>
    </row>
    <row r="1576" spans="1:9" x14ac:dyDescent="0.25">
      <c r="A1576" t="str">
        <f t="shared" si="32"/>
        <v>34201</v>
      </c>
      <c r="B1576" t="s">
        <v>38</v>
      </c>
      <c r="C1576" t="s">
        <v>692</v>
      </c>
      <c r="D1576" t="s">
        <v>13</v>
      </c>
      <c r="E1576" t="s">
        <v>14</v>
      </c>
      <c r="F1576" t="s">
        <v>15</v>
      </c>
      <c r="G1576" t="s">
        <v>15</v>
      </c>
      <c r="H1576" t="s">
        <v>15</v>
      </c>
      <c r="I1576" s="1">
        <v>376954000</v>
      </c>
    </row>
    <row r="1577" spans="1:9" x14ac:dyDescent="0.25">
      <c r="A1577" t="s">
        <v>32</v>
      </c>
      <c r="B1577" t="s">
        <v>40</v>
      </c>
      <c r="C1577" t="s">
        <v>34</v>
      </c>
      <c r="D1577" t="s">
        <v>13</v>
      </c>
      <c r="E1577" t="s">
        <v>14</v>
      </c>
      <c r="F1577" t="s">
        <v>15</v>
      </c>
      <c r="G1577" t="s">
        <v>15</v>
      </c>
      <c r="H1577" t="s">
        <v>15</v>
      </c>
      <c r="I1577" s="1">
        <v>376954000</v>
      </c>
    </row>
    <row r="1578" spans="1:9" x14ac:dyDescent="0.25">
      <c r="A1578" t="s">
        <v>32</v>
      </c>
      <c r="B1578" t="s">
        <v>41</v>
      </c>
      <c r="C1578" t="s">
        <v>695</v>
      </c>
      <c r="D1578" t="s">
        <v>13</v>
      </c>
      <c r="E1578" t="s">
        <v>14</v>
      </c>
      <c r="F1578" t="s">
        <v>15</v>
      </c>
      <c r="G1578" t="s">
        <v>15</v>
      </c>
      <c r="H1578" t="s">
        <v>15</v>
      </c>
      <c r="I1578" s="1">
        <v>1786660500</v>
      </c>
    </row>
    <row r="1579" spans="1:9" x14ac:dyDescent="0.25">
      <c r="A1579" t="str">
        <f>"35002"</f>
        <v>35002</v>
      </c>
      <c r="B1579" t="s">
        <v>11</v>
      </c>
      <c r="C1579" t="s">
        <v>707</v>
      </c>
      <c r="D1579" t="s">
        <v>13</v>
      </c>
      <c r="E1579" t="s">
        <v>14</v>
      </c>
      <c r="F1579" t="s">
        <v>15</v>
      </c>
      <c r="G1579" t="s">
        <v>15</v>
      </c>
      <c r="H1579" t="s">
        <v>15</v>
      </c>
      <c r="I1579" s="1">
        <v>39780700</v>
      </c>
    </row>
    <row r="1580" spans="1:9" x14ac:dyDescent="0.25">
      <c r="A1580" t="str">
        <f>"35004"</f>
        <v>35004</v>
      </c>
      <c r="B1580" t="s">
        <v>11</v>
      </c>
      <c r="C1580" t="s">
        <v>708</v>
      </c>
      <c r="D1580" t="s">
        <v>13</v>
      </c>
      <c r="E1580" t="s">
        <v>14</v>
      </c>
      <c r="F1580" t="s">
        <v>15</v>
      </c>
      <c r="G1580" t="s">
        <v>15</v>
      </c>
      <c r="H1580" t="s">
        <v>15</v>
      </c>
      <c r="I1580" s="1">
        <v>466982000</v>
      </c>
    </row>
    <row r="1581" spans="1:9" x14ac:dyDescent="0.25">
      <c r="A1581" t="str">
        <f>"35006"</f>
        <v>35006</v>
      </c>
      <c r="B1581" t="s">
        <v>11</v>
      </c>
      <c r="C1581" t="s">
        <v>709</v>
      </c>
      <c r="D1581" t="s">
        <v>13</v>
      </c>
      <c r="E1581" t="s">
        <v>14</v>
      </c>
      <c r="F1581" t="s">
        <v>15</v>
      </c>
      <c r="G1581" t="s">
        <v>15</v>
      </c>
      <c r="H1581" t="s">
        <v>15</v>
      </c>
      <c r="I1581" s="1">
        <v>75592400</v>
      </c>
    </row>
    <row r="1582" spans="1:9" x14ac:dyDescent="0.25">
      <c r="A1582" t="str">
        <f>"35008"</f>
        <v>35008</v>
      </c>
      <c r="B1582" t="s">
        <v>11</v>
      </c>
      <c r="C1582" t="s">
        <v>710</v>
      </c>
      <c r="D1582" t="s">
        <v>13</v>
      </c>
      <c r="E1582" t="s">
        <v>14</v>
      </c>
      <c r="F1582" t="s">
        <v>15</v>
      </c>
      <c r="G1582" t="s">
        <v>15</v>
      </c>
      <c r="H1582" t="s">
        <v>15</v>
      </c>
      <c r="I1582" s="1">
        <v>50058900</v>
      </c>
    </row>
    <row r="1583" spans="1:9" x14ac:dyDescent="0.25">
      <c r="A1583" t="str">
        <f>"35010"</f>
        <v>35010</v>
      </c>
      <c r="B1583" t="s">
        <v>11</v>
      </c>
      <c r="C1583" t="s">
        <v>175</v>
      </c>
      <c r="D1583" t="s">
        <v>13</v>
      </c>
      <c r="E1583" t="s">
        <v>14</v>
      </c>
      <c r="F1583" t="s">
        <v>15</v>
      </c>
      <c r="G1583" t="s">
        <v>15</v>
      </c>
      <c r="H1583" t="s">
        <v>15</v>
      </c>
      <c r="I1583" s="1">
        <v>170321900</v>
      </c>
    </row>
    <row r="1584" spans="1:9" x14ac:dyDescent="0.25">
      <c r="A1584" t="str">
        <f>"35012"</f>
        <v>35012</v>
      </c>
      <c r="B1584" t="s">
        <v>11</v>
      </c>
      <c r="C1584" t="s">
        <v>711</v>
      </c>
      <c r="D1584" t="s">
        <v>13</v>
      </c>
      <c r="E1584" t="s">
        <v>14</v>
      </c>
      <c r="F1584" t="s">
        <v>15</v>
      </c>
      <c r="G1584" t="s">
        <v>15</v>
      </c>
      <c r="H1584" t="s">
        <v>15</v>
      </c>
      <c r="I1584" s="1">
        <v>176589200</v>
      </c>
    </row>
    <row r="1585" spans="1:9" x14ac:dyDescent="0.25">
      <c r="A1585" t="str">
        <f>"35014"</f>
        <v>35014</v>
      </c>
      <c r="B1585" t="s">
        <v>11</v>
      </c>
      <c r="C1585" t="s">
        <v>712</v>
      </c>
      <c r="D1585" t="s">
        <v>13</v>
      </c>
      <c r="E1585" t="s">
        <v>14</v>
      </c>
      <c r="F1585" t="s">
        <v>15</v>
      </c>
      <c r="G1585" t="s">
        <v>15</v>
      </c>
      <c r="H1585" t="s">
        <v>15</v>
      </c>
      <c r="I1585" s="1">
        <v>213183300</v>
      </c>
    </row>
    <row r="1586" spans="1:9" x14ac:dyDescent="0.25">
      <c r="A1586" t="str">
        <f>"35016"</f>
        <v>35016</v>
      </c>
      <c r="B1586" t="s">
        <v>11</v>
      </c>
      <c r="C1586" t="s">
        <v>713</v>
      </c>
      <c r="D1586" t="s">
        <v>13</v>
      </c>
      <c r="E1586" t="s">
        <v>14</v>
      </c>
      <c r="F1586" t="s">
        <v>15</v>
      </c>
      <c r="G1586" t="s">
        <v>15</v>
      </c>
      <c r="H1586" t="s">
        <v>15</v>
      </c>
      <c r="I1586" s="1">
        <v>147532600</v>
      </c>
    </row>
    <row r="1587" spans="1:9" x14ac:dyDescent="0.25">
      <c r="A1587" t="str">
        <f>"35018"</f>
        <v>35018</v>
      </c>
      <c r="B1587" t="s">
        <v>11</v>
      </c>
      <c r="C1587" t="s">
        <v>714</v>
      </c>
      <c r="D1587" t="s">
        <v>13</v>
      </c>
      <c r="E1587" t="s">
        <v>14</v>
      </c>
      <c r="F1587" t="s">
        <v>15</v>
      </c>
      <c r="G1587" t="s">
        <v>15</v>
      </c>
      <c r="H1587" t="s">
        <v>15</v>
      </c>
      <c r="I1587" s="1">
        <v>86623500</v>
      </c>
    </row>
    <row r="1588" spans="1:9" x14ac:dyDescent="0.25">
      <c r="A1588" t="str">
        <f>"35020"</f>
        <v>35020</v>
      </c>
      <c r="B1588" t="s">
        <v>11</v>
      </c>
      <c r="C1588" t="s">
        <v>106</v>
      </c>
      <c r="D1588" t="s">
        <v>13</v>
      </c>
      <c r="E1588" t="s">
        <v>14</v>
      </c>
      <c r="F1588" t="s">
        <v>15</v>
      </c>
      <c r="G1588" t="s">
        <v>15</v>
      </c>
      <c r="H1588" t="s">
        <v>15</v>
      </c>
      <c r="I1588" s="1">
        <v>45429800</v>
      </c>
    </row>
    <row r="1589" spans="1:9" x14ac:dyDescent="0.25">
      <c r="A1589" t="str">
        <f>"35022"</f>
        <v>35022</v>
      </c>
      <c r="B1589" t="s">
        <v>11</v>
      </c>
      <c r="C1589" t="s">
        <v>715</v>
      </c>
      <c r="D1589" t="s">
        <v>13</v>
      </c>
      <c r="E1589" t="s">
        <v>14</v>
      </c>
      <c r="F1589" t="s">
        <v>15</v>
      </c>
      <c r="G1589" t="s">
        <v>15</v>
      </c>
      <c r="H1589" t="s">
        <v>15</v>
      </c>
      <c r="I1589" s="1">
        <v>70997300</v>
      </c>
    </row>
    <row r="1590" spans="1:9" x14ac:dyDescent="0.25">
      <c r="A1590" t="str">
        <f>"35024"</f>
        <v>35024</v>
      </c>
      <c r="B1590" t="s">
        <v>11</v>
      </c>
      <c r="C1590" t="s">
        <v>120</v>
      </c>
      <c r="D1590" t="s">
        <v>13</v>
      </c>
      <c r="E1590" t="s">
        <v>14</v>
      </c>
      <c r="F1590" t="s">
        <v>15</v>
      </c>
      <c r="G1590" t="s">
        <v>15</v>
      </c>
      <c r="H1590" t="s">
        <v>15</v>
      </c>
      <c r="I1590" s="1">
        <v>106277800</v>
      </c>
    </row>
    <row r="1591" spans="1:9" x14ac:dyDescent="0.25">
      <c r="A1591" t="str">
        <f>"35026"</f>
        <v>35026</v>
      </c>
      <c r="B1591" t="s">
        <v>11</v>
      </c>
      <c r="C1591" t="s">
        <v>716</v>
      </c>
      <c r="D1591" t="s">
        <v>13</v>
      </c>
      <c r="E1591" t="s">
        <v>14</v>
      </c>
      <c r="F1591" t="s">
        <v>15</v>
      </c>
      <c r="G1591" t="s">
        <v>15</v>
      </c>
      <c r="H1591" t="s">
        <v>15</v>
      </c>
      <c r="I1591" s="1">
        <v>51194600</v>
      </c>
    </row>
    <row r="1592" spans="1:9" x14ac:dyDescent="0.25">
      <c r="A1592" t="str">
        <f>"35028"</f>
        <v>35028</v>
      </c>
      <c r="B1592" t="s">
        <v>11</v>
      </c>
      <c r="C1592" t="s">
        <v>717</v>
      </c>
      <c r="D1592" t="s">
        <v>13</v>
      </c>
      <c r="E1592" t="s">
        <v>14</v>
      </c>
      <c r="F1592" t="s">
        <v>15</v>
      </c>
      <c r="G1592" t="s">
        <v>15</v>
      </c>
      <c r="H1592" t="s">
        <v>15</v>
      </c>
      <c r="I1592" s="1">
        <v>19551000</v>
      </c>
    </row>
    <row r="1593" spans="1:9" x14ac:dyDescent="0.25">
      <c r="A1593" t="str">
        <f>"35030"</f>
        <v>35030</v>
      </c>
      <c r="B1593" t="s">
        <v>11</v>
      </c>
      <c r="C1593" t="s">
        <v>718</v>
      </c>
      <c r="D1593" t="s">
        <v>13</v>
      </c>
      <c r="E1593" t="s">
        <v>14</v>
      </c>
      <c r="F1593" t="s">
        <v>15</v>
      </c>
      <c r="G1593" t="s">
        <v>15</v>
      </c>
      <c r="H1593" t="s">
        <v>15</v>
      </c>
      <c r="I1593" s="1">
        <v>73020100</v>
      </c>
    </row>
    <row r="1594" spans="1:9" x14ac:dyDescent="0.25">
      <c r="A1594" t="str">
        <f>"35032"</f>
        <v>35032</v>
      </c>
      <c r="B1594" t="s">
        <v>11</v>
      </c>
      <c r="C1594" t="s">
        <v>431</v>
      </c>
      <c r="D1594" t="s">
        <v>13</v>
      </c>
      <c r="E1594" t="s">
        <v>14</v>
      </c>
      <c r="F1594" t="s">
        <v>15</v>
      </c>
      <c r="G1594" t="s">
        <v>15</v>
      </c>
      <c r="H1594" t="s">
        <v>15</v>
      </c>
      <c r="I1594" s="1">
        <v>70209700</v>
      </c>
    </row>
    <row r="1595" spans="1:9" x14ac:dyDescent="0.25">
      <c r="A1595" t="s">
        <v>32</v>
      </c>
      <c r="B1595" t="s">
        <v>33</v>
      </c>
      <c r="C1595" t="s">
        <v>34</v>
      </c>
      <c r="D1595" t="s">
        <v>13</v>
      </c>
      <c r="E1595" t="s">
        <v>14</v>
      </c>
      <c r="F1595" t="s">
        <v>15</v>
      </c>
      <c r="G1595" t="s">
        <v>15</v>
      </c>
      <c r="H1595" t="s">
        <v>15</v>
      </c>
      <c r="I1595" s="1">
        <v>1863344800</v>
      </c>
    </row>
    <row r="1596" spans="1:9" x14ac:dyDescent="0.25">
      <c r="A1596" t="str">
        <f t="shared" ref="A1596:A1606" si="33">"35251"</f>
        <v>35251</v>
      </c>
      <c r="B1596" t="s">
        <v>38</v>
      </c>
      <c r="C1596" t="s">
        <v>712</v>
      </c>
      <c r="D1596" t="str">
        <f>"003"</f>
        <v>003</v>
      </c>
      <c r="E1596">
        <v>2005</v>
      </c>
      <c r="F1596">
        <v>15367900</v>
      </c>
      <c r="G1596">
        <v>45022100</v>
      </c>
      <c r="H1596">
        <v>29654200</v>
      </c>
    </row>
    <row r="1597" spans="1:9" x14ac:dyDescent="0.25">
      <c r="A1597" t="str">
        <f t="shared" si="33"/>
        <v>35251</v>
      </c>
      <c r="B1597" t="s">
        <v>38</v>
      </c>
      <c r="C1597" t="s">
        <v>712</v>
      </c>
      <c r="D1597" t="str">
        <f>"004"</f>
        <v>004</v>
      </c>
      <c r="E1597">
        <v>2007</v>
      </c>
      <c r="F1597">
        <v>8884500</v>
      </c>
      <c r="G1597">
        <v>15826600</v>
      </c>
      <c r="H1597">
        <v>6942100</v>
      </c>
    </row>
    <row r="1598" spans="1:9" x14ac:dyDescent="0.25">
      <c r="A1598" t="str">
        <f t="shared" si="33"/>
        <v>35251</v>
      </c>
      <c r="B1598" t="s">
        <v>38</v>
      </c>
      <c r="C1598" t="s">
        <v>712</v>
      </c>
      <c r="D1598" t="str">
        <f>"005"</f>
        <v>005</v>
      </c>
      <c r="E1598">
        <v>2007</v>
      </c>
      <c r="F1598">
        <v>74000</v>
      </c>
      <c r="G1598">
        <v>651400</v>
      </c>
      <c r="H1598">
        <v>577400</v>
      </c>
    </row>
    <row r="1599" spans="1:9" x14ac:dyDescent="0.25">
      <c r="A1599" t="str">
        <f t="shared" si="33"/>
        <v>35251</v>
      </c>
      <c r="B1599" t="s">
        <v>38</v>
      </c>
      <c r="C1599" t="s">
        <v>712</v>
      </c>
      <c r="D1599" t="str">
        <f>"006"</f>
        <v>006</v>
      </c>
      <c r="E1599">
        <v>2009</v>
      </c>
      <c r="F1599">
        <v>11982400</v>
      </c>
      <c r="G1599">
        <v>13375600</v>
      </c>
      <c r="H1599">
        <v>1393200</v>
      </c>
    </row>
    <row r="1600" spans="1:9" x14ac:dyDescent="0.25">
      <c r="A1600" t="str">
        <f t="shared" si="33"/>
        <v>35251</v>
      </c>
      <c r="B1600" t="s">
        <v>38</v>
      </c>
      <c r="C1600" t="s">
        <v>712</v>
      </c>
      <c r="D1600" t="str">
        <f>"007"</f>
        <v>007</v>
      </c>
      <c r="E1600">
        <v>2009</v>
      </c>
      <c r="F1600">
        <v>7787000</v>
      </c>
      <c r="G1600">
        <v>8403700</v>
      </c>
      <c r="H1600">
        <v>616700</v>
      </c>
    </row>
    <row r="1601" spans="1:9" x14ac:dyDescent="0.25">
      <c r="A1601" t="str">
        <f t="shared" si="33"/>
        <v>35251</v>
      </c>
      <c r="B1601" t="s">
        <v>38</v>
      </c>
      <c r="C1601" t="s">
        <v>712</v>
      </c>
      <c r="D1601" t="str">
        <f>"008"</f>
        <v>008</v>
      </c>
      <c r="E1601">
        <v>2011</v>
      </c>
      <c r="F1601">
        <v>17316700</v>
      </c>
      <c r="G1601">
        <v>18661600</v>
      </c>
      <c r="H1601">
        <v>1344900</v>
      </c>
    </row>
    <row r="1602" spans="1:9" x14ac:dyDescent="0.25">
      <c r="A1602" t="str">
        <f t="shared" si="33"/>
        <v>35251</v>
      </c>
      <c r="B1602" t="s">
        <v>38</v>
      </c>
      <c r="C1602" t="s">
        <v>712</v>
      </c>
      <c r="D1602" t="str">
        <f>"009"</f>
        <v>009</v>
      </c>
      <c r="E1602">
        <v>2013</v>
      </c>
      <c r="F1602">
        <v>5936000</v>
      </c>
      <c r="G1602">
        <v>5593600</v>
      </c>
      <c r="H1602">
        <v>0</v>
      </c>
    </row>
    <row r="1603" spans="1:9" x14ac:dyDescent="0.25">
      <c r="A1603" t="str">
        <f t="shared" si="33"/>
        <v>35251</v>
      </c>
      <c r="B1603" t="s">
        <v>38</v>
      </c>
      <c r="C1603" t="s">
        <v>712</v>
      </c>
      <c r="D1603" t="str">
        <f>"010"</f>
        <v>010</v>
      </c>
      <c r="E1603">
        <v>2015</v>
      </c>
      <c r="F1603">
        <v>296800</v>
      </c>
      <c r="G1603">
        <v>0</v>
      </c>
      <c r="H1603">
        <v>0</v>
      </c>
    </row>
    <row r="1604" spans="1:9" x14ac:dyDescent="0.25">
      <c r="A1604" t="str">
        <f t="shared" si="33"/>
        <v>35251</v>
      </c>
      <c r="B1604" t="s">
        <v>38</v>
      </c>
      <c r="C1604" t="s">
        <v>712</v>
      </c>
      <c r="D1604" t="str">
        <f>"011"</f>
        <v>011</v>
      </c>
      <c r="E1604">
        <v>2016</v>
      </c>
      <c r="F1604">
        <v>14980600</v>
      </c>
      <c r="G1604">
        <v>18749200</v>
      </c>
      <c r="H1604">
        <v>3768600</v>
      </c>
    </row>
    <row r="1605" spans="1:9" x14ac:dyDescent="0.25">
      <c r="A1605" t="str">
        <f t="shared" si="33"/>
        <v>35251</v>
      </c>
      <c r="B1605" t="s">
        <v>38</v>
      </c>
      <c r="C1605" t="s">
        <v>712</v>
      </c>
      <c r="D1605" t="str">
        <f>"012"</f>
        <v>012</v>
      </c>
      <c r="E1605">
        <v>2017</v>
      </c>
      <c r="F1605">
        <v>1594700</v>
      </c>
      <c r="G1605">
        <v>2293700</v>
      </c>
      <c r="H1605">
        <v>699000</v>
      </c>
    </row>
    <row r="1606" spans="1:9" x14ac:dyDescent="0.25">
      <c r="A1606" t="str">
        <f t="shared" si="33"/>
        <v>35251</v>
      </c>
      <c r="B1606" t="s">
        <v>38</v>
      </c>
      <c r="C1606" t="s">
        <v>712</v>
      </c>
      <c r="D1606" t="s">
        <v>13</v>
      </c>
      <c r="E1606" t="s">
        <v>14</v>
      </c>
      <c r="F1606" t="s">
        <v>15</v>
      </c>
      <c r="G1606" t="s">
        <v>15</v>
      </c>
      <c r="H1606" t="s">
        <v>15</v>
      </c>
      <c r="I1606" s="1">
        <v>400888300</v>
      </c>
    </row>
    <row r="1607" spans="1:9" x14ac:dyDescent="0.25">
      <c r="A1607" t="str">
        <f t="shared" ref="A1607:A1613" si="34">"35286"</f>
        <v>35286</v>
      </c>
      <c r="B1607" t="s">
        <v>38</v>
      </c>
      <c r="C1607" t="s">
        <v>718</v>
      </c>
      <c r="D1607" t="str">
        <f>"001"</f>
        <v>001</v>
      </c>
      <c r="E1607">
        <v>1995</v>
      </c>
      <c r="F1607">
        <v>772400</v>
      </c>
      <c r="G1607">
        <v>5889600</v>
      </c>
      <c r="H1607">
        <v>5117200</v>
      </c>
    </row>
    <row r="1608" spans="1:9" x14ac:dyDescent="0.25">
      <c r="A1608" t="str">
        <f t="shared" si="34"/>
        <v>35286</v>
      </c>
      <c r="B1608" t="s">
        <v>38</v>
      </c>
      <c r="C1608" t="s">
        <v>718</v>
      </c>
      <c r="D1608" t="str">
        <f>"001E"</f>
        <v>001E</v>
      </c>
      <c r="E1608">
        <v>2005</v>
      </c>
      <c r="F1608">
        <v>154400</v>
      </c>
      <c r="G1608">
        <v>642200</v>
      </c>
      <c r="H1608">
        <v>487800</v>
      </c>
    </row>
    <row r="1609" spans="1:9" x14ac:dyDescent="0.25">
      <c r="A1609" t="str">
        <f t="shared" si="34"/>
        <v>35286</v>
      </c>
      <c r="B1609" t="s">
        <v>38</v>
      </c>
      <c r="C1609" t="s">
        <v>718</v>
      </c>
      <c r="D1609" t="str">
        <f>"002"</f>
        <v>002</v>
      </c>
      <c r="E1609">
        <v>1997</v>
      </c>
      <c r="F1609">
        <v>8285900</v>
      </c>
      <c r="G1609">
        <v>18442500</v>
      </c>
      <c r="H1609">
        <v>10156600</v>
      </c>
    </row>
    <row r="1610" spans="1:9" x14ac:dyDescent="0.25">
      <c r="A1610" t="str">
        <f t="shared" si="34"/>
        <v>35286</v>
      </c>
      <c r="B1610" t="s">
        <v>38</v>
      </c>
      <c r="C1610" t="s">
        <v>718</v>
      </c>
      <c r="D1610" t="str">
        <f>"003"</f>
        <v>003</v>
      </c>
      <c r="E1610">
        <v>2008</v>
      </c>
      <c r="F1610">
        <v>178200</v>
      </c>
      <c r="G1610">
        <v>2233800</v>
      </c>
      <c r="H1610">
        <v>2055600</v>
      </c>
    </row>
    <row r="1611" spans="1:9" x14ac:dyDescent="0.25">
      <c r="A1611" t="str">
        <f t="shared" si="34"/>
        <v>35286</v>
      </c>
      <c r="B1611" t="s">
        <v>38</v>
      </c>
      <c r="C1611" t="s">
        <v>718</v>
      </c>
      <c r="D1611" t="str">
        <f>"004"</f>
        <v>004</v>
      </c>
      <c r="E1611">
        <v>2013</v>
      </c>
      <c r="F1611">
        <v>2052200</v>
      </c>
      <c r="G1611">
        <v>6263200</v>
      </c>
      <c r="H1611">
        <v>4211000</v>
      </c>
    </row>
    <row r="1612" spans="1:9" x14ac:dyDescent="0.25">
      <c r="A1612" t="str">
        <f t="shared" si="34"/>
        <v>35286</v>
      </c>
      <c r="B1612" t="s">
        <v>38</v>
      </c>
      <c r="C1612" t="s">
        <v>718</v>
      </c>
      <c r="D1612" t="str">
        <f>"005"</f>
        <v>005</v>
      </c>
      <c r="E1612">
        <v>2015</v>
      </c>
      <c r="F1612">
        <v>610200</v>
      </c>
      <c r="G1612">
        <v>670700</v>
      </c>
      <c r="H1612">
        <v>60500</v>
      </c>
    </row>
    <row r="1613" spans="1:9" x14ac:dyDescent="0.25">
      <c r="A1613" t="str">
        <f t="shared" si="34"/>
        <v>35286</v>
      </c>
      <c r="B1613" t="s">
        <v>38</v>
      </c>
      <c r="C1613" t="s">
        <v>718</v>
      </c>
      <c r="D1613" t="s">
        <v>13</v>
      </c>
      <c r="E1613" t="s">
        <v>14</v>
      </c>
      <c r="F1613" t="s">
        <v>15</v>
      </c>
      <c r="G1613" t="s">
        <v>15</v>
      </c>
      <c r="H1613" t="s">
        <v>15</v>
      </c>
      <c r="I1613" s="1">
        <v>209920600</v>
      </c>
    </row>
    <row r="1614" spans="1:9" x14ac:dyDescent="0.25">
      <c r="A1614" t="s">
        <v>32</v>
      </c>
      <c r="B1614" t="s">
        <v>40</v>
      </c>
      <c r="C1614" t="s">
        <v>34</v>
      </c>
      <c r="D1614" t="s">
        <v>13</v>
      </c>
      <c r="E1614" t="s">
        <v>14</v>
      </c>
      <c r="F1614" t="s">
        <v>15</v>
      </c>
      <c r="G1614" t="s">
        <v>15</v>
      </c>
      <c r="H1614" t="s">
        <v>15</v>
      </c>
      <c r="I1614" s="1">
        <v>610808900</v>
      </c>
    </row>
    <row r="1615" spans="1:9" x14ac:dyDescent="0.25">
      <c r="A1615" t="s">
        <v>32</v>
      </c>
      <c r="B1615" t="s">
        <v>41</v>
      </c>
      <c r="C1615" t="s">
        <v>22</v>
      </c>
      <c r="D1615" t="s">
        <v>13</v>
      </c>
      <c r="E1615" t="s">
        <v>14</v>
      </c>
      <c r="F1615" t="s">
        <v>15</v>
      </c>
      <c r="G1615" t="s">
        <v>15</v>
      </c>
      <c r="H1615" t="s">
        <v>15</v>
      </c>
      <c r="I1615" s="1">
        <v>2474153700</v>
      </c>
    </row>
    <row r="1616" spans="1:9" x14ac:dyDescent="0.25">
      <c r="A1616" t="str">
        <f>"36002"</f>
        <v>36002</v>
      </c>
      <c r="B1616" t="s">
        <v>11</v>
      </c>
      <c r="C1616" t="s">
        <v>719</v>
      </c>
      <c r="D1616" t="s">
        <v>13</v>
      </c>
      <c r="E1616" t="s">
        <v>14</v>
      </c>
      <c r="F1616" t="s">
        <v>15</v>
      </c>
      <c r="G1616" t="s">
        <v>15</v>
      </c>
      <c r="H1616" t="s">
        <v>15</v>
      </c>
      <c r="I1616" s="1">
        <v>155780000</v>
      </c>
    </row>
    <row r="1617" spans="1:9" x14ac:dyDescent="0.25">
      <c r="A1617" t="str">
        <f>"36004"</f>
        <v>36004</v>
      </c>
      <c r="B1617" t="s">
        <v>11</v>
      </c>
      <c r="C1617" t="s">
        <v>720</v>
      </c>
      <c r="D1617" t="s">
        <v>13</v>
      </c>
      <c r="E1617" t="s">
        <v>14</v>
      </c>
      <c r="F1617" t="s">
        <v>15</v>
      </c>
      <c r="G1617" t="s">
        <v>15</v>
      </c>
      <c r="H1617" t="s">
        <v>15</v>
      </c>
      <c r="I1617" s="1">
        <v>77997800</v>
      </c>
    </row>
    <row r="1618" spans="1:9" x14ac:dyDescent="0.25">
      <c r="A1618" t="str">
        <f>"36006"</f>
        <v>36006</v>
      </c>
      <c r="B1618" t="s">
        <v>11</v>
      </c>
      <c r="C1618" t="s">
        <v>721</v>
      </c>
      <c r="D1618" t="s">
        <v>13</v>
      </c>
      <c r="E1618" t="s">
        <v>14</v>
      </c>
      <c r="F1618" t="s">
        <v>15</v>
      </c>
      <c r="G1618" t="s">
        <v>15</v>
      </c>
      <c r="H1618" t="s">
        <v>15</v>
      </c>
      <c r="I1618" s="1">
        <v>120810200</v>
      </c>
    </row>
    <row r="1619" spans="1:9" x14ac:dyDescent="0.25">
      <c r="A1619" t="str">
        <f>"36008"</f>
        <v>36008</v>
      </c>
      <c r="B1619" t="s">
        <v>11</v>
      </c>
      <c r="C1619" t="s">
        <v>109</v>
      </c>
      <c r="D1619" t="s">
        <v>13</v>
      </c>
      <c r="E1619" t="s">
        <v>14</v>
      </c>
      <c r="F1619" t="s">
        <v>15</v>
      </c>
      <c r="G1619" t="s">
        <v>15</v>
      </c>
      <c r="H1619" t="s">
        <v>15</v>
      </c>
      <c r="I1619" s="1">
        <v>84267500</v>
      </c>
    </row>
    <row r="1620" spans="1:9" x14ac:dyDescent="0.25">
      <c r="A1620" t="str">
        <f>"36010"</f>
        <v>36010</v>
      </c>
      <c r="B1620" t="s">
        <v>11</v>
      </c>
      <c r="C1620" t="s">
        <v>589</v>
      </c>
      <c r="D1620" t="s">
        <v>13</v>
      </c>
      <c r="E1620" t="s">
        <v>14</v>
      </c>
      <c r="F1620" t="s">
        <v>15</v>
      </c>
      <c r="G1620" t="s">
        <v>15</v>
      </c>
      <c r="H1620" t="s">
        <v>15</v>
      </c>
      <c r="I1620" s="1">
        <v>120080400</v>
      </c>
    </row>
    <row r="1621" spans="1:9" x14ac:dyDescent="0.25">
      <c r="A1621" t="str">
        <f>"36012"</f>
        <v>36012</v>
      </c>
      <c r="B1621" t="s">
        <v>11</v>
      </c>
      <c r="C1621" t="s">
        <v>722</v>
      </c>
      <c r="D1621" t="s">
        <v>13</v>
      </c>
      <c r="E1621" t="s">
        <v>14</v>
      </c>
      <c r="F1621" t="s">
        <v>15</v>
      </c>
      <c r="G1621" t="s">
        <v>15</v>
      </c>
      <c r="H1621" t="s">
        <v>15</v>
      </c>
      <c r="I1621" s="1">
        <v>125877000</v>
      </c>
    </row>
    <row r="1622" spans="1:9" x14ac:dyDescent="0.25">
      <c r="A1622" t="str">
        <f>"36014"</f>
        <v>36014</v>
      </c>
      <c r="B1622" t="s">
        <v>11</v>
      </c>
      <c r="C1622" t="s">
        <v>723</v>
      </c>
      <c r="D1622" t="s">
        <v>13</v>
      </c>
      <c r="E1622" t="s">
        <v>14</v>
      </c>
      <c r="F1622" t="s">
        <v>15</v>
      </c>
      <c r="G1622" t="s">
        <v>15</v>
      </c>
      <c r="H1622" t="s">
        <v>15</v>
      </c>
      <c r="I1622" s="1">
        <v>179487700</v>
      </c>
    </row>
    <row r="1623" spans="1:9" x14ac:dyDescent="0.25">
      <c r="A1623" t="str">
        <f>"36016"</f>
        <v>36016</v>
      </c>
      <c r="B1623" t="s">
        <v>11</v>
      </c>
      <c r="C1623" t="s">
        <v>504</v>
      </c>
      <c r="D1623" t="s">
        <v>13</v>
      </c>
      <c r="E1623" t="s">
        <v>14</v>
      </c>
      <c r="F1623" t="s">
        <v>15</v>
      </c>
      <c r="G1623" t="s">
        <v>15</v>
      </c>
      <c r="H1623" t="s">
        <v>15</v>
      </c>
      <c r="I1623" s="1">
        <v>153291600</v>
      </c>
    </row>
    <row r="1624" spans="1:9" x14ac:dyDescent="0.25">
      <c r="A1624" t="str">
        <f>"36018"</f>
        <v>36018</v>
      </c>
      <c r="B1624" t="s">
        <v>11</v>
      </c>
      <c r="C1624" t="s">
        <v>724</v>
      </c>
      <c r="D1624" t="s">
        <v>13</v>
      </c>
      <c r="E1624" t="s">
        <v>14</v>
      </c>
      <c r="F1624" t="s">
        <v>15</v>
      </c>
      <c r="G1624" t="s">
        <v>15</v>
      </c>
      <c r="H1624" t="s">
        <v>15</v>
      </c>
      <c r="I1624" s="1">
        <v>99226900</v>
      </c>
    </row>
    <row r="1625" spans="1:9" x14ac:dyDescent="0.25">
      <c r="A1625" t="str">
        <f>"36020"</f>
        <v>36020</v>
      </c>
      <c r="B1625" t="s">
        <v>11</v>
      </c>
      <c r="C1625" t="s">
        <v>725</v>
      </c>
      <c r="D1625" t="s">
        <v>13</v>
      </c>
      <c r="E1625" t="s">
        <v>14</v>
      </c>
      <c r="F1625" t="s">
        <v>15</v>
      </c>
      <c r="G1625" t="s">
        <v>15</v>
      </c>
      <c r="H1625" t="s">
        <v>15</v>
      </c>
      <c r="I1625" s="1">
        <v>223582200</v>
      </c>
    </row>
    <row r="1626" spans="1:9" x14ac:dyDescent="0.25">
      <c r="A1626" t="str">
        <f>"36022"</f>
        <v>36022</v>
      </c>
      <c r="B1626" t="s">
        <v>11</v>
      </c>
      <c r="C1626" t="s">
        <v>70</v>
      </c>
      <c r="D1626" t="s">
        <v>13</v>
      </c>
      <c r="E1626" t="s">
        <v>14</v>
      </c>
      <c r="F1626" t="s">
        <v>15</v>
      </c>
      <c r="G1626" t="s">
        <v>15</v>
      </c>
      <c r="H1626" t="s">
        <v>15</v>
      </c>
      <c r="I1626" s="1">
        <v>80007600</v>
      </c>
    </row>
    <row r="1627" spans="1:9" x14ac:dyDescent="0.25">
      <c r="A1627" t="str">
        <f>"36024"</f>
        <v>36024</v>
      </c>
      <c r="B1627" t="s">
        <v>11</v>
      </c>
      <c r="C1627" t="s">
        <v>726</v>
      </c>
      <c r="D1627" t="s">
        <v>13</v>
      </c>
      <c r="E1627" t="s">
        <v>14</v>
      </c>
      <c r="F1627" t="s">
        <v>15</v>
      </c>
      <c r="G1627" t="s">
        <v>15</v>
      </c>
      <c r="H1627" t="s">
        <v>15</v>
      </c>
      <c r="I1627" s="1">
        <v>137393100</v>
      </c>
    </row>
    <row r="1628" spans="1:9" x14ac:dyDescent="0.25">
      <c r="A1628" t="str">
        <f>"36026"</f>
        <v>36026</v>
      </c>
      <c r="B1628" t="s">
        <v>11</v>
      </c>
      <c r="C1628" t="s">
        <v>727</v>
      </c>
      <c r="D1628" t="s">
        <v>13</v>
      </c>
      <c r="E1628" t="s">
        <v>14</v>
      </c>
      <c r="F1628" t="s">
        <v>15</v>
      </c>
      <c r="G1628" t="s">
        <v>15</v>
      </c>
      <c r="H1628" t="s">
        <v>15</v>
      </c>
      <c r="I1628" s="1">
        <v>103285100</v>
      </c>
    </row>
    <row r="1629" spans="1:9" x14ac:dyDescent="0.25">
      <c r="A1629" t="str">
        <f>"36028"</f>
        <v>36028</v>
      </c>
      <c r="B1629" t="s">
        <v>11</v>
      </c>
      <c r="C1629" t="s">
        <v>728</v>
      </c>
      <c r="D1629" t="s">
        <v>13</v>
      </c>
      <c r="E1629" t="s">
        <v>14</v>
      </c>
      <c r="F1629" t="s">
        <v>15</v>
      </c>
      <c r="G1629" t="s">
        <v>15</v>
      </c>
      <c r="H1629" t="s">
        <v>15</v>
      </c>
      <c r="I1629" s="1">
        <v>239430200</v>
      </c>
    </row>
    <row r="1630" spans="1:9" x14ac:dyDescent="0.25">
      <c r="A1630" t="str">
        <f>"36030"</f>
        <v>36030</v>
      </c>
      <c r="B1630" t="s">
        <v>11</v>
      </c>
      <c r="C1630" t="s">
        <v>119</v>
      </c>
      <c r="D1630" t="s">
        <v>13</v>
      </c>
      <c r="E1630" t="s">
        <v>14</v>
      </c>
      <c r="F1630" t="s">
        <v>15</v>
      </c>
      <c r="G1630" t="s">
        <v>15</v>
      </c>
      <c r="H1630" t="s">
        <v>15</v>
      </c>
      <c r="I1630" s="1">
        <v>98369700</v>
      </c>
    </row>
    <row r="1631" spans="1:9" x14ac:dyDescent="0.25">
      <c r="A1631" t="str">
        <f>"36032"</f>
        <v>36032</v>
      </c>
      <c r="B1631" t="s">
        <v>11</v>
      </c>
      <c r="C1631" t="s">
        <v>729</v>
      </c>
      <c r="D1631" t="s">
        <v>13</v>
      </c>
      <c r="E1631" t="s">
        <v>14</v>
      </c>
      <c r="F1631" t="s">
        <v>15</v>
      </c>
      <c r="G1631" t="s">
        <v>15</v>
      </c>
      <c r="H1631" t="s">
        <v>15</v>
      </c>
      <c r="I1631" s="1">
        <v>254921400</v>
      </c>
    </row>
    <row r="1632" spans="1:9" x14ac:dyDescent="0.25">
      <c r="A1632" t="str">
        <f>"36034"</f>
        <v>36034</v>
      </c>
      <c r="B1632" t="s">
        <v>11</v>
      </c>
      <c r="C1632" t="s">
        <v>730</v>
      </c>
      <c r="D1632" t="s">
        <v>13</v>
      </c>
      <c r="E1632" t="s">
        <v>14</v>
      </c>
      <c r="F1632" t="s">
        <v>15</v>
      </c>
      <c r="G1632" t="s">
        <v>15</v>
      </c>
      <c r="H1632" t="s">
        <v>15</v>
      </c>
      <c r="I1632" s="1">
        <v>46108600</v>
      </c>
    </row>
    <row r="1633" spans="1:9" x14ac:dyDescent="0.25">
      <c r="A1633" t="str">
        <f>"36036"</f>
        <v>36036</v>
      </c>
      <c r="B1633" t="s">
        <v>11</v>
      </c>
      <c r="C1633" t="s">
        <v>731</v>
      </c>
      <c r="D1633" t="s">
        <v>13</v>
      </c>
      <c r="E1633" t="s">
        <v>14</v>
      </c>
      <c r="F1633" t="s">
        <v>15</v>
      </c>
      <c r="G1633" t="s">
        <v>15</v>
      </c>
      <c r="H1633" t="s">
        <v>15</v>
      </c>
      <c r="I1633" s="1">
        <v>153788000</v>
      </c>
    </row>
    <row r="1634" spans="1:9" x14ac:dyDescent="0.25">
      <c r="A1634" t="s">
        <v>32</v>
      </c>
      <c r="B1634" t="s">
        <v>33</v>
      </c>
      <c r="C1634" t="s">
        <v>34</v>
      </c>
      <c r="D1634" t="s">
        <v>13</v>
      </c>
      <c r="E1634" t="s">
        <v>14</v>
      </c>
      <c r="F1634" t="s">
        <v>15</v>
      </c>
      <c r="G1634" t="s">
        <v>15</v>
      </c>
      <c r="H1634" t="s">
        <v>15</v>
      </c>
      <c r="I1634" s="1">
        <v>2453705000</v>
      </c>
    </row>
    <row r="1635" spans="1:9" x14ac:dyDescent="0.25">
      <c r="A1635" t="str">
        <f>"36112"</f>
        <v>36112</v>
      </c>
      <c r="B1635" t="s">
        <v>35</v>
      </c>
      <c r="C1635" t="s">
        <v>193</v>
      </c>
      <c r="D1635" t="s">
        <v>13</v>
      </c>
      <c r="E1635" t="s">
        <v>14</v>
      </c>
      <c r="F1635" t="s">
        <v>15</v>
      </c>
      <c r="G1635" t="s">
        <v>15</v>
      </c>
      <c r="H1635" t="s">
        <v>15</v>
      </c>
      <c r="I1635" s="1">
        <v>101825200</v>
      </c>
    </row>
    <row r="1636" spans="1:9" x14ac:dyDescent="0.25">
      <c r="A1636" t="str">
        <f>"36126"</f>
        <v>36126</v>
      </c>
      <c r="B1636" t="s">
        <v>35</v>
      </c>
      <c r="C1636" t="s">
        <v>732</v>
      </c>
      <c r="D1636" t="str">
        <f>"002"</f>
        <v>002</v>
      </c>
      <c r="E1636">
        <v>2004</v>
      </c>
      <c r="F1636">
        <v>219600</v>
      </c>
      <c r="G1636">
        <v>1379500</v>
      </c>
      <c r="H1636">
        <v>1159900</v>
      </c>
    </row>
    <row r="1637" spans="1:9" x14ac:dyDescent="0.25">
      <c r="A1637" t="str">
        <f>"36126"</f>
        <v>36126</v>
      </c>
      <c r="B1637" t="s">
        <v>35</v>
      </c>
      <c r="C1637" t="s">
        <v>732</v>
      </c>
      <c r="D1637" t="s">
        <v>13</v>
      </c>
      <c r="E1637" t="s">
        <v>14</v>
      </c>
      <c r="F1637" t="s">
        <v>15</v>
      </c>
      <c r="G1637" t="s">
        <v>15</v>
      </c>
      <c r="H1637" t="s">
        <v>15</v>
      </c>
      <c r="I1637" s="1">
        <v>40547500</v>
      </c>
    </row>
    <row r="1638" spans="1:9" x14ac:dyDescent="0.25">
      <c r="A1638" t="str">
        <f>"36132"</f>
        <v>36132</v>
      </c>
      <c r="B1638" t="s">
        <v>35</v>
      </c>
      <c r="C1638" t="s">
        <v>733</v>
      </c>
      <c r="D1638" t="str">
        <f>"001"</f>
        <v>001</v>
      </c>
      <c r="E1638">
        <v>2003</v>
      </c>
      <c r="F1638">
        <v>783600</v>
      </c>
      <c r="G1638">
        <v>1278200</v>
      </c>
      <c r="H1638">
        <v>494600</v>
      </c>
    </row>
    <row r="1639" spans="1:9" x14ac:dyDescent="0.25">
      <c r="A1639" t="str">
        <f>"36132"</f>
        <v>36132</v>
      </c>
      <c r="B1639" t="s">
        <v>35</v>
      </c>
      <c r="C1639" t="s">
        <v>733</v>
      </c>
      <c r="D1639" t="s">
        <v>13</v>
      </c>
      <c r="E1639" t="s">
        <v>14</v>
      </c>
      <c r="F1639" t="s">
        <v>15</v>
      </c>
      <c r="G1639" t="s">
        <v>15</v>
      </c>
      <c r="H1639" t="s">
        <v>15</v>
      </c>
      <c r="I1639" s="1">
        <v>13876200</v>
      </c>
    </row>
    <row r="1640" spans="1:9" x14ac:dyDescent="0.25">
      <c r="A1640" t="str">
        <f>"36147"</f>
        <v>36147</v>
      </c>
      <c r="B1640" t="s">
        <v>35</v>
      </c>
      <c r="C1640" t="s">
        <v>734</v>
      </c>
      <c r="D1640" t="str">
        <f>"001"</f>
        <v>001</v>
      </c>
      <c r="E1640">
        <v>2017</v>
      </c>
      <c r="F1640">
        <v>1247400</v>
      </c>
      <c r="G1640">
        <v>3675600</v>
      </c>
      <c r="H1640">
        <v>2428200</v>
      </c>
    </row>
    <row r="1641" spans="1:9" x14ac:dyDescent="0.25">
      <c r="A1641" t="str">
        <f>"36147"</f>
        <v>36147</v>
      </c>
      <c r="B1641" t="s">
        <v>35</v>
      </c>
      <c r="C1641" t="s">
        <v>734</v>
      </c>
      <c r="D1641" t="s">
        <v>13</v>
      </c>
      <c r="E1641" t="s">
        <v>14</v>
      </c>
      <c r="F1641" t="s">
        <v>15</v>
      </c>
      <c r="G1641" t="s">
        <v>15</v>
      </c>
      <c r="H1641" t="s">
        <v>15</v>
      </c>
      <c r="I1641" s="1">
        <v>17776700</v>
      </c>
    </row>
    <row r="1642" spans="1:9" x14ac:dyDescent="0.25">
      <c r="A1642" t="str">
        <f>"36151"</f>
        <v>36151</v>
      </c>
      <c r="B1642" t="s">
        <v>35</v>
      </c>
      <c r="C1642" t="s">
        <v>727</v>
      </c>
      <c r="D1642" t="s">
        <v>13</v>
      </c>
      <c r="E1642" t="s">
        <v>14</v>
      </c>
      <c r="F1642" t="s">
        <v>15</v>
      </c>
      <c r="G1642" t="s">
        <v>15</v>
      </c>
      <c r="H1642" t="s">
        <v>15</v>
      </c>
      <c r="I1642" s="1">
        <v>83871900</v>
      </c>
    </row>
    <row r="1643" spans="1:9" x14ac:dyDescent="0.25">
      <c r="A1643" t="str">
        <f>"36176"</f>
        <v>36176</v>
      </c>
      <c r="B1643" t="s">
        <v>35</v>
      </c>
      <c r="C1643" t="s">
        <v>735</v>
      </c>
      <c r="D1643" t="s">
        <v>13</v>
      </c>
      <c r="E1643" t="s">
        <v>14</v>
      </c>
      <c r="F1643" t="s">
        <v>15</v>
      </c>
      <c r="G1643" t="s">
        <v>15</v>
      </c>
      <c r="H1643" t="s">
        <v>15</v>
      </c>
      <c r="I1643" s="1">
        <v>53103800</v>
      </c>
    </row>
    <row r="1644" spans="1:9" x14ac:dyDescent="0.25">
      <c r="A1644" t="str">
        <f>"36181"</f>
        <v>36181</v>
      </c>
      <c r="B1644" t="s">
        <v>35</v>
      </c>
      <c r="C1644" t="s">
        <v>736</v>
      </c>
      <c r="D1644" t="s">
        <v>13</v>
      </c>
      <c r="E1644" t="s">
        <v>14</v>
      </c>
      <c r="F1644" t="s">
        <v>15</v>
      </c>
      <c r="G1644" t="s">
        <v>15</v>
      </c>
      <c r="H1644" t="s">
        <v>15</v>
      </c>
      <c r="I1644" s="1">
        <v>38315000</v>
      </c>
    </row>
    <row r="1645" spans="1:9" x14ac:dyDescent="0.25">
      <c r="A1645" t="str">
        <f>"36186"</f>
        <v>36186</v>
      </c>
      <c r="B1645" t="s">
        <v>35</v>
      </c>
      <c r="C1645" t="s">
        <v>737</v>
      </c>
      <c r="D1645" t="str">
        <f>"002"</f>
        <v>002</v>
      </c>
      <c r="E1645">
        <v>2017</v>
      </c>
      <c r="F1645">
        <v>3330200</v>
      </c>
      <c r="G1645">
        <v>3406800</v>
      </c>
      <c r="H1645">
        <v>76600</v>
      </c>
    </row>
    <row r="1646" spans="1:9" x14ac:dyDescent="0.25">
      <c r="A1646" t="str">
        <f>"36186"</f>
        <v>36186</v>
      </c>
      <c r="B1646" t="s">
        <v>35</v>
      </c>
      <c r="C1646" t="s">
        <v>737</v>
      </c>
      <c r="D1646" t="s">
        <v>13</v>
      </c>
      <c r="E1646" t="s">
        <v>14</v>
      </c>
      <c r="F1646" t="s">
        <v>15</v>
      </c>
      <c r="G1646" t="s">
        <v>15</v>
      </c>
      <c r="H1646" t="s">
        <v>15</v>
      </c>
      <c r="I1646" s="1">
        <v>57457600</v>
      </c>
    </row>
    <row r="1647" spans="1:9" x14ac:dyDescent="0.25">
      <c r="A1647" t="str">
        <f>"36191"</f>
        <v>36191</v>
      </c>
      <c r="B1647" t="s">
        <v>35</v>
      </c>
      <c r="C1647" t="s">
        <v>738</v>
      </c>
      <c r="D1647" t="str">
        <f>"002"</f>
        <v>002</v>
      </c>
      <c r="E1647">
        <v>2010</v>
      </c>
      <c r="F1647">
        <v>2290100</v>
      </c>
      <c r="G1647">
        <v>3605300</v>
      </c>
      <c r="H1647">
        <v>1315200</v>
      </c>
    </row>
    <row r="1648" spans="1:9" x14ac:dyDescent="0.25">
      <c r="A1648" t="str">
        <f>"36191"</f>
        <v>36191</v>
      </c>
      <c r="B1648" t="s">
        <v>35</v>
      </c>
      <c r="C1648" t="s">
        <v>738</v>
      </c>
      <c r="D1648" t="s">
        <v>13</v>
      </c>
      <c r="E1648" t="s">
        <v>14</v>
      </c>
      <c r="F1648" t="s">
        <v>15</v>
      </c>
      <c r="G1648" t="s">
        <v>15</v>
      </c>
      <c r="H1648" t="s">
        <v>15</v>
      </c>
      <c r="I1648" s="1">
        <v>38804300</v>
      </c>
    </row>
    <row r="1649" spans="1:9" x14ac:dyDescent="0.25">
      <c r="A1649" t="s">
        <v>32</v>
      </c>
      <c r="B1649" t="s">
        <v>37</v>
      </c>
      <c r="C1649" t="s">
        <v>34</v>
      </c>
      <c r="D1649" t="s">
        <v>13</v>
      </c>
      <c r="E1649" t="s">
        <v>14</v>
      </c>
      <c r="F1649" t="s">
        <v>15</v>
      </c>
      <c r="G1649" t="s">
        <v>15</v>
      </c>
      <c r="H1649" t="s">
        <v>15</v>
      </c>
      <c r="I1649" s="1">
        <v>445578200</v>
      </c>
    </row>
    <row r="1650" spans="1:9" x14ac:dyDescent="0.25">
      <c r="A1650" t="str">
        <f>"36241"</f>
        <v>36241</v>
      </c>
      <c r="B1650" t="s">
        <v>38</v>
      </c>
      <c r="C1650" t="s">
        <v>185</v>
      </c>
      <c r="D1650" t="str">
        <f>"001E"</f>
        <v>001E</v>
      </c>
      <c r="E1650">
        <v>2005</v>
      </c>
      <c r="F1650">
        <v>249900</v>
      </c>
      <c r="G1650">
        <v>223600</v>
      </c>
      <c r="H1650">
        <v>0</v>
      </c>
    </row>
    <row r="1651" spans="1:9" x14ac:dyDescent="0.25">
      <c r="A1651" t="str">
        <f>"36241"</f>
        <v>36241</v>
      </c>
      <c r="B1651" t="s">
        <v>38</v>
      </c>
      <c r="C1651" t="s">
        <v>185</v>
      </c>
      <c r="D1651" t="str">
        <f>"004"</f>
        <v>004</v>
      </c>
      <c r="E1651">
        <v>2011</v>
      </c>
      <c r="F1651">
        <v>3697100</v>
      </c>
      <c r="G1651">
        <v>27166700</v>
      </c>
      <c r="H1651">
        <v>23469600</v>
      </c>
    </row>
    <row r="1652" spans="1:9" x14ac:dyDescent="0.25">
      <c r="A1652" t="str">
        <f>"36241"</f>
        <v>36241</v>
      </c>
      <c r="B1652" t="s">
        <v>38</v>
      </c>
      <c r="C1652" t="s">
        <v>185</v>
      </c>
      <c r="D1652" t="s">
        <v>13</v>
      </c>
      <c r="E1652" t="s">
        <v>14</v>
      </c>
      <c r="F1652" t="s">
        <v>15</v>
      </c>
      <c r="G1652" t="s">
        <v>15</v>
      </c>
      <c r="H1652" t="s">
        <v>15</v>
      </c>
      <c r="I1652" s="1">
        <v>251525000</v>
      </c>
    </row>
    <row r="1653" spans="1:9" x14ac:dyDescent="0.25">
      <c r="A1653" t="str">
        <f t="shared" ref="A1653:A1662" si="35">"36251"</f>
        <v>36251</v>
      </c>
      <c r="B1653" t="s">
        <v>38</v>
      </c>
      <c r="C1653" t="s">
        <v>724</v>
      </c>
      <c r="D1653" t="str">
        <f>"009"</f>
        <v>009</v>
      </c>
      <c r="E1653">
        <v>1995</v>
      </c>
      <c r="F1653">
        <v>1975800</v>
      </c>
      <c r="G1653">
        <v>16594200</v>
      </c>
      <c r="H1653">
        <v>14618400</v>
      </c>
    </row>
    <row r="1654" spans="1:9" x14ac:dyDescent="0.25">
      <c r="A1654" t="str">
        <f t="shared" si="35"/>
        <v>36251</v>
      </c>
      <c r="B1654" t="s">
        <v>38</v>
      </c>
      <c r="C1654" t="s">
        <v>724</v>
      </c>
      <c r="D1654" t="str">
        <f>"010"</f>
        <v>010</v>
      </c>
      <c r="E1654">
        <v>1997</v>
      </c>
      <c r="F1654">
        <v>2694400</v>
      </c>
      <c r="G1654">
        <v>8610600</v>
      </c>
      <c r="H1654">
        <v>5916200</v>
      </c>
    </row>
    <row r="1655" spans="1:9" x14ac:dyDescent="0.25">
      <c r="A1655" t="str">
        <f t="shared" si="35"/>
        <v>36251</v>
      </c>
      <c r="B1655" t="s">
        <v>38</v>
      </c>
      <c r="C1655" t="s">
        <v>724</v>
      </c>
      <c r="D1655" t="str">
        <f>"012"</f>
        <v>012</v>
      </c>
      <c r="E1655">
        <v>1999</v>
      </c>
      <c r="F1655">
        <v>61500</v>
      </c>
      <c r="G1655">
        <v>7560400</v>
      </c>
      <c r="H1655">
        <v>7498900</v>
      </c>
    </row>
    <row r="1656" spans="1:9" x14ac:dyDescent="0.25">
      <c r="A1656" t="str">
        <f t="shared" si="35"/>
        <v>36251</v>
      </c>
      <c r="B1656" t="s">
        <v>38</v>
      </c>
      <c r="C1656" t="s">
        <v>724</v>
      </c>
      <c r="D1656" t="str">
        <f>"016"</f>
        <v>016</v>
      </c>
      <c r="E1656">
        <v>2003</v>
      </c>
      <c r="F1656">
        <v>23530300</v>
      </c>
      <c r="G1656">
        <v>38388800</v>
      </c>
      <c r="H1656">
        <v>14858500</v>
      </c>
    </row>
    <row r="1657" spans="1:9" x14ac:dyDescent="0.25">
      <c r="A1657" t="str">
        <f t="shared" si="35"/>
        <v>36251</v>
      </c>
      <c r="B1657" t="s">
        <v>38</v>
      </c>
      <c r="C1657" t="s">
        <v>724</v>
      </c>
      <c r="D1657" t="str">
        <f>"017"</f>
        <v>017</v>
      </c>
      <c r="E1657">
        <v>2007</v>
      </c>
      <c r="F1657">
        <v>192200</v>
      </c>
      <c r="G1657">
        <v>10139200</v>
      </c>
      <c r="H1657">
        <v>9947000</v>
      </c>
    </row>
    <row r="1658" spans="1:9" x14ac:dyDescent="0.25">
      <c r="A1658" t="str">
        <f t="shared" si="35"/>
        <v>36251</v>
      </c>
      <c r="B1658" t="s">
        <v>38</v>
      </c>
      <c r="C1658" t="s">
        <v>724</v>
      </c>
      <c r="D1658" t="str">
        <f>"018"</f>
        <v>018</v>
      </c>
      <c r="E1658">
        <v>2015</v>
      </c>
      <c r="F1658">
        <v>13492300</v>
      </c>
      <c r="G1658">
        <v>12295900</v>
      </c>
      <c r="H1658">
        <v>0</v>
      </c>
    </row>
    <row r="1659" spans="1:9" x14ac:dyDescent="0.25">
      <c r="A1659" t="str">
        <f t="shared" si="35"/>
        <v>36251</v>
      </c>
      <c r="B1659" t="s">
        <v>38</v>
      </c>
      <c r="C1659" t="s">
        <v>724</v>
      </c>
      <c r="D1659" t="str">
        <f>"019"</f>
        <v>019</v>
      </c>
      <c r="E1659">
        <v>2017</v>
      </c>
      <c r="F1659">
        <v>58414600</v>
      </c>
      <c r="G1659">
        <v>63832700</v>
      </c>
      <c r="H1659">
        <v>5418100</v>
      </c>
    </row>
    <row r="1660" spans="1:9" x14ac:dyDescent="0.25">
      <c r="A1660" t="str">
        <f t="shared" si="35"/>
        <v>36251</v>
      </c>
      <c r="B1660" t="s">
        <v>38</v>
      </c>
      <c r="C1660" t="s">
        <v>724</v>
      </c>
      <c r="D1660" t="str">
        <f>"020"</f>
        <v>020</v>
      </c>
      <c r="E1660">
        <v>2018</v>
      </c>
      <c r="F1660">
        <v>6636100</v>
      </c>
      <c r="G1660">
        <v>6768200</v>
      </c>
      <c r="H1660">
        <v>132100</v>
      </c>
    </row>
    <row r="1661" spans="1:9" x14ac:dyDescent="0.25">
      <c r="A1661" t="str">
        <f t="shared" si="35"/>
        <v>36251</v>
      </c>
      <c r="B1661" t="s">
        <v>38</v>
      </c>
      <c r="C1661" t="s">
        <v>724</v>
      </c>
      <c r="D1661" t="str">
        <f>"021"</f>
        <v>021</v>
      </c>
      <c r="E1661">
        <v>2018</v>
      </c>
      <c r="F1661">
        <v>22730400</v>
      </c>
      <c r="G1661">
        <v>23085600</v>
      </c>
      <c r="H1661">
        <v>355200</v>
      </c>
    </row>
    <row r="1662" spans="1:9" x14ac:dyDescent="0.25">
      <c r="A1662" t="str">
        <f t="shared" si="35"/>
        <v>36251</v>
      </c>
      <c r="B1662" t="s">
        <v>38</v>
      </c>
      <c r="C1662" t="s">
        <v>724</v>
      </c>
      <c r="D1662" t="s">
        <v>13</v>
      </c>
      <c r="E1662" t="s">
        <v>14</v>
      </c>
      <c r="F1662" t="s">
        <v>15</v>
      </c>
      <c r="G1662" t="s">
        <v>15</v>
      </c>
      <c r="H1662" t="s">
        <v>15</v>
      </c>
      <c r="I1662" s="1">
        <v>1973620600</v>
      </c>
    </row>
    <row r="1663" spans="1:9" x14ac:dyDescent="0.25">
      <c r="A1663" t="str">
        <f t="shared" ref="A1663:A1672" si="36">"36286"</f>
        <v>36286</v>
      </c>
      <c r="B1663" t="s">
        <v>38</v>
      </c>
      <c r="C1663" t="s">
        <v>731</v>
      </c>
      <c r="D1663" t="str">
        <f>"003"</f>
        <v>003</v>
      </c>
      <c r="E1663">
        <v>1992</v>
      </c>
      <c r="F1663">
        <v>2305500</v>
      </c>
      <c r="G1663">
        <v>2797600</v>
      </c>
      <c r="H1663">
        <v>492100</v>
      </c>
    </row>
    <row r="1664" spans="1:9" x14ac:dyDescent="0.25">
      <c r="A1664" t="str">
        <f t="shared" si="36"/>
        <v>36286</v>
      </c>
      <c r="B1664" t="s">
        <v>38</v>
      </c>
      <c r="C1664" t="s">
        <v>731</v>
      </c>
      <c r="D1664" t="str">
        <f>"004"</f>
        <v>004</v>
      </c>
      <c r="E1664">
        <v>1994</v>
      </c>
      <c r="F1664">
        <v>1146900</v>
      </c>
      <c r="G1664">
        <v>2904600</v>
      </c>
      <c r="H1664">
        <v>1757700</v>
      </c>
    </row>
    <row r="1665" spans="1:9" x14ac:dyDescent="0.25">
      <c r="A1665" t="str">
        <f t="shared" si="36"/>
        <v>36286</v>
      </c>
      <c r="B1665" t="s">
        <v>38</v>
      </c>
      <c r="C1665" t="s">
        <v>731</v>
      </c>
      <c r="D1665" t="str">
        <f>"006"</f>
        <v>006</v>
      </c>
      <c r="E1665">
        <v>2000</v>
      </c>
      <c r="F1665">
        <v>0</v>
      </c>
      <c r="G1665">
        <v>1163000</v>
      </c>
      <c r="H1665">
        <v>1163000</v>
      </c>
    </row>
    <row r="1666" spans="1:9" x14ac:dyDescent="0.25">
      <c r="A1666" t="str">
        <f t="shared" si="36"/>
        <v>36286</v>
      </c>
      <c r="B1666" t="s">
        <v>38</v>
      </c>
      <c r="C1666" t="s">
        <v>731</v>
      </c>
      <c r="D1666" t="str">
        <f>"007"</f>
        <v>007</v>
      </c>
      <c r="E1666">
        <v>2001</v>
      </c>
      <c r="F1666">
        <v>0</v>
      </c>
      <c r="G1666">
        <v>6074800</v>
      </c>
      <c r="H1666">
        <v>6074800</v>
      </c>
    </row>
    <row r="1667" spans="1:9" x14ac:dyDescent="0.25">
      <c r="A1667" t="str">
        <f t="shared" si="36"/>
        <v>36286</v>
      </c>
      <c r="B1667" t="s">
        <v>38</v>
      </c>
      <c r="C1667" t="s">
        <v>731</v>
      </c>
      <c r="D1667" t="str">
        <f>"008"</f>
        <v>008</v>
      </c>
      <c r="E1667">
        <v>2002</v>
      </c>
      <c r="F1667">
        <v>0</v>
      </c>
      <c r="G1667">
        <v>7172600</v>
      </c>
      <c r="H1667">
        <v>7172600</v>
      </c>
    </row>
    <row r="1668" spans="1:9" x14ac:dyDescent="0.25">
      <c r="A1668" t="str">
        <f t="shared" si="36"/>
        <v>36286</v>
      </c>
      <c r="B1668" t="s">
        <v>38</v>
      </c>
      <c r="C1668" t="s">
        <v>731</v>
      </c>
      <c r="D1668" t="str">
        <f>"009"</f>
        <v>009</v>
      </c>
      <c r="E1668">
        <v>2003</v>
      </c>
      <c r="F1668">
        <v>10800</v>
      </c>
      <c r="G1668">
        <v>9140900</v>
      </c>
      <c r="H1668">
        <v>9130100</v>
      </c>
    </row>
    <row r="1669" spans="1:9" x14ac:dyDescent="0.25">
      <c r="A1669" t="str">
        <f t="shared" si="36"/>
        <v>36286</v>
      </c>
      <c r="B1669" t="s">
        <v>38</v>
      </c>
      <c r="C1669" t="s">
        <v>731</v>
      </c>
      <c r="D1669" t="str">
        <f>"010"</f>
        <v>010</v>
      </c>
      <c r="E1669">
        <v>2014</v>
      </c>
      <c r="F1669">
        <v>2070700</v>
      </c>
      <c r="G1669">
        <v>4112500</v>
      </c>
      <c r="H1669">
        <v>2041800</v>
      </c>
    </row>
    <row r="1670" spans="1:9" x14ac:dyDescent="0.25">
      <c r="A1670" t="str">
        <f t="shared" si="36"/>
        <v>36286</v>
      </c>
      <c r="B1670" t="s">
        <v>38</v>
      </c>
      <c r="C1670" t="s">
        <v>731</v>
      </c>
      <c r="D1670" t="str">
        <f>"011"</f>
        <v>011</v>
      </c>
      <c r="E1670">
        <v>2016</v>
      </c>
      <c r="F1670">
        <v>860400</v>
      </c>
      <c r="G1670">
        <v>2057400</v>
      </c>
      <c r="H1670">
        <v>1197000</v>
      </c>
    </row>
    <row r="1671" spans="1:9" x14ac:dyDescent="0.25">
      <c r="A1671" t="str">
        <f t="shared" si="36"/>
        <v>36286</v>
      </c>
      <c r="B1671" t="s">
        <v>38</v>
      </c>
      <c r="C1671" t="s">
        <v>731</v>
      </c>
      <c r="D1671" t="str">
        <f>"012"</f>
        <v>012</v>
      </c>
      <c r="E1671">
        <v>2018</v>
      </c>
      <c r="F1671">
        <v>380900</v>
      </c>
      <c r="G1671">
        <v>109800</v>
      </c>
      <c r="H1671">
        <v>0</v>
      </c>
    </row>
    <row r="1672" spans="1:9" x14ac:dyDescent="0.25">
      <c r="A1672" t="str">
        <f t="shared" si="36"/>
        <v>36286</v>
      </c>
      <c r="B1672" t="s">
        <v>38</v>
      </c>
      <c r="C1672" t="s">
        <v>731</v>
      </c>
      <c r="D1672" t="s">
        <v>13</v>
      </c>
      <c r="E1672" t="s">
        <v>14</v>
      </c>
      <c r="F1672" t="s">
        <v>15</v>
      </c>
      <c r="G1672" t="s">
        <v>15</v>
      </c>
      <c r="H1672" t="s">
        <v>15</v>
      </c>
      <c r="I1672" s="1">
        <v>496067700</v>
      </c>
    </row>
    <row r="1673" spans="1:9" x14ac:dyDescent="0.25">
      <c r="A1673" t="s">
        <v>32</v>
      </c>
      <c r="B1673" t="s">
        <v>40</v>
      </c>
      <c r="C1673" t="s">
        <v>34</v>
      </c>
      <c r="D1673" t="s">
        <v>13</v>
      </c>
      <c r="E1673" t="s">
        <v>14</v>
      </c>
      <c r="F1673" t="s">
        <v>15</v>
      </c>
      <c r="G1673" t="s">
        <v>15</v>
      </c>
      <c r="H1673" t="s">
        <v>15</v>
      </c>
      <c r="I1673" s="1">
        <v>2721213300</v>
      </c>
    </row>
    <row r="1674" spans="1:9" x14ac:dyDescent="0.25">
      <c r="A1674" t="s">
        <v>32</v>
      </c>
      <c r="B1674" t="s">
        <v>41</v>
      </c>
      <c r="C1674" t="s">
        <v>724</v>
      </c>
      <c r="D1674" t="s">
        <v>13</v>
      </c>
      <c r="E1674" t="s">
        <v>14</v>
      </c>
      <c r="F1674" t="s">
        <v>15</v>
      </c>
      <c r="G1674" t="s">
        <v>15</v>
      </c>
      <c r="H1674" t="s">
        <v>15</v>
      </c>
      <c r="I1674" s="1">
        <v>5620496500</v>
      </c>
    </row>
    <row r="1675" spans="1:9" x14ac:dyDescent="0.25">
      <c r="A1675" t="str">
        <f>"37002"</f>
        <v>37002</v>
      </c>
      <c r="B1675" t="s">
        <v>11</v>
      </c>
      <c r="C1675" t="s">
        <v>739</v>
      </c>
      <c r="D1675" t="s">
        <v>13</v>
      </c>
      <c r="E1675" t="s">
        <v>14</v>
      </c>
      <c r="F1675" t="s">
        <v>15</v>
      </c>
      <c r="G1675" t="s">
        <v>15</v>
      </c>
      <c r="H1675" t="s">
        <v>15</v>
      </c>
      <c r="I1675" s="1">
        <v>77431400</v>
      </c>
    </row>
    <row r="1676" spans="1:9" x14ac:dyDescent="0.25">
      <c r="A1676" t="str">
        <f>"37004"</f>
        <v>37004</v>
      </c>
      <c r="B1676" t="s">
        <v>11</v>
      </c>
      <c r="C1676" t="s">
        <v>547</v>
      </c>
      <c r="D1676" t="s">
        <v>13</v>
      </c>
      <c r="E1676" t="s">
        <v>14</v>
      </c>
      <c r="F1676" t="s">
        <v>15</v>
      </c>
      <c r="G1676" t="s">
        <v>15</v>
      </c>
      <c r="H1676" t="s">
        <v>15</v>
      </c>
      <c r="I1676" s="1">
        <v>79507800</v>
      </c>
    </row>
    <row r="1677" spans="1:9" x14ac:dyDescent="0.25">
      <c r="A1677" t="str">
        <f>"37006"</f>
        <v>37006</v>
      </c>
      <c r="B1677" t="s">
        <v>11</v>
      </c>
      <c r="C1677" t="s">
        <v>740</v>
      </c>
      <c r="D1677" t="s">
        <v>13</v>
      </c>
      <c r="E1677" t="s">
        <v>14</v>
      </c>
      <c r="F1677" t="s">
        <v>15</v>
      </c>
      <c r="G1677" t="s">
        <v>15</v>
      </c>
      <c r="H1677" t="s">
        <v>15</v>
      </c>
      <c r="I1677" s="1">
        <v>38781200</v>
      </c>
    </row>
    <row r="1678" spans="1:9" x14ac:dyDescent="0.25">
      <c r="A1678" t="str">
        <f>"37008"</f>
        <v>37008</v>
      </c>
      <c r="B1678" t="s">
        <v>11</v>
      </c>
      <c r="C1678" t="s">
        <v>741</v>
      </c>
      <c r="D1678" t="s">
        <v>13</v>
      </c>
      <c r="E1678" t="s">
        <v>14</v>
      </c>
      <c r="F1678" t="s">
        <v>15</v>
      </c>
      <c r="G1678" t="s">
        <v>15</v>
      </c>
      <c r="H1678" t="s">
        <v>15</v>
      </c>
      <c r="I1678" s="1">
        <v>98747100</v>
      </c>
    </row>
    <row r="1679" spans="1:9" x14ac:dyDescent="0.25">
      <c r="A1679" t="str">
        <f>"37010"</f>
        <v>37010</v>
      </c>
      <c r="B1679" t="s">
        <v>11</v>
      </c>
      <c r="C1679" t="s">
        <v>641</v>
      </c>
      <c r="D1679" t="s">
        <v>13</v>
      </c>
      <c r="E1679" t="s">
        <v>14</v>
      </c>
      <c r="F1679" t="s">
        <v>15</v>
      </c>
      <c r="G1679" t="s">
        <v>15</v>
      </c>
      <c r="H1679" t="s">
        <v>15</v>
      </c>
      <c r="I1679" s="1">
        <v>46156400</v>
      </c>
    </row>
    <row r="1680" spans="1:9" x14ac:dyDescent="0.25">
      <c r="A1680" t="str">
        <f>"37012"</f>
        <v>37012</v>
      </c>
      <c r="B1680" t="s">
        <v>11</v>
      </c>
      <c r="C1680" t="s">
        <v>742</v>
      </c>
      <c r="D1680" t="s">
        <v>13</v>
      </c>
      <c r="E1680" t="s">
        <v>14</v>
      </c>
      <c r="F1680" t="s">
        <v>15</v>
      </c>
      <c r="G1680" t="s">
        <v>15</v>
      </c>
      <c r="H1680" t="s">
        <v>15</v>
      </c>
      <c r="I1680" s="1">
        <v>76233300</v>
      </c>
    </row>
    <row r="1681" spans="1:9" x14ac:dyDescent="0.25">
      <c r="A1681" t="str">
        <f>"37014"</f>
        <v>37014</v>
      </c>
      <c r="B1681" t="s">
        <v>11</v>
      </c>
      <c r="C1681" t="s">
        <v>193</v>
      </c>
      <c r="D1681" t="s">
        <v>13</v>
      </c>
      <c r="E1681" t="s">
        <v>14</v>
      </c>
      <c r="F1681" t="s">
        <v>15</v>
      </c>
      <c r="G1681" t="s">
        <v>15</v>
      </c>
      <c r="H1681" t="s">
        <v>15</v>
      </c>
      <c r="I1681" s="1">
        <v>129990600</v>
      </c>
    </row>
    <row r="1682" spans="1:9" x14ac:dyDescent="0.25">
      <c r="A1682" t="str">
        <f>"37016"</f>
        <v>37016</v>
      </c>
      <c r="B1682" t="s">
        <v>11</v>
      </c>
      <c r="C1682" t="s">
        <v>743</v>
      </c>
      <c r="D1682" t="s">
        <v>13</v>
      </c>
      <c r="E1682" t="s">
        <v>14</v>
      </c>
      <c r="F1682" t="s">
        <v>15</v>
      </c>
      <c r="G1682" t="s">
        <v>15</v>
      </c>
      <c r="H1682" t="s">
        <v>15</v>
      </c>
      <c r="I1682" s="1">
        <v>89547000</v>
      </c>
    </row>
    <row r="1683" spans="1:9" x14ac:dyDescent="0.25">
      <c r="A1683" t="str">
        <f>"37018"</f>
        <v>37018</v>
      </c>
      <c r="B1683" t="s">
        <v>11</v>
      </c>
      <c r="C1683" t="s">
        <v>19</v>
      </c>
      <c r="D1683" t="s">
        <v>13</v>
      </c>
      <c r="E1683" t="s">
        <v>14</v>
      </c>
      <c r="F1683" t="s">
        <v>15</v>
      </c>
      <c r="G1683" t="s">
        <v>15</v>
      </c>
      <c r="H1683" t="s">
        <v>15</v>
      </c>
      <c r="I1683" s="1">
        <v>84957100</v>
      </c>
    </row>
    <row r="1684" spans="1:9" x14ac:dyDescent="0.25">
      <c r="A1684" t="str">
        <f>"37020"</f>
        <v>37020</v>
      </c>
      <c r="B1684" t="s">
        <v>11</v>
      </c>
      <c r="C1684" t="s">
        <v>744</v>
      </c>
      <c r="D1684" t="s">
        <v>13</v>
      </c>
      <c r="E1684" t="s">
        <v>14</v>
      </c>
      <c r="F1684" t="s">
        <v>15</v>
      </c>
      <c r="G1684" t="s">
        <v>15</v>
      </c>
      <c r="H1684" t="s">
        <v>15</v>
      </c>
      <c r="I1684" s="1">
        <v>64572600</v>
      </c>
    </row>
    <row r="1685" spans="1:9" x14ac:dyDescent="0.25">
      <c r="A1685" t="str">
        <f>"37022"</f>
        <v>37022</v>
      </c>
      <c r="B1685" t="s">
        <v>11</v>
      </c>
      <c r="C1685" t="s">
        <v>745</v>
      </c>
      <c r="D1685" t="s">
        <v>13</v>
      </c>
      <c r="E1685" t="s">
        <v>14</v>
      </c>
      <c r="F1685" t="s">
        <v>15</v>
      </c>
      <c r="G1685" t="s">
        <v>15</v>
      </c>
      <c r="H1685" t="s">
        <v>15</v>
      </c>
      <c r="I1685" s="1">
        <v>59259800</v>
      </c>
    </row>
    <row r="1686" spans="1:9" x14ac:dyDescent="0.25">
      <c r="A1686" t="str">
        <f>"37024"</f>
        <v>37024</v>
      </c>
      <c r="B1686" t="s">
        <v>11</v>
      </c>
      <c r="C1686" t="s">
        <v>355</v>
      </c>
      <c r="D1686" t="s">
        <v>13</v>
      </c>
      <c r="E1686" t="s">
        <v>14</v>
      </c>
      <c r="F1686" t="s">
        <v>15</v>
      </c>
      <c r="G1686" t="s">
        <v>15</v>
      </c>
      <c r="H1686" t="s">
        <v>15</v>
      </c>
      <c r="I1686" s="1">
        <v>82063600</v>
      </c>
    </row>
    <row r="1687" spans="1:9" x14ac:dyDescent="0.25">
      <c r="A1687" t="str">
        <f>"37026"</f>
        <v>37026</v>
      </c>
      <c r="B1687" t="s">
        <v>11</v>
      </c>
      <c r="C1687" t="s">
        <v>746</v>
      </c>
      <c r="D1687" t="s">
        <v>13</v>
      </c>
      <c r="E1687" t="s">
        <v>14</v>
      </c>
      <c r="F1687" t="s">
        <v>15</v>
      </c>
      <c r="G1687" t="s">
        <v>15</v>
      </c>
      <c r="H1687" t="s">
        <v>15</v>
      </c>
      <c r="I1687" s="1">
        <v>44925600</v>
      </c>
    </row>
    <row r="1688" spans="1:9" x14ac:dyDescent="0.25">
      <c r="A1688" t="str">
        <f>"37028"</f>
        <v>37028</v>
      </c>
      <c r="B1688" t="s">
        <v>11</v>
      </c>
      <c r="C1688" t="s">
        <v>747</v>
      </c>
      <c r="D1688" t="s">
        <v>13</v>
      </c>
      <c r="E1688" t="s">
        <v>14</v>
      </c>
      <c r="F1688" t="s">
        <v>15</v>
      </c>
      <c r="G1688" t="s">
        <v>15</v>
      </c>
      <c r="H1688" t="s">
        <v>15</v>
      </c>
      <c r="I1688" s="1">
        <v>47010000</v>
      </c>
    </row>
    <row r="1689" spans="1:9" x14ac:dyDescent="0.25">
      <c r="A1689" t="str">
        <f>"37030"</f>
        <v>37030</v>
      </c>
      <c r="B1689" t="s">
        <v>11</v>
      </c>
      <c r="C1689" t="s">
        <v>748</v>
      </c>
      <c r="D1689" t="s">
        <v>13</v>
      </c>
      <c r="E1689" t="s">
        <v>14</v>
      </c>
      <c r="F1689" t="s">
        <v>15</v>
      </c>
      <c r="G1689" t="s">
        <v>15</v>
      </c>
      <c r="H1689" t="s">
        <v>15</v>
      </c>
      <c r="I1689" s="1">
        <v>67624300</v>
      </c>
    </row>
    <row r="1690" spans="1:9" x14ac:dyDescent="0.25">
      <c r="A1690" t="str">
        <f>"37032"</f>
        <v>37032</v>
      </c>
      <c r="B1690" t="s">
        <v>11</v>
      </c>
      <c r="C1690" t="s">
        <v>749</v>
      </c>
      <c r="D1690" t="s">
        <v>13</v>
      </c>
      <c r="E1690" t="s">
        <v>14</v>
      </c>
      <c r="F1690" t="s">
        <v>15</v>
      </c>
      <c r="G1690" t="s">
        <v>15</v>
      </c>
      <c r="H1690" t="s">
        <v>15</v>
      </c>
      <c r="I1690" s="1">
        <v>36016200</v>
      </c>
    </row>
    <row r="1691" spans="1:9" x14ac:dyDescent="0.25">
      <c r="A1691" t="str">
        <f>"37034"</f>
        <v>37034</v>
      </c>
      <c r="B1691" t="s">
        <v>11</v>
      </c>
      <c r="C1691" t="s">
        <v>750</v>
      </c>
      <c r="D1691" t="s">
        <v>13</v>
      </c>
      <c r="E1691" t="s">
        <v>14</v>
      </c>
      <c r="F1691" t="s">
        <v>15</v>
      </c>
      <c r="G1691" t="s">
        <v>15</v>
      </c>
      <c r="H1691" t="s">
        <v>15</v>
      </c>
      <c r="I1691" s="1">
        <v>41493400</v>
      </c>
    </row>
    <row r="1692" spans="1:9" x14ac:dyDescent="0.25">
      <c r="A1692" t="str">
        <f>"37036"</f>
        <v>37036</v>
      </c>
      <c r="B1692" t="s">
        <v>11</v>
      </c>
      <c r="C1692" t="s">
        <v>751</v>
      </c>
      <c r="D1692" t="s">
        <v>13</v>
      </c>
      <c r="E1692" t="s">
        <v>14</v>
      </c>
      <c r="F1692" t="s">
        <v>15</v>
      </c>
      <c r="G1692" t="s">
        <v>15</v>
      </c>
      <c r="H1692" t="s">
        <v>15</v>
      </c>
      <c r="I1692" s="1">
        <v>65659900</v>
      </c>
    </row>
    <row r="1693" spans="1:9" x14ac:dyDescent="0.25">
      <c r="A1693" t="str">
        <f>"37038"</f>
        <v>37038</v>
      </c>
      <c r="B1693" t="s">
        <v>11</v>
      </c>
      <c r="C1693" t="s">
        <v>175</v>
      </c>
      <c r="D1693" t="s">
        <v>13</v>
      </c>
      <c r="E1693" t="s">
        <v>14</v>
      </c>
      <c r="F1693" t="s">
        <v>15</v>
      </c>
      <c r="G1693" t="s">
        <v>15</v>
      </c>
      <c r="H1693" t="s">
        <v>15</v>
      </c>
      <c r="I1693" s="1">
        <v>29072500</v>
      </c>
    </row>
    <row r="1694" spans="1:9" x14ac:dyDescent="0.25">
      <c r="A1694" t="str">
        <f>"37040"</f>
        <v>37040</v>
      </c>
      <c r="B1694" t="s">
        <v>11</v>
      </c>
      <c r="C1694" t="s">
        <v>752</v>
      </c>
      <c r="D1694" t="s">
        <v>13</v>
      </c>
      <c r="E1694" t="s">
        <v>14</v>
      </c>
      <c r="F1694" t="s">
        <v>15</v>
      </c>
      <c r="G1694" t="s">
        <v>15</v>
      </c>
      <c r="H1694" t="s">
        <v>15</v>
      </c>
      <c r="I1694" s="1">
        <v>54464100</v>
      </c>
    </row>
    <row r="1695" spans="1:9" x14ac:dyDescent="0.25">
      <c r="A1695" t="str">
        <f>"37042"</f>
        <v>37042</v>
      </c>
      <c r="B1695" t="s">
        <v>11</v>
      </c>
      <c r="C1695" t="s">
        <v>753</v>
      </c>
      <c r="D1695" t="s">
        <v>13</v>
      </c>
      <c r="E1695" t="s">
        <v>14</v>
      </c>
      <c r="F1695" t="s">
        <v>15</v>
      </c>
      <c r="G1695" t="s">
        <v>15</v>
      </c>
      <c r="H1695" t="s">
        <v>15</v>
      </c>
      <c r="I1695" s="1">
        <v>56722600</v>
      </c>
    </row>
    <row r="1696" spans="1:9" x14ac:dyDescent="0.25">
      <c r="A1696" t="str">
        <f>"37044"</f>
        <v>37044</v>
      </c>
      <c r="B1696" t="s">
        <v>11</v>
      </c>
      <c r="C1696" t="s">
        <v>754</v>
      </c>
      <c r="D1696" t="s">
        <v>13</v>
      </c>
      <c r="E1696" t="s">
        <v>14</v>
      </c>
      <c r="F1696" t="s">
        <v>15</v>
      </c>
      <c r="G1696" t="s">
        <v>15</v>
      </c>
      <c r="H1696" t="s">
        <v>15</v>
      </c>
      <c r="I1696" s="1">
        <v>62214400</v>
      </c>
    </row>
    <row r="1697" spans="1:9" x14ac:dyDescent="0.25">
      <c r="A1697" t="str">
        <f>"37046"</f>
        <v>37046</v>
      </c>
      <c r="B1697" t="s">
        <v>11</v>
      </c>
      <c r="C1697" t="s">
        <v>755</v>
      </c>
      <c r="D1697" t="s">
        <v>13</v>
      </c>
      <c r="E1697" t="s">
        <v>14</v>
      </c>
      <c r="F1697" t="s">
        <v>15</v>
      </c>
      <c r="G1697" t="s">
        <v>15</v>
      </c>
      <c r="H1697" t="s">
        <v>15</v>
      </c>
      <c r="I1697" s="1">
        <v>52441100</v>
      </c>
    </row>
    <row r="1698" spans="1:9" x14ac:dyDescent="0.25">
      <c r="A1698" t="str">
        <f>"37048"</f>
        <v>37048</v>
      </c>
      <c r="B1698" t="s">
        <v>11</v>
      </c>
      <c r="C1698" t="s">
        <v>756</v>
      </c>
      <c r="D1698" t="s">
        <v>13</v>
      </c>
      <c r="E1698" t="s">
        <v>14</v>
      </c>
      <c r="F1698" t="s">
        <v>15</v>
      </c>
      <c r="G1698" t="s">
        <v>15</v>
      </c>
      <c r="H1698" t="s">
        <v>15</v>
      </c>
      <c r="I1698" s="1">
        <v>279894500</v>
      </c>
    </row>
    <row r="1699" spans="1:9" x14ac:dyDescent="0.25">
      <c r="A1699" t="str">
        <f>"37054"</f>
        <v>37054</v>
      </c>
      <c r="B1699" t="s">
        <v>11</v>
      </c>
      <c r="C1699" t="s">
        <v>757</v>
      </c>
      <c r="D1699" t="s">
        <v>13</v>
      </c>
      <c r="E1699" t="s">
        <v>14</v>
      </c>
      <c r="F1699" t="s">
        <v>15</v>
      </c>
      <c r="G1699" t="s">
        <v>15</v>
      </c>
      <c r="H1699" t="s">
        <v>15</v>
      </c>
      <c r="I1699" s="1">
        <v>107630100</v>
      </c>
    </row>
    <row r="1700" spans="1:9" x14ac:dyDescent="0.25">
      <c r="A1700" t="str">
        <f>"37056"</f>
        <v>37056</v>
      </c>
      <c r="B1700" t="s">
        <v>11</v>
      </c>
      <c r="C1700" t="s">
        <v>758</v>
      </c>
      <c r="D1700" t="s">
        <v>13</v>
      </c>
      <c r="E1700" t="s">
        <v>14</v>
      </c>
      <c r="F1700" t="s">
        <v>15</v>
      </c>
      <c r="G1700" t="s">
        <v>15</v>
      </c>
      <c r="H1700" t="s">
        <v>15</v>
      </c>
      <c r="I1700" s="1">
        <v>213587000</v>
      </c>
    </row>
    <row r="1701" spans="1:9" x14ac:dyDescent="0.25">
      <c r="A1701" t="str">
        <f>"37058"</f>
        <v>37058</v>
      </c>
      <c r="B1701" t="s">
        <v>11</v>
      </c>
      <c r="C1701" t="s">
        <v>759</v>
      </c>
      <c r="D1701" t="s">
        <v>13</v>
      </c>
      <c r="E1701" t="s">
        <v>14</v>
      </c>
      <c r="F1701" t="s">
        <v>15</v>
      </c>
      <c r="G1701" t="s">
        <v>15</v>
      </c>
      <c r="H1701" t="s">
        <v>15</v>
      </c>
      <c r="I1701" s="1">
        <v>198552900</v>
      </c>
    </row>
    <row r="1702" spans="1:9" x14ac:dyDescent="0.25">
      <c r="A1702" t="str">
        <f>"37060"</f>
        <v>37060</v>
      </c>
      <c r="B1702" t="s">
        <v>11</v>
      </c>
      <c r="C1702" t="s">
        <v>760</v>
      </c>
      <c r="D1702" t="s">
        <v>13</v>
      </c>
      <c r="E1702" t="s">
        <v>14</v>
      </c>
      <c r="F1702" t="s">
        <v>15</v>
      </c>
      <c r="G1702" t="s">
        <v>15</v>
      </c>
      <c r="H1702" t="s">
        <v>15</v>
      </c>
      <c r="I1702" s="1">
        <v>79489700</v>
      </c>
    </row>
    <row r="1703" spans="1:9" x14ac:dyDescent="0.25">
      <c r="A1703" t="str">
        <f>"37062"</f>
        <v>37062</v>
      </c>
      <c r="B1703" t="s">
        <v>11</v>
      </c>
      <c r="C1703" t="s">
        <v>761</v>
      </c>
      <c r="D1703" t="s">
        <v>13</v>
      </c>
      <c r="E1703" t="s">
        <v>14</v>
      </c>
      <c r="F1703" t="s">
        <v>15</v>
      </c>
      <c r="G1703" t="s">
        <v>15</v>
      </c>
      <c r="H1703" t="s">
        <v>15</v>
      </c>
      <c r="I1703" s="1">
        <v>51698600</v>
      </c>
    </row>
    <row r="1704" spans="1:9" x14ac:dyDescent="0.25">
      <c r="A1704" t="str">
        <f>"37064"</f>
        <v>37064</v>
      </c>
      <c r="B1704" t="s">
        <v>11</v>
      </c>
      <c r="C1704" t="s">
        <v>762</v>
      </c>
      <c r="D1704" t="s">
        <v>13</v>
      </c>
      <c r="E1704" t="s">
        <v>14</v>
      </c>
      <c r="F1704" t="s">
        <v>15</v>
      </c>
      <c r="G1704" t="s">
        <v>15</v>
      </c>
      <c r="H1704" t="s">
        <v>15</v>
      </c>
      <c r="I1704" s="1">
        <v>102426200</v>
      </c>
    </row>
    <row r="1705" spans="1:9" x14ac:dyDescent="0.25">
      <c r="A1705" t="str">
        <f>"37066"</f>
        <v>37066</v>
      </c>
      <c r="B1705" t="s">
        <v>11</v>
      </c>
      <c r="C1705" t="s">
        <v>763</v>
      </c>
      <c r="D1705" t="s">
        <v>13</v>
      </c>
      <c r="E1705" t="s">
        <v>14</v>
      </c>
      <c r="F1705" t="s">
        <v>15</v>
      </c>
      <c r="G1705" t="s">
        <v>15</v>
      </c>
      <c r="H1705" t="s">
        <v>15</v>
      </c>
      <c r="I1705" s="1">
        <v>88176600</v>
      </c>
    </row>
    <row r="1706" spans="1:9" x14ac:dyDescent="0.25">
      <c r="A1706" t="str">
        <f>"37068"</f>
        <v>37068</v>
      </c>
      <c r="B1706" t="s">
        <v>11</v>
      </c>
      <c r="C1706" t="s">
        <v>764</v>
      </c>
      <c r="D1706" t="s">
        <v>13</v>
      </c>
      <c r="E1706" t="s">
        <v>14</v>
      </c>
      <c r="F1706" t="s">
        <v>15</v>
      </c>
      <c r="G1706" t="s">
        <v>15</v>
      </c>
      <c r="H1706" t="s">
        <v>15</v>
      </c>
      <c r="I1706" s="1">
        <v>849337600</v>
      </c>
    </row>
    <row r="1707" spans="1:9" x14ac:dyDescent="0.25">
      <c r="A1707" t="str">
        <f>"37070"</f>
        <v>37070</v>
      </c>
      <c r="B1707" t="s">
        <v>11</v>
      </c>
      <c r="C1707" t="s">
        <v>765</v>
      </c>
      <c r="D1707" t="s">
        <v>13</v>
      </c>
      <c r="E1707" t="s">
        <v>14</v>
      </c>
      <c r="F1707" t="s">
        <v>15</v>
      </c>
      <c r="G1707" t="s">
        <v>15</v>
      </c>
      <c r="H1707" t="s">
        <v>15</v>
      </c>
      <c r="I1707" s="1">
        <v>55197900</v>
      </c>
    </row>
    <row r="1708" spans="1:9" x14ac:dyDescent="0.25">
      <c r="A1708" t="str">
        <f>"37072"</f>
        <v>37072</v>
      </c>
      <c r="B1708" t="s">
        <v>11</v>
      </c>
      <c r="C1708" t="s">
        <v>766</v>
      </c>
      <c r="D1708" t="s">
        <v>13</v>
      </c>
      <c r="E1708" t="s">
        <v>14</v>
      </c>
      <c r="F1708" t="s">
        <v>15</v>
      </c>
      <c r="G1708" t="s">
        <v>15</v>
      </c>
      <c r="H1708" t="s">
        <v>15</v>
      </c>
      <c r="I1708" s="1">
        <v>168995200</v>
      </c>
    </row>
    <row r="1709" spans="1:9" x14ac:dyDescent="0.25">
      <c r="A1709" t="str">
        <f>"37074"</f>
        <v>37074</v>
      </c>
      <c r="B1709" t="s">
        <v>11</v>
      </c>
      <c r="C1709" t="s">
        <v>767</v>
      </c>
      <c r="D1709" t="s">
        <v>13</v>
      </c>
      <c r="E1709" t="s">
        <v>14</v>
      </c>
      <c r="F1709" t="s">
        <v>15</v>
      </c>
      <c r="G1709" t="s">
        <v>15</v>
      </c>
      <c r="H1709" t="s">
        <v>15</v>
      </c>
      <c r="I1709" s="1">
        <v>125721800</v>
      </c>
    </row>
    <row r="1710" spans="1:9" x14ac:dyDescent="0.25">
      <c r="A1710" t="str">
        <f>"37076"</f>
        <v>37076</v>
      </c>
      <c r="B1710" t="s">
        <v>11</v>
      </c>
      <c r="C1710" t="s">
        <v>768</v>
      </c>
      <c r="D1710" t="s">
        <v>13</v>
      </c>
      <c r="E1710" t="s">
        <v>14</v>
      </c>
      <c r="F1710" t="s">
        <v>15</v>
      </c>
      <c r="G1710" t="s">
        <v>15</v>
      </c>
      <c r="H1710" t="s">
        <v>15</v>
      </c>
      <c r="I1710" s="1">
        <v>276859900</v>
      </c>
    </row>
    <row r="1711" spans="1:9" x14ac:dyDescent="0.25">
      <c r="A1711" t="str">
        <f>"37078"</f>
        <v>37078</v>
      </c>
      <c r="B1711" t="s">
        <v>11</v>
      </c>
      <c r="C1711" t="s">
        <v>769</v>
      </c>
      <c r="D1711" t="s">
        <v>13</v>
      </c>
      <c r="E1711" t="s">
        <v>14</v>
      </c>
      <c r="F1711" t="s">
        <v>15</v>
      </c>
      <c r="G1711" t="s">
        <v>15</v>
      </c>
      <c r="H1711" t="s">
        <v>15</v>
      </c>
      <c r="I1711" s="1">
        <v>119662100</v>
      </c>
    </row>
    <row r="1712" spans="1:9" x14ac:dyDescent="0.25">
      <c r="A1712" t="str">
        <f>"37080"</f>
        <v>37080</v>
      </c>
      <c r="B1712" t="s">
        <v>11</v>
      </c>
      <c r="C1712" t="s">
        <v>770</v>
      </c>
      <c r="D1712" t="s">
        <v>13</v>
      </c>
      <c r="E1712" t="s">
        <v>14</v>
      </c>
      <c r="F1712" t="s">
        <v>15</v>
      </c>
      <c r="G1712" t="s">
        <v>15</v>
      </c>
      <c r="H1712" t="s">
        <v>15</v>
      </c>
      <c r="I1712" s="1">
        <v>173885900</v>
      </c>
    </row>
    <row r="1713" spans="1:9" x14ac:dyDescent="0.25">
      <c r="A1713" t="str">
        <f>"37082"</f>
        <v>37082</v>
      </c>
      <c r="B1713" t="s">
        <v>11</v>
      </c>
      <c r="C1713" t="s">
        <v>241</v>
      </c>
      <c r="D1713" t="s">
        <v>13</v>
      </c>
      <c r="E1713" t="s">
        <v>14</v>
      </c>
      <c r="F1713" t="s">
        <v>15</v>
      </c>
      <c r="G1713" t="s">
        <v>15</v>
      </c>
      <c r="H1713" t="s">
        <v>15</v>
      </c>
      <c r="I1713" s="1">
        <v>60644300</v>
      </c>
    </row>
    <row r="1714" spans="1:9" x14ac:dyDescent="0.25">
      <c r="A1714" t="str">
        <f>"37084"</f>
        <v>37084</v>
      </c>
      <c r="B1714" t="s">
        <v>11</v>
      </c>
      <c r="C1714" t="s">
        <v>771</v>
      </c>
      <c r="D1714" t="s">
        <v>13</v>
      </c>
      <c r="E1714" t="s">
        <v>14</v>
      </c>
      <c r="F1714" t="s">
        <v>15</v>
      </c>
      <c r="G1714" t="s">
        <v>15</v>
      </c>
      <c r="H1714" t="s">
        <v>15</v>
      </c>
      <c r="I1714" s="1">
        <v>67615000</v>
      </c>
    </row>
    <row r="1715" spans="1:9" x14ac:dyDescent="0.25">
      <c r="A1715" t="s">
        <v>32</v>
      </c>
      <c r="B1715" t="s">
        <v>33</v>
      </c>
      <c r="C1715" t="s">
        <v>34</v>
      </c>
      <c r="D1715" t="s">
        <v>13</v>
      </c>
      <c r="E1715" t="s">
        <v>14</v>
      </c>
      <c r="F1715" t="s">
        <v>15</v>
      </c>
      <c r="G1715" t="s">
        <v>15</v>
      </c>
      <c r="H1715" t="s">
        <v>15</v>
      </c>
      <c r="I1715" s="1">
        <v>4504267300</v>
      </c>
    </row>
    <row r="1716" spans="1:9" x14ac:dyDescent="0.25">
      <c r="A1716" t="str">
        <f>"37102"</f>
        <v>37102</v>
      </c>
      <c r="B1716" t="s">
        <v>35</v>
      </c>
      <c r="C1716" t="s">
        <v>772</v>
      </c>
      <c r="D1716" t="str">
        <f>"001"</f>
        <v>001</v>
      </c>
      <c r="E1716">
        <v>1995</v>
      </c>
      <c r="F1716">
        <v>44500</v>
      </c>
      <c r="G1716">
        <v>4209200</v>
      </c>
      <c r="H1716">
        <v>4164700</v>
      </c>
    </row>
    <row r="1717" spans="1:9" x14ac:dyDescent="0.25">
      <c r="A1717" t="str">
        <f>"37102"</f>
        <v>37102</v>
      </c>
      <c r="B1717" t="s">
        <v>35</v>
      </c>
      <c r="C1717" t="s">
        <v>772</v>
      </c>
      <c r="D1717" t="str">
        <f>"002"</f>
        <v>002</v>
      </c>
      <c r="E1717">
        <v>2007</v>
      </c>
      <c r="F1717">
        <v>1889500</v>
      </c>
      <c r="G1717">
        <v>6499000</v>
      </c>
      <c r="H1717">
        <v>4609500</v>
      </c>
    </row>
    <row r="1718" spans="1:9" x14ac:dyDescent="0.25">
      <c r="A1718" t="str">
        <f>"37102"</f>
        <v>37102</v>
      </c>
      <c r="B1718" t="s">
        <v>35</v>
      </c>
      <c r="C1718" t="s">
        <v>772</v>
      </c>
      <c r="D1718" t="s">
        <v>13</v>
      </c>
      <c r="E1718" t="s">
        <v>14</v>
      </c>
      <c r="F1718" t="s">
        <v>15</v>
      </c>
      <c r="G1718" t="s">
        <v>15</v>
      </c>
      <c r="H1718" t="s">
        <v>15</v>
      </c>
      <c r="I1718" s="1">
        <v>50813800</v>
      </c>
    </row>
    <row r="1719" spans="1:9" x14ac:dyDescent="0.25">
      <c r="A1719" t="str">
        <f>"37104"</f>
        <v>37104</v>
      </c>
      <c r="B1719" t="s">
        <v>35</v>
      </c>
      <c r="C1719" t="s">
        <v>773</v>
      </c>
      <c r="D1719" t="s">
        <v>13</v>
      </c>
      <c r="E1719" t="s">
        <v>14</v>
      </c>
      <c r="F1719" t="s">
        <v>15</v>
      </c>
      <c r="G1719" t="s">
        <v>15</v>
      </c>
      <c r="H1719" t="s">
        <v>15</v>
      </c>
      <c r="I1719" s="1">
        <v>896500</v>
      </c>
    </row>
    <row r="1720" spans="1:9" x14ac:dyDescent="0.25">
      <c r="A1720" t="str">
        <f>"37116"</f>
        <v>37116</v>
      </c>
      <c r="B1720" t="s">
        <v>35</v>
      </c>
      <c r="C1720" t="s">
        <v>246</v>
      </c>
      <c r="D1720" t="s">
        <v>13</v>
      </c>
      <c r="E1720" t="s">
        <v>14</v>
      </c>
      <c r="F1720" t="s">
        <v>15</v>
      </c>
      <c r="G1720" t="s">
        <v>15</v>
      </c>
      <c r="H1720" t="s">
        <v>15</v>
      </c>
      <c r="I1720" s="1">
        <v>764300</v>
      </c>
    </row>
    <row r="1721" spans="1:9" x14ac:dyDescent="0.25">
      <c r="A1721" t="str">
        <f>"37121"</f>
        <v>37121</v>
      </c>
      <c r="B1721" t="s">
        <v>35</v>
      </c>
      <c r="C1721" t="s">
        <v>774</v>
      </c>
      <c r="D1721" t="str">
        <f>"001"</f>
        <v>001</v>
      </c>
      <c r="E1721">
        <v>2002</v>
      </c>
      <c r="F1721">
        <v>789300</v>
      </c>
      <c r="G1721">
        <v>1479000</v>
      </c>
      <c r="H1721">
        <v>689700</v>
      </c>
    </row>
    <row r="1722" spans="1:9" x14ac:dyDescent="0.25">
      <c r="A1722" t="str">
        <f>"37121"</f>
        <v>37121</v>
      </c>
      <c r="B1722" t="s">
        <v>35</v>
      </c>
      <c r="C1722" t="s">
        <v>774</v>
      </c>
      <c r="D1722" t="str">
        <f>"003"</f>
        <v>003</v>
      </c>
      <c r="E1722">
        <v>2005</v>
      </c>
      <c r="F1722">
        <v>55700</v>
      </c>
      <c r="G1722">
        <v>3016800</v>
      </c>
      <c r="H1722">
        <v>2961100</v>
      </c>
    </row>
    <row r="1723" spans="1:9" x14ac:dyDescent="0.25">
      <c r="A1723" t="str">
        <f>"37121"</f>
        <v>37121</v>
      </c>
      <c r="B1723" t="s">
        <v>35</v>
      </c>
      <c r="C1723" t="s">
        <v>774</v>
      </c>
      <c r="D1723" t="str">
        <f>"004"</f>
        <v>004</v>
      </c>
      <c r="E1723">
        <v>2016</v>
      </c>
      <c r="F1723">
        <v>1655200</v>
      </c>
      <c r="G1723">
        <v>4953900</v>
      </c>
      <c r="H1723">
        <v>3298700</v>
      </c>
    </row>
    <row r="1724" spans="1:9" x14ac:dyDescent="0.25">
      <c r="A1724" t="str">
        <f>"37121"</f>
        <v>37121</v>
      </c>
      <c r="B1724" t="s">
        <v>35</v>
      </c>
      <c r="C1724" t="s">
        <v>774</v>
      </c>
      <c r="D1724" t="s">
        <v>13</v>
      </c>
      <c r="E1724" t="s">
        <v>14</v>
      </c>
      <c r="F1724" t="s">
        <v>15</v>
      </c>
      <c r="G1724" t="s">
        <v>15</v>
      </c>
      <c r="H1724" t="s">
        <v>15</v>
      </c>
      <c r="I1724" s="1">
        <v>73491200</v>
      </c>
    </row>
    <row r="1725" spans="1:9" x14ac:dyDescent="0.25">
      <c r="A1725" t="str">
        <f>"37122"</f>
        <v>37122</v>
      </c>
      <c r="B1725" t="s">
        <v>35</v>
      </c>
      <c r="C1725" t="s">
        <v>745</v>
      </c>
      <c r="D1725" t="s">
        <v>13</v>
      </c>
      <c r="E1725" t="s">
        <v>14</v>
      </c>
      <c r="F1725" t="s">
        <v>15</v>
      </c>
      <c r="G1725" t="s">
        <v>15</v>
      </c>
      <c r="H1725" t="s">
        <v>15</v>
      </c>
      <c r="I1725" s="1">
        <v>7636400</v>
      </c>
    </row>
    <row r="1726" spans="1:9" x14ac:dyDescent="0.25">
      <c r="A1726" t="str">
        <f>"37126"</f>
        <v>37126</v>
      </c>
      <c r="B1726" t="s">
        <v>35</v>
      </c>
      <c r="C1726" t="s">
        <v>775</v>
      </c>
      <c r="D1726" t="s">
        <v>13</v>
      </c>
      <c r="E1726" t="s">
        <v>14</v>
      </c>
      <c r="F1726" t="s">
        <v>15</v>
      </c>
      <c r="G1726" t="s">
        <v>15</v>
      </c>
      <c r="H1726" t="s">
        <v>15</v>
      </c>
      <c r="I1726" s="1">
        <v>7384000</v>
      </c>
    </row>
    <row r="1727" spans="1:9" x14ac:dyDescent="0.25">
      <c r="A1727" t="str">
        <f>"37136"</f>
        <v>37136</v>
      </c>
      <c r="B1727" t="s">
        <v>35</v>
      </c>
      <c r="C1727" t="s">
        <v>776</v>
      </c>
      <c r="D1727" t="str">
        <f>"001"</f>
        <v>001</v>
      </c>
      <c r="E1727">
        <v>2007</v>
      </c>
      <c r="F1727">
        <v>3240500</v>
      </c>
      <c r="G1727">
        <v>9057800</v>
      </c>
      <c r="H1727">
        <v>5817300</v>
      </c>
    </row>
    <row r="1728" spans="1:9" x14ac:dyDescent="0.25">
      <c r="A1728" t="str">
        <f>"37136"</f>
        <v>37136</v>
      </c>
      <c r="B1728" t="s">
        <v>35</v>
      </c>
      <c r="C1728" t="s">
        <v>776</v>
      </c>
      <c r="D1728" t="s">
        <v>13</v>
      </c>
      <c r="E1728" t="s">
        <v>14</v>
      </c>
      <c r="F1728" t="s">
        <v>15</v>
      </c>
      <c r="G1728" t="s">
        <v>15</v>
      </c>
      <c r="H1728" t="s">
        <v>15</v>
      </c>
      <c r="I1728" s="1">
        <v>30120100</v>
      </c>
    </row>
    <row r="1729" spans="1:9" x14ac:dyDescent="0.25">
      <c r="A1729" t="str">
        <f>"37145"</f>
        <v>37145</v>
      </c>
      <c r="B1729" t="s">
        <v>35</v>
      </c>
      <c r="C1729" t="s">
        <v>777</v>
      </c>
      <c r="D1729" t="str">
        <f>"001"</f>
        <v>001</v>
      </c>
      <c r="E1729">
        <v>2005</v>
      </c>
      <c r="F1729">
        <v>2262300</v>
      </c>
      <c r="G1729">
        <v>18144700</v>
      </c>
      <c r="H1729">
        <v>15882400</v>
      </c>
    </row>
    <row r="1730" spans="1:9" x14ac:dyDescent="0.25">
      <c r="A1730" t="str">
        <f>"37145"</f>
        <v>37145</v>
      </c>
      <c r="B1730" t="s">
        <v>35</v>
      </c>
      <c r="C1730" t="s">
        <v>777</v>
      </c>
      <c r="D1730" t="str">
        <f>"002"</f>
        <v>002</v>
      </c>
      <c r="E1730">
        <v>2005</v>
      </c>
      <c r="F1730">
        <v>5398600</v>
      </c>
      <c r="G1730">
        <v>44429200</v>
      </c>
      <c r="H1730">
        <v>39030600</v>
      </c>
    </row>
    <row r="1731" spans="1:9" x14ac:dyDescent="0.25">
      <c r="A1731" t="str">
        <f>"37145"</f>
        <v>37145</v>
      </c>
      <c r="B1731" t="s">
        <v>35</v>
      </c>
      <c r="C1731" t="s">
        <v>777</v>
      </c>
      <c r="D1731" t="str">
        <f>"003"</f>
        <v>003</v>
      </c>
      <c r="E1731">
        <v>2005</v>
      </c>
      <c r="F1731">
        <v>405100</v>
      </c>
      <c r="G1731">
        <v>1136700</v>
      </c>
      <c r="H1731">
        <v>731600</v>
      </c>
    </row>
    <row r="1732" spans="1:9" x14ac:dyDescent="0.25">
      <c r="A1732" t="str">
        <f>"37145"</f>
        <v>37145</v>
      </c>
      <c r="B1732" t="s">
        <v>35</v>
      </c>
      <c r="C1732" t="s">
        <v>777</v>
      </c>
      <c r="D1732" t="str">
        <f>"004"</f>
        <v>004</v>
      </c>
      <c r="E1732">
        <v>2005</v>
      </c>
      <c r="F1732">
        <v>106600</v>
      </c>
      <c r="G1732">
        <v>5141400</v>
      </c>
      <c r="H1732">
        <v>5034800</v>
      </c>
    </row>
    <row r="1733" spans="1:9" x14ac:dyDescent="0.25">
      <c r="A1733" t="str">
        <f>"37145"</f>
        <v>37145</v>
      </c>
      <c r="B1733" t="s">
        <v>35</v>
      </c>
      <c r="C1733" t="s">
        <v>777</v>
      </c>
      <c r="D1733" t="s">
        <v>13</v>
      </c>
      <c r="E1733" t="s">
        <v>14</v>
      </c>
      <c r="F1733" t="s">
        <v>15</v>
      </c>
      <c r="G1733" t="s">
        <v>15</v>
      </c>
      <c r="H1733" t="s">
        <v>15</v>
      </c>
      <c r="I1733" s="1">
        <v>593003000</v>
      </c>
    </row>
    <row r="1734" spans="1:9" x14ac:dyDescent="0.25">
      <c r="A1734" t="str">
        <f>"37146"</f>
        <v>37146</v>
      </c>
      <c r="B1734" t="s">
        <v>35</v>
      </c>
      <c r="C1734" t="s">
        <v>778</v>
      </c>
      <c r="D1734" t="str">
        <f>"001"</f>
        <v>001</v>
      </c>
      <c r="E1734">
        <v>1997</v>
      </c>
      <c r="F1734">
        <v>447100</v>
      </c>
      <c r="G1734">
        <v>10116300</v>
      </c>
      <c r="H1734">
        <v>9669200</v>
      </c>
    </row>
    <row r="1735" spans="1:9" x14ac:dyDescent="0.25">
      <c r="A1735" t="str">
        <f>"37146"</f>
        <v>37146</v>
      </c>
      <c r="B1735" t="s">
        <v>35</v>
      </c>
      <c r="C1735" t="s">
        <v>778</v>
      </c>
      <c r="D1735" t="s">
        <v>13</v>
      </c>
      <c r="E1735" t="s">
        <v>14</v>
      </c>
      <c r="F1735" t="s">
        <v>15</v>
      </c>
      <c r="G1735" t="s">
        <v>15</v>
      </c>
      <c r="H1735" t="s">
        <v>15</v>
      </c>
      <c r="I1735" s="1">
        <v>247889500</v>
      </c>
    </row>
    <row r="1736" spans="1:9" x14ac:dyDescent="0.25">
      <c r="A1736" t="str">
        <f>"37151"</f>
        <v>37151</v>
      </c>
      <c r="B1736" t="s">
        <v>35</v>
      </c>
      <c r="C1736" t="s">
        <v>757</v>
      </c>
      <c r="D1736" t="str">
        <f>"001"</f>
        <v>001</v>
      </c>
      <c r="E1736">
        <v>2002</v>
      </c>
      <c r="F1736">
        <v>7361400</v>
      </c>
      <c r="G1736">
        <v>33542300</v>
      </c>
      <c r="H1736">
        <v>26180900</v>
      </c>
    </row>
    <row r="1737" spans="1:9" x14ac:dyDescent="0.25">
      <c r="A1737" t="str">
        <f>"37151"</f>
        <v>37151</v>
      </c>
      <c r="B1737" t="s">
        <v>35</v>
      </c>
      <c r="C1737" t="s">
        <v>757</v>
      </c>
      <c r="D1737" t="str">
        <f>"002"</f>
        <v>002</v>
      </c>
      <c r="E1737">
        <v>2016</v>
      </c>
      <c r="F1737">
        <v>1146800</v>
      </c>
      <c r="G1737">
        <v>8239900</v>
      </c>
      <c r="H1737">
        <v>7093100</v>
      </c>
    </row>
    <row r="1738" spans="1:9" x14ac:dyDescent="0.25">
      <c r="A1738" t="str">
        <f>"37151"</f>
        <v>37151</v>
      </c>
      <c r="B1738" t="s">
        <v>35</v>
      </c>
      <c r="C1738" t="s">
        <v>757</v>
      </c>
      <c r="D1738" t="s">
        <v>13</v>
      </c>
      <c r="E1738" t="s">
        <v>14</v>
      </c>
      <c r="F1738" t="s">
        <v>15</v>
      </c>
      <c r="G1738" t="s">
        <v>15</v>
      </c>
      <c r="H1738" t="s">
        <v>15</v>
      </c>
      <c r="I1738" s="1">
        <v>123571900</v>
      </c>
    </row>
    <row r="1739" spans="1:9" x14ac:dyDescent="0.25">
      <c r="A1739" t="str">
        <f>"37176"</f>
        <v>37176</v>
      </c>
      <c r="B1739" t="s">
        <v>35</v>
      </c>
      <c r="C1739" t="s">
        <v>779</v>
      </c>
      <c r="D1739" t="str">
        <f>"002"</f>
        <v>002</v>
      </c>
      <c r="E1739">
        <v>2013</v>
      </c>
      <c r="F1739">
        <v>44864400</v>
      </c>
      <c r="G1739">
        <v>57737400</v>
      </c>
      <c r="H1739">
        <v>12873000</v>
      </c>
    </row>
    <row r="1740" spans="1:9" x14ac:dyDescent="0.25">
      <c r="A1740" t="str">
        <f>"37176"</f>
        <v>37176</v>
      </c>
      <c r="B1740" t="s">
        <v>35</v>
      </c>
      <c r="C1740" t="s">
        <v>779</v>
      </c>
      <c r="D1740" t="s">
        <v>13</v>
      </c>
      <c r="E1740" t="s">
        <v>14</v>
      </c>
      <c r="F1740" t="s">
        <v>15</v>
      </c>
      <c r="G1740" t="s">
        <v>15</v>
      </c>
      <c r="H1740" t="s">
        <v>15</v>
      </c>
      <c r="I1740" s="1">
        <v>482799700</v>
      </c>
    </row>
    <row r="1741" spans="1:9" x14ac:dyDescent="0.25">
      <c r="A1741" t="str">
        <f>"37181"</f>
        <v>37181</v>
      </c>
      <c r="B1741" t="s">
        <v>35</v>
      </c>
      <c r="C1741" t="s">
        <v>767</v>
      </c>
      <c r="D1741" t="str">
        <f>"002"</f>
        <v>002</v>
      </c>
      <c r="E1741">
        <v>1999</v>
      </c>
      <c r="F1741">
        <v>2954600</v>
      </c>
      <c r="G1741">
        <v>7900100</v>
      </c>
      <c r="H1741">
        <v>4945500</v>
      </c>
    </row>
    <row r="1742" spans="1:9" x14ac:dyDescent="0.25">
      <c r="A1742" t="str">
        <f>"37181"</f>
        <v>37181</v>
      </c>
      <c r="B1742" t="s">
        <v>35</v>
      </c>
      <c r="C1742" t="s">
        <v>767</v>
      </c>
      <c r="D1742" t="str">
        <f>"003"</f>
        <v>003</v>
      </c>
      <c r="E1742">
        <v>2013</v>
      </c>
      <c r="F1742">
        <v>519500</v>
      </c>
      <c r="G1742">
        <v>2467100</v>
      </c>
      <c r="H1742">
        <v>1947600</v>
      </c>
    </row>
    <row r="1743" spans="1:9" x14ac:dyDescent="0.25">
      <c r="A1743" t="str">
        <f>"37181"</f>
        <v>37181</v>
      </c>
      <c r="B1743" t="s">
        <v>35</v>
      </c>
      <c r="C1743" t="s">
        <v>767</v>
      </c>
      <c r="D1743" t="str">
        <f>"004"</f>
        <v>004</v>
      </c>
      <c r="E1743">
        <v>2016</v>
      </c>
      <c r="F1743">
        <v>6831100</v>
      </c>
      <c r="G1743">
        <v>6971500</v>
      </c>
      <c r="H1743">
        <v>140400</v>
      </c>
    </row>
    <row r="1744" spans="1:9" x14ac:dyDescent="0.25">
      <c r="A1744" t="str">
        <f>"37181"</f>
        <v>37181</v>
      </c>
      <c r="B1744" t="s">
        <v>35</v>
      </c>
      <c r="C1744" t="s">
        <v>767</v>
      </c>
      <c r="D1744" t="s">
        <v>13</v>
      </c>
      <c r="E1744" t="s">
        <v>14</v>
      </c>
      <c r="F1744" t="s">
        <v>15</v>
      </c>
      <c r="G1744" t="s">
        <v>15</v>
      </c>
      <c r="H1744" t="s">
        <v>15</v>
      </c>
      <c r="I1744" s="1">
        <v>100740300</v>
      </c>
    </row>
    <row r="1745" spans="1:9" x14ac:dyDescent="0.25">
      <c r="A1745" t="str">
        <f>"37182"</f>
        <v>37182</v>
      </c>
      <c r="B1745" t="s">
        <v>35</v>
      </c>
      <c r="C1745" t="s">
        <v>780</v>
      </c>
      <c r="D1745" t="str">
        <f>"003"</f>
        <v>003</v>
      </c>
      <c r="E1745">
        <v>2006</v>
      </c>
      <c r="F1745">
        <v>2413400</v>
      </c>
      <c r="G1745">
        <v>10028200</v>
      </c>
      <c r="H1745">
        <v>7614800</v>
      </c>
    </row>
    <row r="1746" spans="1:9" x14ac:dyDescent="0.25">
      <c r="A1746" t="str">
        <f>"37182"</f>
        <v>37182</v>
      </c>
      <c r="B1746" t="s">
        <v>35</v>
      </c>
      <c r="C1746" t="s">
        <v>780</v>
      </c>
      <c r="D1746" t="str">
        <f>"004"</f>
        <v>004</v>
      </c>
      <c r="E1746">
        <v>2015</v>
      </c>
      <c r="F1746">
        <v>9055500</v>
      </c>
      <c r="G1746">
        <v>23069800</v>
      </c>
      <c r="H1746">
        <v>14014300</v>
      </c>
    </row>
    <row r="1747" spans="1:9" x14ac:dyDescent="0.25">
      <c r="A1747" t="str">
        <f>"37182"</f>
        <v>37182</v>
      </c>
      <c r="B1747" t="s">
        <v>35</v>
      </c>
      <c r="C1747" t="s">
        <v>780</v>
      </c>
      <c r="D1747" t="s">
        <v>13</v>
      </c>
      <c r="E1747" t="s">
        <v>14</v>
      </c>
      <c r="F1747" t="s">
        <v>15</v>
      </c>
      <c r="G1747" t="s">
        <v>15</v>
      </c>
      <c r="H1747" t="s">
        <v>15</v>
      </c>
      <c r="I1747" s="1">
        <v>94500900</v>
      </c>
    </row>
    <row r="1748" spans="1:9" x14ac:dyDescent="0.25">
      <c r="A1748" t="str">
        <f>"37186"</f>
        <v>37186</v>
      </c>
      <c r="B1748" t="s">
        <v>35</v>
      </c>
      <c r="C1748" t="s">
        <v>239</v>
      </c>
      <c r="D1748" t="str">
        <f>"001"</f>
        <v>001</v>
      </c>
      <c r="E1748">
        <v>1998</v>
      </c>
      <c r="F1748">
        <v>196000</v>
      </c>
      <c r="G1748">
        <v>414300</v>
      </c>
      <c r="H1748">
        <v>218300</v>
      </c>
    </row>
    <row r="1749" spans="1:9" x14ac:dyDescent="0.25">
      <c r="A1749" t="str">
        <f>"37186"</f>
        <v>37186</v>
      </c>
      <c r="B1749" t="s">
        <v>35</v>
      </c>
      <c r="C1749" t="s">
        <v>239</v>
      </c>
      <c r="D1749" t="s">
        <v>13</v>
      </c>
      <c r="E1749" t="s">
        <v>14</v>
      </c>
      <c r="F1749" t="s">
        <v>15</v>
      </c>
      <c r="G1749" t="s">
        <v>15</v>
      </c>
      <c r="H1749" t="s">
        <v>15</v>
      </c>
      <c r="I1749" s="1">
        <v>8880400</v>
      </c>
    </row>
    <row r="1750" spans="1:9" x14ac:dyDescent="0.25">
      <c r="A1750" t="str">
        <f>"37192"</f>
        <v>37192</v>
      </c>
      <c r="B1750" t="s">
        <v>35</v>
      </c>
      <c r="C1750" t="s">
        <v>241</v>
      </c>
      <c r="D1750" t="str">
        <f>"001"</f>
        <v>001</v>
      </c>
      <c r="E1750">
        <v>1998</v>
      </c>
      <c r="F1750">
        <v>38651600</v>
      </c>
      <c r="G1750">
        <v>292830500</v>
      </c>
      <c r="H1750">
        <v>254178900</v>
      </c>
    </row>
    <row r="1751" spans="1:9" x14ac:dyDescent="0.25">
      <c r="A1751" t="str">
        <f>"37192"</f>
        <v>37192</v>
      </c>
      <c r="B1751" t="s">
        <v>35</v>
      </c>
      <c r="C1751" t="s">
        <v>241</v>
      </c>
      <c r="D1751" t="str">
        <f>"002"</f>
        <v>002</v>
      </c>
      <c r="E1751">
        <v>2004</v>
      </c>
      <c r="F1751">
        <v>34853000</v>
      </c>
      <c r="G1751">
        <v>56608700</v>
      </c>
      <c r="H1751">
        <v>21755700</v>
      </c>
    </row>
    <row r="1752" spans="1:9" x14ac:dyDescent="0.25">
      <c r="A1752" t="str">
        <f>"37192"</f>
        <v>37192</v>
      </c>
      <c r="B1752" t="s">
        <v>35</v>
      </c>
      <c r="C1752" t="s">
        <v>241</v>
      </c>
      <c r="D1752" t="s">
        <v>13</v>
      </c>
      <c r="E1752" t="s">
        <v>14</v>
      </c>
      <c r="F1752" t="s">
        <v>15</v>
      </c>
      <c r="G1752" t="s">
        <v>15</v>
      </c>
      <c r="H1752" t="s">
        <v>15</v>
      </c>
      <c r="I1752" s="1">
        <v>1000519500</v>
      </c>
    </row>
    <row r="1753" spans="1:9" x14ac:dyDescent="0.25">
      <c r="A1753" t="s">
        <v>32</v>
      </c>
      <c r="B1753" t="s">
        <v>37</v>
      </c>
      <c r="C1753" t="s">
        <v>34</v>
      </c>
      <c r="D1753" t="s">
        <v>13</v>
      </c>
      <c r="E1753" t="s">
        <v>14</v>
      </c>
      <c r="F1753" t="s">
        <v>15</v>
      </c>
      <c r="G1753" t="s">
        <v>15</v>
      </c>
      <c r="H1753" t="s">
        <v>15</v>
      </c>
      <c r="I1753" s="1">
        <v>2823011500</v>
      </c>
    </row>
    <row r="1754" spans="1:9" x14ac:dyDescent="0.25">
      <c r="A1754" t="str">
        <f>"37201"</f>
        <v>37201</v>
      </c>
      <c r="B1754" t="s">
        <v>38</v>
      </c>
      <c r="C1754" t="s">
        <v>248</v>
      </c>
      <c r="D1754" t="str">
        <f>"005"</f>
        <v>005</v>
      </c>
      <c r="E1754">
        <v>2008</v>
      </c>
      <c r="F1754">
        <v>11954100</v>
      </c>
      <c r="G1754">
        <v>13569700</v>
      </c>
      <c r="H1754">
        <v>1615600</v>
      </c>
    </row>
    <row r="1755" spans="1:9" x14ac:dyDescent="0.25">
      <c r="A1755" t="str">
        <f>"37201"</f>
        <v>37201</v>
      </c>
      <c r="B1755" t="s">
        <v>38</v>
      </c>
      <c r="C1755" t="s">
        <v>248</v>
      </c>
      <c r="D1755" t="str">
        <f>"006"</f>
        <v>006</v>
      </c>
      <c r="E1755">
        <v>2016</v>
      </c>
      <c r="F1755">
        <v>5923100</v>
      </c>
      <c r="G1755">
        <v>22165100</v>
      </c>
      <c r="H1755">
        <v>16242000</v>
      </c>
    </row>
    <row r="1756" spans="1:9" x14ac:dyDescent="0.25">
      <c r="A1756" t="str">
        <f>"37201"</f>
        <v>37201</v>
      </c>
      <c r="B1756" t="s">
        <v>38</v>
      </c>
      <c r="C1756" t="s">
        <v>248</v>
      </c>
      <c r="D1756" t="s">
        <v>13</v>
      </c>
      <c r="E1756" t="s">
        <v>14</v>
      </c>
      <c r="F1756" t="s">
        <v>15</v>
      </c>
      <c r="G1756" t="s">
        <v>15</v>
      </c>
      <c r="H1756" t="s">
        <v>15</v>
      </c>
      <c r="I1756" s="1">
        <v>47782700</v>
      </c>
    </row>
    <row r="1757" spans="1:9" x14ac:dyDescent="0.25">
      <c r="A1757" t="str">
        <f>"37211"</f>
        <v>37211</v>
      </c>
      <c r="B1757" t="s">
        <v>38</v>
      </c>
      <c r="C1757" t="s">
        <v>217</v>
      </c>
      <c r="D1757" t="str">
        <f>"002"</f>
        <v>002</v>
      </c>
      <c r="E1757">
        <v>1993</v>
      </c>
      <c r="F1757">
        <v>4514700</v>
      </c>
      <c r="G1757">
        <v>20564400</v>
      </c>
      <c r="H1757">
        <v>16049700</v>
      </c>
    </row>
    <row r="1758" spans="1:9" x14ac:dyDescent="0.25">
      <c r="A1758" t="str">
        <f>"37211"</f>
        <v>37211</v>
      </c>
      <c r="B1758" t="s">
        <v>38</v>
      </c>
      <c r="C1758" t="s">
        <v>217</v>
      </c>
      <c r="D1758" t="s">
        <v>13</v>
      </c>
      <c r="E1758" t="s">
        <v>14</v>
      </c>
      <c r="F1758" t="s">
        <v>15</v>
      </c>
      <c r="G1758" t="s">
        <v>15</v>
      </c>
      <c r="H1758" t="s">
        <v>15</v>
      </c>
      <c r="I1758" s="1">
        <v>15920700</v>
      </c>
    </row>
    <row r="1759" spans="1:9" x14ac:dyDescent="0.25">
      <c r="A1759" t="str">
        <f>"37250"</f>
        <v>37250</v>
      </c>
      <c r="B1759" t="s">
        <v>38</v>
      </c>
      <c r="C1759" t="s">
        <v>465</v>
      </c>
      <c r="D1759" t="s">
        <v>13</v>
      </c>
      <c r="E1759" t="s">
        <v>14</v>
      </c>
      <c r="F1759" t="s">
        <v>15</v>
      </c>
      <c r="G1759" t="s">
        <v>15</v>
      </c>
      <c r="H1759" t="s">
        <v>15</v>
      </c>
      <c r="I1759" s="1">
        <v>132171700</v>
      </c>
    </row>
    <row r="1760" spans="1:9" x14ac:dyDescent="0.25">
      <c r="A1760" t="str">
        <f>"37251"</f>
        <v>37251</v>
      </c>
      <c r="B1760" t="s">
        <v>38</v>
      </c>
      <c r="C1760" t="s">
        <v>759</v>
      </c>
      <c r="D1760" t="str">
        <f>"002"</f>
        <v>002</v>
      </c>
      <c r="E1760">
        <v>2006</v>
      </c>
      <c r="F1760">
        <v>12930700</v>
      </c>
      <c r="G1760">
        <v>27689600</v>
      </c>
      <c r="H1760">
        <v>14758900</v>
      </c>
    </row>
    <row r="1761" spans="1:9" x14ac:dyDescent="0.25">
      <c r="A1761" t="str">
        <f>"37251"</f>
        <v>37251</v>
      </c>
      <c r="B1761" t="s">
        <v>38</v>
      </c>
      <c r="C1761" t="s">
        <v>759</v>
      </c>
      <c r="D1761" t="str">
        <f>"003"</f>
        <v>003</v>
      </c>
      <c r="E1761">
        <v>2013</v>
      </c>
      <c r="F1761">
        <v>7531100</v>
      </c>
      <c r="G1761">
        <v>11974500</v>
      </c>
      <c r="H1761">
        <v>4443400</v>
      </c>
    </row>
    <row r="1762" spans="1:9" x14ac:dyDescent="0.25">
      <c r="A1762" t="str">
        <f>"37251"</f>
        <v>37251</v>
      </c>
      <c r="B1762" t="s">
        <v>38</v>
      </c>
      <c r="C1762" t="s">
        <v>759</v>
      </c>
      <c r="D1762" t="s">
        <v>13</v>
      </c>
      <c r="E1762" t="s">
        <v>14</v>
      </c>
      <c r="F1762" t="s">
        <v>15</v>
      </c>
      <c r="G1762" t="s">
        <v>15</v>
      </c>
      <c r="H1762" t="s">
        <v>15</v>
      </c>
      <c r="I1762" s="1">
        <v>295347700</v>
      </c>
    </row>
    <row r="1763" spans="1:9" x14ac:dyDescent="0.25">
      <c r="A1763" t="str">
        <f>"37281"</f>
        <v>37281</v>
      </c>
      <c r="B1763" t="s">
        <v>38</v>
      </c>
      <c r="C1763" t="s">
        <v>781</v>
      </c>
      <c r="D1763" t="str">
        <f>"002"</f>
        <v>002</v>
      </c>
      <c r="E1763">
        <v>1994</v>
      </c>
      <c r="F1763">
        <v>3273500</v>
      </c>
      <c r="G1763">
        <v>19586000</v>
      </c>
      <c r="H1763">
        <v>16312500</v>
      </c>
    </row>
    <row r="1764" spans="1:9" x14ac:dyDescent="0.25">
      <c r="A1764" t="str">
        <f>"37281"</f>
        <v>37281</v>
      </c>
      <c r="B1764" t="s">
        <v>38</v>
      </c>
      <c r="C1764" t="s">
        <v>781</v>
      </c>
      <c r="D1764" t="str">
        <f>"003"</f>
        <v>003</v>
      </c>
      <c r="E1764">
        <v>1997</v>
      </c>
      <c r="F1764">
        <v>4839000</v>
      </c>
      <c r="G1764">
        <v>13261900</v>
      </c>
      <c r="H1764">
        <v>8422900</v>
      </c>
    </row>
    <row r="1765" spans="1:9" x14ac:dyDescent="0.25">
      <c r="A1765" t="str">
        <f>"37281"</f>
        <v>37281</v>
      </c>
      <c r="B1765" t="s">
        <v>38</v>
      </c>
      <c r="C1765" t="s">
        <v>781</v>
      </c>
      <c r="D1765" t="str">
        <f>"004"</f>
        <v>004</v>
      </c>
      <c r="E1765">
        <v>2017</v>
      </c>
      <c r="F1765">
        <v>4534200</v>
      </c>
      <c r="G1765">
        <v>10777900</v>
      </c>
      <c r="H1765">
        <v>6243700</v>
      </c>
    </row>
    <row r="1766" spans="1:9" x14ac:dyDescent="0.25">
      <c r="A1766" t="str">
        <f>"37281"</f>
        <v>37281</v>
      </c>
      <c r="B1766" t="s">
        <v>38</v>
      </c>
      <c r="C1766" t="s">
        <v>781</v>
      </c>
      <c r="D1766" t="s">
        <v>13</v>
      </c>
      <c r="E1766" t="s">
        <v>14</v>
      </c>
      <c r="F1766" t="s">
        <v>15</v>
      </c>
      <c r="G1766" t="s">
        <v>15</v>
      </c>
      <c r="H1766" t="s">
        <v>15</v>
      </c>
      <c r="I1766" s="1">
        <v>217855400</v>
      </c>
    </row>
    <row r="1767" spans="1:9" x14ac:dyDescent="0.25">
      <c r="A1767" t="str">
        <f t="shared" ref="A1767:A1776" si="37">"37291"</f>
        <v>37291</v>
      </c>
      <c r="B1767" t="s">
        <v>38</v>
      </c>
      <c r="C1767" t="s">
        <v>770</v>
      </c>
      <c r="D1767" t="str">
        <f>"003"</f>
        <v>003</v>
      </c>
      <c r="E1767">
        <v>1994</v>
      </c>
      <c r="F1767">
        <v>42818700</v>
      </c>
      <c r="G1767">
        <v>143102900</v>
      </c>
      <c r="H1767">
        <v>100284200</v>
      </c>
    </row>
    <row r="1768" spans="1:9" x14ac:dyDescent="0.25">
      <c r="A1768" t="str">
        <f t="shared" si="37"/>
        <v>37291</v>
      </c>
      <c r="B1768" t="s">
        <v>38</v>
      </c>
      <c r="C1768" t="s">
        <v>770</v>
      </c>
      <c r="D1768" t="str">
        <f>"005"</f>
        <v>005</v>
      </c>
      <c r="E1768">
        <v>1997</v>
      </c>
      <c r="F1768">
        <v>100000</v>
      </c>
      <c r="G1768">
        <v>34453200</v>
      </c>
      <c r="H1768">
        <v>34353200</v>
      </c>
    </row>
    <row r="1769" spans="1:9" x14ac:dyDescent="0.25">
      <c r="A1769" t="str">
        <f t="shared" si="37"/>
        <v>37291</v>
      </c>
      <c r="B1769" t="s">
        <v>38</v>
      </c>
      <c r="C1769" t="s">
        <v>770</v>
      </c>
      <c r="D1769" t="str">
        <f>"006"</f>
        <v>006</v>
      </c>
      <c r="E1769">
        <v>2005</v>
      </c>
      <c r="F1769">
        <v>80840800</v>
      </c>
      <c r="G1769">
        <v>185917600</v>
      </c>
      <c r="H1769">
        <v>105076800</v>
      </c>
    </row>
    <row r="1770" spans="1:9" x14ac:dyDescent="0.25">
      <c r="A1770" t="str">
        <f t="shared" si="37"/>
        <v>37291</v>
      </c>
      <c r="B1770" t="s">
        <v>38</v>
      </c>
      <c r="C1770" t="s">
        <v>770</v>
      </c>
      <c r="D1770" t="str">
        <f>"007"</f>
        <v>007</v>
      </c>
      <c r="E1770">
        <v>2006</v>
      </c>
      <c r="F1770">
        <v>29525900</v>
      </c>
      <c r="G1770">
        <v>68348900</v>
      </c>
      <c r="H1770">
        <v>38823000</v>
      </c>
    </row>
    <row r="1771" spans="1:9" x14ac:dyDescent="0.25">
      <c r="A1771" t="str">
        <f t="shared" si="37"/>
        <v>37291</v>
      </c>
      <c r="B1771" t="s">
        <v>38</v>
      </c>
      <c r="C1771" t="s">
        <v>770</v>
      </c>
      <c r="D1771" t="str">
        <f>"008"</f>
        <v>008</v>
      </c>
      <c r="E1771">
        <v>2012</v>
      </c>
      <c r="F1771">
        <v>35408900</v>
      </c>
      <c r="G1771">
        <v>44493800</v>
      </c>
      <c r="H1771">
        <v>9084900</v>
      </c>
    </row>
    <row r="1772" spans="1:9" x14ac:dyDescent="0.25">
      <c r="A1772" t="str">
        <f t="shared" si="37"/>
        <v>37291</v>
      </c>
      <c r="B1772" t="s">
        <v>38</v>
      </c>
      <c r="C1772" t="s">
        <v>770</v>
      </c>
      <c r="D1772" t="str">
        <f>"009"</f>
        <v>009</v>
      </c>
      <c r="E1772">
        <v>2012</v>
      </c>
      <c r="F1772">
        <v>1232400</v>
      </c>
      <c r="G1772">
        <v>2174900</v>
      </c>
      <c r="H1772">
        <v>942500</v>
      </c>
    </row>
    <row r="1773" spans="1:9" x14ac:dyDescent="0.25">
      <c r="A1773" t="str">
        <f t="shared" si="37"/>
        <v>37291</v>
      </c>
      <c r="B1773" t="s">
        <v>38</v>
      </c>
      <c r="C1773" t="s">
        <v>770</v>
      </c>
      <c r="D1773" t="str">
        <f>"010"</f>
        <v>010</v>
      </c>
      <c r="E1773">
        <v>2013</v>
      </c>
      <c r="F1773">
        <v>45713000</v>
      </c>
      <c r="G1773">
        <v>56367200</v>
      </c>
      <c r="H1773">
        <v>10654200</v>
      </c>
    </row>
    <row r="1774" spans="1:9" x14ac:dyDescent="0.25">
      <c r="A1774" t="str">
        <f t="shared" si="37"/>
        <v>37291</v>
      </c>
      <c r="B1774" t="s">
        <v>38</v>
      </c>
      <c r="C1774" t="s">
        <v>770</v>
      </c>
      <c r="D1774" t="str">
        <f>"011"</f>
        <v>011</v>
      </c>
      <c r="E1774">
        <v>2017</v>
      </c>
      <c r="F1774">
        <v>1386400</v>
      </c>
      <c r="G1774">
        <v>61254900</v>
      </c>
      <c r="H1774">
        <v>59868500</v>
      </c>
    </row>
    <row r="1775" spans="1:9" x14ac:dyDescent="0.25">
      <c r="A1775" t="str">
        <f t="shared" si="37"/>
        <v>37291</v>
      </c>
      <c r="B1775" t="s">
        <v>38</v>
      </c>
      <c r="C1775" t="s">
        <v>770</v>
      </c>
      <c r="D1775" t="str">
        <f>"012"</f>
        <v>012</v>
      </c>
      <c r="E1775">
        <v>2017</v>
      </c>
      <c r="F1775">
        <v>32285000</v>
      </c>
      <c r="G1775">
        <v>24348300</v>
      </c>
      <c r="H1775">
        <v>0</v>
      </c>
    </row>
    <row r="1776" spans="1:9" x14ac:dyDescent="0.25">
      <c r="A1776" t="str">
        <f t="shared" si="37"/>
        <v>37291</v>
      </c>
      <c r="B1776" t="s">
        <v>38</v>
      </c>
      <c r="C1776" t="s">
        <v>770</v>
      </c>
      <c r="D1776" t="s">
        <v>13</v>
      </c>
      <c r="E1776" t="s">
        <v>14</v>
      </c>
      <c r="F1776" t="s">
        <v>15</v>
      </c>
      <c r="G1776" t="s">
        <v>15</v>
      </c>
      <c r="H1776" t="s">
        <v>15</v>
      </c>
      <c r="I1776" s="1">
        <v>2716775800</v>
      </c>
    </row>
    <row r="1777" spans="1:9" x14ac:dyDescent="0.25">
      <c r="A1777" t="s">
        <v>32</v>
      </c>
      <c r="B1777" t="s">
        <v>40</v>
      </c>
      <c r="C1777" t="s">
        <v>34</v>
      </c>
      <c r="D1777" t="s">
        <v>13</v>
      </c>
      <c r="E1777" t="s">
        <v>14</v>
      </c>
      <c r="F1777" t="s">
        <v>15</v>
      </c>
      <c r="G1777" t="s">
        <v>15</v>
      </c>
      <c r="H1777" t="s">
        <v>15</v>
      </c>
      <c r="I1777" s="1">
        <v>3425854000</v>
      </c>
    </row>
    <row r="1778" spans="1:9" x14ac:dyDescent="0.25">
      <c r="A1778" t="s">
        <v>32</v>
      </c>
      <c r="B1778" t="s">
        <v>41</v>
      </c>
      <c r="C1778" t="s">
        <v>757</v>
      </c>
      <c r="D1778" t="s">
        <v>13</v>
      </c>
      <c r="E1778" t="s">
        <v>14</v>
      </c>
      <c r="F1778" t="s">
        <v>15</v>
      </c>
      <c r="G1778" t="s">
        <v>15</v>
      </c>
      <c r="H1778" t="s">
        <v>15</v>
      </c>
      <c r="I1778" s="1">
        <v>10753132800</v>
      </c>
    </row>
    <row r="1779" spans="1:9" x14ac:dyDescent="0.25">
      <c r="A1779" t="str">
        <f>"38002"</f>
        <v>38002</v>
      </c>
      <c r="B1779" t="s">
        <v>11</v>
      </c>
      <c r="C1779" t="s">
        <v>782</v>
      </c>
      <c r="D1779" t="s">
        <v>13</v>
      </c>
      <c r="E1779" t="s">
        <v>14</v>
      </c>
      <c r="F1779" t="s">
        <v>15</v>
      </c>
      <c r="G1779" t="s">
        <v>15</v>
      </c>
      <c r="H1779" t="s">
        <v>15</v>
      </c>
      <c r="I1779" s="1">
        <v>94719200</v>
      </c>
    </row>
    <row r="1780" spans="1:9" x14ac:dyDescent="0.25">
      <c r="A1780" t="str">
        <f>"38004"</f>
        <v>38004</v>
      </c>
      <c r="B1780" t="s">
        <v>11</v>
      </c>
      <c r="C1780" t="s">
        <v>783</v>
      </c>
      <c r="D1780" t="s">
        <v>13</v>
      </c>
      <c r="E1780" t="s">
        <v>14</v>
      </c>
      <c r="F1780" t="s">
        <v>15</v>
      </c>
      <c r="G1780" t="s">
        <v>15</v>
      </c>
      <c r="H1780" t="s">
        <v>15</v>
      </c>
      <c r="I1780" s="1">
        <v>121057000</v>
      </c>
    </row>
    <row r="1781" spans="1:9" x14ac:dyDescent="0.25">
      <c r="A1781" t="str">
        <f>"38006"</f>
        <v>38006</v>
      </c>
      <c r="B1781" t="s">
        <v>11</v>
      </c>
      <c r="C1781" t="s">
        <v>215</v>
      </c>
      <c r="D1781" t="s">
        <v>13</v>
      </c>
      <c r="E1781" t="s">
        <v>14</v>
      </c>
      <c r="F1781" t="s">
        <v>15</v>
      </c>
      <c r="G1781" t="s">
        <v>15</v>
      </c>
      <c r="H1781" t="s">
        <v>15</v>
      </c>
      <c r="I1781" s="1">
        <v>158123200</v>
      </c>
    </row>
    <row r="1782" spans="1:9" x14ac:dyDescent="0.25">
      <c r="A1782" t="str">
        <f>"38008"</f>
        <v>38008</v>
      </c>
      <c r="B1782" t="s">
        <v>11</v>
      </c>
      <c r="C1782" t="s">
        <v>784</v>
      </c>
      <c r="D1782" t="s">
        <v>13</v>
      </c>
      <c r="E1782" t="s">
        <v>14</v>
      </c>
      <c r="F1782" t="s">
        <v>15</v>
      </c>
      <c r="G1782" t="s">
        <v>15</v>
      </c>
      <c r="H1782" t="s">
        <v>15</v>
      </c>
      <c r="I1782" s="1">
        <v>98941400</v>
      </c>
    </row>
    <row r="1783" spans="1:9" x14ac:dyDescent="0.25">
      <c r="A1783" t="str">
        <f>"38010"</f>
        <v>38010</v>
      </c>
      <c r="B1783" t="s">
        <v>11</v>
      </c>
      <c r="C1783" t="s">
        <v>785</v>
      </c>
      <c r="D1783" t="s">
        <v>13</v>
      </c>
      <c r="E1783" t="s">
        <v>14</v>
      </c>
      <c r="F1783" t="s">
        <v>15</v>
      </c>
      <c r="G1783" t="s">
        <v>15</v>
      </c>
      <c r="H1783" t="s">
        <v>15</v>
      </c>
      <c r="I1783" s="1">
        <v>80440800</v>
      </c>
    </row>
    <row r="1784" spans="1:9" x14ac:dyDescent="0.25">
      <c r="A1784" t="str">
        <f>"38012"</f>
        <v>38012</v>
      </c>
      <c r="B1784" t="s">
        <v>11</v>
      </c>
      <c r="C1784" t="s">
        <v>786</v>
      </c>
      <c r="D1784" t="s">
        <v>13</v>
      </c>
      <c r="E1784" t="s">
        <v>14</v>
      </c>
      <c r="F1784" t="s">
        <v>15</v>
      </c>
      <c r="G1784" t="s">
        <v>15</v>
      </c>
      <c r="H1784" t="s">
        <v>15</v>
      </c>
      <c r="I1784" s="1">
        <v>72180100</v>
      </c>
    </row>
    <row r="1785" spans="1:9" x14ac:dyDescent="0.25">
      <c r="A1785" t="str">
        <f>"38014"</f>
        <v>38014</v>
      </c>
      <c r="B1785" t="s">
        <v>11</v>
      </c>
      <c r="C1785" t="s">
        <v>787</v>
      </c>
      <c r="D1785" t="s">
        <v>13</v>
      </c>
      <c r="E1785" t="s">
        <v>14</v>
      </c>
      <c r="F1785" t="s">
        <v>15</v>
      </c>
      <c r="G1785" t="s">
        <v>15</v>
      </c>
      <c r="H1785" t="s">
        <v>15</v>
      </c>
      <c r="I1785" s="1">
        <v>134745600</v>
      </c>
    </row>
    <row r="1786" spans="1:9" x14ac:dyDescent="0.25">
      <c r="A1786" t="str">
        <f>"38016"</f>
        <v>38016</v>
      </c>
      <c r="B1786" t="s">
        <v>11</v>
      </c>
      <c r="C1786" t="s">
        <v>788</v>
      </c>
      <c r="D1786" t="s">
        <v>13</v>
      </c>
      <c r="E1786" t="s">
        <v>14</v>
      </c>
      <c r="F1786" t="s">
        <v>15</v>
      </c>
      <c r="G1786" t="s">
        <v>15</v>
      </c>
      <c r="H1786" t="s">
        <v>15</v>
      </c>
      <c r="I1786" s="1">
        <v>170545900</v>
      </c>
    </row>
    <row r="1787" spans="1:9" x14ac:dyDescent="0.25">
      <c r="A1787" t="str">
        <f>"38018"</f>
        <v>38018</v>
      </c>
      <c r="B1787" t="s">
        <v>11</v>
      </c>
      <c r="C1787" t="s">
        <v>789</v>
      </c>
      <c r="D1787" t="s">
        <v>13</v>
      </c>
      <c r="E1787" t="s">
        <v>14</v>
      </c>
      <c r="F1787" t="s">
        <v>15</v>
      </c>
      <c r="G1787" t="s">
        <v>15</v>
      </c>
      <c r="H1787" t="s">
        <v>15</v>
      </c>
      <c r="I1787" s="1">
        <v>112582700</v>
      </c>
    </row>
    <row r="1788" spans="1:9" x14ac:dyDescent="0.25">
      <c r="A1788" t="str">
        <f>"38020"</f>
        <v>38020</v>
      </c>
      <c r="B1788" t="s">
        <v>11</v>
      </c>
      <c r="C1788" t="s">
        <v>790</v>
      </c>
      <c r="D1788" t="s">
        <v>13</v>
      </c>
      <c r="E1788" t="s">
        <v>14</v>
      </c>
      <c r="F1788" t="s">
        <v>15</v>
      </c>
      <c r="G1788" t="s">
        <v>15</v>
      </c>
      <c r="H1788" t="s">
        <v>15</v>
      </c>
      <c r="I1788" s="1">
        <v>74166700</v>
      </c>
    </row>
    <row r="1789" spans="1:9" x14ac:dyDescent="0.25">
      <c r="A1789" t="str">
        <f>"38022"</f>
        <v>38022</v>
      </c>
      <c r="B1789" t="s">
        <v>11</v>
      </c>
      <c r="C1789" t="s">
        <v>791</v>
      </c>
      <c r="D1789" t="s">
        <v>13</v>
      </c>
      <c r="E1789" t="s">
        <v>14</v>
      </c>
      <c r="F1789" t="s">
        <v>15</v>
      </c>
      <c r="G1789" t="s">
        <v>15</v>
      </c>
      <c r="H1789" t="s">
        <v>15</v>
      </c>
      <c r="I1789" s="1">
        <v>92196700</v>
      </c>
    </row>
    <row r="1790" spans="1:9" x14ac:dyDescent="0.25">
      <c r="A1790" t="str">
        <f>"38024"</f>
        <v>38024</v>
      </c>
      <c r="B1790" t="s">
        <v>11</v>
      </c>
      <c r="C1790" t="s">
        <v>792</v>
      </c>
      <c r="D1790" t="s">
        <v>13</v>
      </c>
      <c r="E1790" t="s">
        <v>14</v>
      </c>
      <c r="F1790" t="s">
        <v>15</v>
      </c>
      <c r="G1790" t="s">
        <v>15</v>
      </c>
      <c r="H1790" t="s">
        <v>15</v>
      </c>
      <c r="I1790" s="1">
        <v>335520300</v>
      </c>
    </row>
    <row r="1791" spans="1:9" x14ac:dyDescent="0.25">
      <c r="A1791" t="str">
        <f>"38026"</f>
        <v>38026</v>
      </c>
      <c r="B1791" t="s">
        <v>11</v>
      </c>
      <c r="C1791" t="s">
        <v>793</v>
      </c>
      <c r="D1791" t="s">
        <v>13</v>
      </c>
      <c r="E1791" t="s">
        <v>14</v>
      </c>
      <c r="F1791" t="s">
        <v>15</v>
      </c>
      <c r="G1791" t="s">
        <v>15</v>
      </c>
      <c r="H1791" t="s">
        <v>15</v>
      </c>
      <c r="I1791" s="1">
        <v>177133200</v>
      </c>
    </row>
    <row r="1792" spans="1:9" x14ac:dyDescent="0.25">
      <c r="A1792" t="str">
        <f>"38028"</f>
        <v>38028</v>
      </c>
      <c r="B1792" t="s">
        <v>11</v>
      </c>
      <c r="C1792" t="s">
        <v>794</v>
      </c>
      <c r="D1792" t="s">
        <v>13</v>
      </c>
      <c r="E1792" t="s">
        <v>14</v>
      </c>
      <c r="F1792" t="s">
        <v>15</v>
      </c>
      <c r="G1792" t="s">
        <v>15</v>
      </c>
      <c r="H1792" t="s">
        <v>15</v>
      </c>
      <c r="I1792" s="1">
        <v>109310600</v>
      </c>
    </row>
    <row r="1793" spans="1:9" x14ac:dyDescent="0.25">
      <c r="A1793" t="str">
        <f>"38030"</f>
        <v>38030</v>
      </c>
      <c r="B1793" t="s">
        <v>11</v>
      </c>
      <c r="C1793" t="s">
        <v>795</v>
      </c>
      <c r="D1793" t="s">
        <v>13</v>
      </c>
      <c r="E1793" t="s">
        <v>14</v>
      </c>
      <c r="F1793" t="s">
        <v>15</v>
      </c>
      <c r="G1793" t="s">
        <v>15</v>
      </c>
      <c r="H1793" t="s">
        <v>15</v>
      </c>
      <c r="I1793" s="1">
        <v>125128100</v>
      </c>
    </row>
    <row r="1794" spans="1:9" x14ac:dyDescent="0.25">
      <c r="A1794" t="str">
        <f>"38032"</f>
        <v>38032</v>
      </c>
      <c r="B1794" t="s">
        <v>11</v>
      </c>
      <c r="C1794" t="s">
        <v>796</v>
      </c>
      <c r="D1794" t="s">
        <v>13</v>
      </c>
      <c r="E1794" t="s">
        <v>14</v>
      </c>
      <c r="F1794" t="s">
        <v>15</v>
      </c>
      <c r="G1794" t="s">
        <v>15</v>
      </c>
      <c r="H1794" t="s">
        <v>15</v>
      </c>
      <c r="I1794" s="1">
        <v>588108600</v>
      </c>
    </row>
    <row r="1795" spans="1:9" x14ac:dyDescent="0.25">
      <c r="A1795" t="str">
        <f>"38034"</f>
        <v>38034</v>
      </c>
      <c r="B1795" t="s">
        <v>11</v>
      </c>
      <c r="C1795" t="s">
        <v>797</v>
      </c>
      <c r="D1795" t="s">
        <v>13</v>
      </c>
      <c r="E1795" t="s">
        <v>14</v>
      </c>
      <c r="F1795" t="s">
        <v>15</v>
      </c>
      <c r="G1795" t="s">
        <v>15</v>
      </c>
      <c r="H1795" t="s">
        <v>15</v>
      </c>
      <c r="I1795" s="1">
        <v>95349600</v>
      </c>
    </row>
    <row r="1796" spans="1:9" x14ac:dyDescent="0.25">
      <c r="A1796" t="str">
        <f>"38036"</f>
        <v>38036</v>
      </c>
      <c r="B1796" t="s">
        <v>11</v>
      </c>
      <c r="C1796" t="s">
        <v>798</v>
      </c>
      <c r="D1796" t="s">
        <v>13</v>
      </c>
      <c r="E1796" t="s">
        <v>14</v>
      </c>
      <c r="F1796" t="s">
        <v>15</v>
      </c>
      <c r="G1796" t="s">
        <v>15</v>
      </c>
      <c r="H1796" t="s">
        <v>15</v>
      </c>
      <c r="I1796" s="1">
        <v>184866400</v>
      </c>
    </row>
    <row r="1797" spans="1:9" x14ac:dyDescent="0.25">
      <c r="A1797" t="s">
        <v>32</v>
      </c>
      <c r="B1797" t="s">
        <v>33</v>
      </c>
      <c r="C1797" t="s">
        <v>34</v>
      </c>
      <c r="D1797" t="s">
        <v>13</v>
      </c>
      <c r="E1797" t="s">
        <v>14</v>
      </c>
      <c r="F1797" t="s">
        <v>15</v>
      </c>
      <c r="G1797" t="s">
        <v>15</v>
      </c>
      <c r="H1797" t="s">
        <v>15</v>
      </c>
      <c r="I1797" s="1">
        <v>2825116100</v>
      </c>
    </row>
    <row r="1798" spans="1:9" x14ac:dyDescent="0.25">
      <c r="A1798" t="str">
        <f>"38111"</f>
        <v>38111</v>
      </c>
      <c r="B1798" t="s">
        <v>35</v>
      </c>
      <c r="C1798" t="s">
        <v>799</v>
      </c>
      <c r="D1798" t="str">
        <f>"001"</f>
        <v>001</v>
      </c>
      <c r="E1798">
        <v>2005</v>
      </c>
      <c r="F1798">
        <v>2604100</v>
      </c>
      <c r="G1798">
        <v>7098000</v>
      </c>
      <c r="H1798">
        <v>4493900</v>
      </c>
    </row>
    <row r="1799" spans="1:9" x14ac:dyDescent="0.25">
      <c r="A1799" t="str">
        <f>"38111"</f>
        <v>38111</v>
      </c>
      <c r="B1799" t="s">
        <v>35</v>
      </c>
      <c r="C1799" t="s">
        <v>799</v>
      </c>
      <c r="D1799" t="str">
        <f>"002"</f>
        <v>002</v>
      </c>
      <c r="E1799">
        <v>2017</v>
      </c>
      <c r="F1799">
        <v>431900</v>
      </c>
      <c r="G1799">
        <v>2273700</v>
      </c>
      <c r="H1799">
        <v>1841800</v>
      </c>
    </row>
    <row r="1800" spans="1:9" x14ac:dyDescent="0.25">
      <c r="A1800" t="str">
        <f>"38111"</f>
        <v>38111</v>
      </c>
      <c r="B1800" t="s">
        <v>35</v>
      </c>
      <c r="C1800" t="s">
        <v>799</v>
      </c>
      <c r="D1800" t="str">
        <f>"003"</f>
        <v>003</v>
      </c>
      <c r="E1800">
        <v>2018</v>
      </c>
      <c r="F1800">
        <v>115800</v>
      </c>
      <c r="G1800">
        <v>179000</v>
      </c>
      <c r="H1800">
        <v>63200</v>
      </c>
    </row>
    <row r="1801" spans="1:9" x14ac:dyDescent="0.25">
      <c r="A1801" t="str">
        <f>"38111"</f>
        <v>38111</v>
      </c>
      <c r="B1801" t="s">
        <v>35</v>
      </c>
      <c r="C1801" t="s">
        <v>799</v>
      </c>
      <c r="D1801" t="s">
        <v>13</v>
      </c>
      <c r="E1801" t="s">
        <v>14</v>
      </c>
      <c r="F1801" t="s">
        <v>15</v>
      </c>
      <c r="G1801" t="s">
        <v>15</v>
      </c>
      <c r="H1801" t="s">
        <v>15</v>
      </c>
      <c r="I1801" s="1">
        <v>37991200</v>
      </c>
    </row>
    <row r="1802" spans="1:9" x14ac:dyDescent="0.25">
      <c r="A1802" t="str">
        <f>"38121"</f>
        <v>38121</v>
      </c>
      <c r="B1802" t="s">
        <v>35</v>
      </c>
      <c r="C1802" t="s">
        <v>800</v>
      </c>
      <c r="D1802" t="str">
        <f>"001"</f>
        <v>001</v>
      </c>
      <c r="E1802">
        <v>2001</v>
      </c>
      <c r="F1802">
        <v>4285600</v>
      </c>
      <c r="G1802">
        <v>21621900</v>
      </c>
      <c r="H1802">
        <v>17336300</v>
      </c>
    </row>
    <row r="1803" spans="1:9" x14ac:dyDescent="0.25">
      <c r="A1803" t="str">
        <f>"38121"</f>
        <v>38121</v>
      </c>
      <c r="B1803" t="s">
        <v>35</v>
      </c>
      <c r="C1803" t="s">
        <v>800</v>
      </c>
      <c r="D1803" t="s">
        <v>13</v>
      </c>
      <c r="E1803" t="s">
        <v>14</v>
      </c>
      <c r="F1803" t="s">
        <v>15</v>
      </c>
      <c r="G1803" t="s">
        <v>15</v>
      </c>
      <c r="H1803" t="s">
        <v>15</v>
      </c>
      <c r="I1803" s="1">
        <v>61851000</v>
      </c>
    </row>
    <row r="1804" spans="1:9" x14ac:dyDescent="0.25">
      <c r="A1804" t="str">
        <f>"38171"</f>
        <v>38171</v>
      </c>
      <c r="B1804" t="s">
        <v>35</v>
      </c>
      <c r="C1804" t="s">
        <v>794</v>
      </c>
      <c r="D1804" t="str">
        <f>"001"</f>
        <v>001</v>
      </c>
      <c r="E1804">
        <v>2015</v>
      </c>
      <c r="F1804">
        <v>4100</v>
      </c>
      <c r="G1804">
        <v>543300</v>
      </c>
      <c r="H1804">
        <v>539200</v>
      </c>
    </row>
    <row r="1805" spans="1:9" x14ac:dyDescent="0.25">
      <c r="A1805" t="str">
        <f>"38171"</f>
        <v>38171</v>
      </c>
      <c r="B1805" t="s">
        <v>35</v>
      </c>
      <c r="C1805" t="s">
        <v>794</v>
      </c>
      <c r="D1805" t="s">
        <v>13</v>
      </c>
      <c r="E1805" t="s">
        <v>14</v>
      </c>
      <c r="F1805" t="s">
        <v>15</v>
      </c>
      <c r="G1805" t="s">
        <v>15</v>
      </c>
      <c r="H1805" t="s">
        <v>15</v>
      </c>
      <c r="I1805" s="1">
        <v>13780300</v>
      </c>
    </row>
    <row r="1806" spans="1:9" x14ac:dyDescent="0.25">
      <c r="A1806" t="str">
        <f>"38191"</f>
        <v>38191</v>
      </c>
      <c r="B1806" t="s">
        <v>35</v>
      </c>
      <c r="C1806" t="s">
        <v>798</v>
      </c>
      <c r="D1806" t="s">
        <v>13</v>
      </c>
      <c r="E1806" t="s">
        <v>14</v>
      </c>
      <c r="F1806" t="s">
        <v>15</v>
      </c>
      <c r="G1806" t="s">
        <v>15</v>
      </c>
      <c r="H1806" t="s">
        <v>15</v>
      </c>
      <c r="I1806" s="1">
        <v>26724400</v>
      </c>
    </row>
    <row r="1807" spans="1:9" x14ac:dyDescent="0.25">
      <c r="A1807" t="s">
        <v>32</v>
      </c>
      <c r="B1807" t="s">
        <v>37</v>
      </c>
      <c r="C1807" t="s">
        <v>34</v>
      </c>
      <c r="D1807" t="s">
        <v>13</v>
      </c>
      <c r="E1807" t="s">
        <v>14</v>
      </c>
      <c r="F1807" t="s">
        <v>15</v>
      </c>
      <c r="G1807" t="s">
        <v>15</v>
      </c>
      <c r="H1807" t="s">
        <v>15</v>
      </c>
      <c r="I1807" s="1">
        <v>140346900</v>
      </c>
    </row>
    <row r="1808" spans="1:9" x14ac:dyDescent="0.25">
      <c r="A1808" t="str">
        <f t="shared" ref="A1808:A1816" si="38">"38251"</f>
        <v>38251</v>
      </c>
      <c r="B1808" t="s">
        <v>38</v>
      </c>
      <c r="C1808" t="s">
        <v>801</v>
      </c>
      <c r="D1808" t="str">
        <f>"006"</f>
        <v>006</v>
      </c>
      <c r="E1808">
        <v>2002</v>
      </c>
      <c r="F1808">
        <v>323100</v>
      </c>
      <c r="G1808">
        <v>7550500</v>
      </c>
      <c r="H1808">
        <v>7227400</v>
      </c>
    </row>
    <row r="1809" spans="1:9" x14ac:dyDescent="0.25">
      <c r="A1809" t="str">
        <f t="shared" si="38"/>
        <v>38251</v>
      </c>
      <c r="B1809" t="s">
        <v>38</v>
      </c>
      <c r="C1809" t="s">
        <v>801</v>
      </c>
      <c r="D1809" t="str">
        <f>"007"</f>
        <v>007</v>
      </c>
      <c r="E1809">
        <v>2005</v>
      </c>
      <c r="F1809">
        <v>2893700</v>
      </c>
      <c r="G1809">
        <v>5442400</v>
      </c>
      <c r="H1809">
        <v>2548700</v>
      </c>
    </row>
    <row r="1810" spans="1:9" x14ac:dyDescent="0.25">
      <c r="A1810" t="str">
        <f t="shared" si="38"/>
        <v>38251</v>
      </c>
      <c r="B1810" t="s">
        <v>38</v>
      </c>
      <c r="C1810" t="s">
        <v>801</v>
      </c>
      <c r="D1810" t="str">
        <f>"008"</f>
        <v>008</v>
      </c>
      <c r="E1810">
        <v>2007</v>
      </c>
      <c r="F1810">
        <v>1434700</v>
      </c>
      <c r="G1810">
        <v>8193700</v>
      </c>
      <c r="H1810">
        <v>6759000</v>
      </c>
    </row>
    <row r="1811" spans="1:9" x14ac:dyDescent="0.25">
      <c r="A1811" t="str">
        <f t="shared" si="38"/>
        <v>38251</v>
      </c>
      <c r="B1811" t="s">
        <v>38</v>
      </c>
      <c r="C1811" t="s">
        <v>801</v>
      </c>
      <c r="D1811" t="str">
        <f>"009"</f>
        <v>009</v>
      </c>
      <c r="E1811">
        <v>2009</v>
      </c>
      <c r="F1811">
        <v>312900</v>
      </c>
      <c r="G1811">
        <v>1706200</v>
      </c>
      <c r="H1811">
        <v>1393300</v>
      </c>
    </row>
    <row r="1812" spans="1:9" x14ac:dyDescent="0.25">
      <c r="A1812" t="str">
        <f t="shared" si="38"/>
        <v>38251</v>
      </c>
      <c r="B1812" t="s">
        <v>38</v>
      </c>
      <c r="C1812" t="s">
        <v>801</v>
      </c>
      <c r="D1812" t="str">
        <f>"010"</f>
        <v>010</v>
      </c>
      <c r="E1812">
        <v>2010</v>
      </c>
      <c r="F1812">
        <v>3500500</v>
      </c>
      <c r="G1812">
        <v>13942800</v>
      </c>
      <c r="H1812">
        <v>10442300</v>
      </c>
    </row>
    <row r="1813" spans="1:9" x14ac:dyDescent="0.25">
      <c r="A1813" t="str">
        <f t="shared" si="38"/>
        <v>38251</v>
      </c>
      <c r="B1813" t="s">
        <v>38</v>
      </c>
      <c r="C1813" t="s">
        <v>801</v>
      </c>
      <c r="D1813" t="str">
        <f>"011"</f>
        <v>011</v>
      </c>
      <c r="E1813">
        <v>2011</v>
      </c>
      <c r="F1813">
        <v>15378700</v>
      </c>
      <c r="G1813">
        <v>32487800</v>
      </c>
      <c r="H1813">
        <v>17109100</v>
      </c>
    </row>
    <row r="1814" spans="1:9" x14ac:dyDescent="0.25">
      <c r="A1814" t="str">
        <f t="shared" si="38"/>
        <v>38251</v>
      </c>
      <c r="B1814" t="s">
        <v>38</v>
      </c>
      <c r="C1814" t="s">
        <v>801</v>
      </c>
      <c r="D1814" t="str">
        <f>"012"</f>
        <v>012</v>
      </c>
      <c r="E1814">
        <v>2012</v>
      </c>
      <c r="F1814">
        <v>1633900</v>
      </c>
      <c r="G1814">
        <v>3256200</v>
      </c>
      <c r="H1814">
        <v>1622300</v>
      </c>
    </row>
    <row r="1815" spans="1:9" x14ac:dyDescent="0.25">
      <c r="A1815" t="str">
        <f t="shared" si="38"/>
        <v>38251</v>
      </c>
      <c r="B1815" t="s">
        <v>38</v>
      </c>
      <c r="C1815" t="s">
        <v>801</v>
      </c>
      <c r="D1815" t="str">
        <f>"013"</f>
        <v>013</v>
      </c>
      <c r="E1815">
        <v>2016</v>
      </c>
      <c r="F1815">
        <v>4650700</v>
      </c>
      <c r="G1815">
        <v>15696400</v>
      </c>
      <c r="H1815">
        <v>11045700</v>
      </c>
    </row>
    <row r="1816" spans="1:9" x14ac:dyDescent="0.25">
      <c r="A1816" t="str">
        <f t="shared" si="38"/>
        <v>38251</v>
      </c>
      <c r="B1816" t="s">
        <v>38</v>
      </c>
      <c r="C1816" t="s">
        <v>801</v>
      </c>
      <c r="D1816" t="s">
        <v>13</v>
      </c>
      <c r="E1816" t="s">
        <v>14</v>
      </c>
      <c r="F1816" t="s">
        <v>15</v>
      </c>
      <c r="G1816" t="s">
        <v>15</v>
      </c>
      <c r="H1816" t="s">
        <v>15</v>
      </c>
      <c r="I1816" s="1">
        <v>698032000</v>
      </c>
    </row>
    <row r="1817" spans="1:9" x14ac:dyDescent="0.25">
      <c r="A1817" t="str">
        <f>"38261"</f>
        <v>38261</v>
      </c>
      <c r="B1817" t="s">
        <v>38</v>
      </c>
      <c r="C1817" t="s">
        <v>790</v>
      </c>
      <c r="D1817" t="str">
        <f>"001"</f>
        <v>001</v>
      </c>
      <c r="E1817">
        <v>1995</v>
      </c>
      <c r="F1817">
        <v>0</v>
      </c>
      <c r="G1817">
        <v>791500</v>
      </c>
      <c r="H1817">
        <v>791500</v>
      </c>
    </row>
    <row r="1818" spans="1:9" x14ac:dyDescent="0.25">
      <c r="A1818" t="str">
        <f>"38261"</f>
        <v>38261</v>
      </c>
      <c r="B1818" t="s">
        <v>38</v>
      </c>
      <c r="C1818" t="s">
        <v>790</v>
      </c>
      <c r="D1818" t="str">
        <f>"002"</f>
        <v>002</v>
      </c>
      <c r="E1818">
        <v>1998</v>
      </c>
      <c r="F1818">
        <v>28500</v>
      </c>
      <c r="G1818">
        <v>242700</v>
      </c>
      <c r="H1818">
        <v>214200</v>
      </c>
    </row>
    <row r="1819" spans="1:9" x14ac:dyDescent="0.25">
      <c r="A1819" t="str">
        <f>"38261"</f>
        <v>38261</v>
      </c>
      <c r="B1819" t="s">
        <v>38</v>
      </c>
      <c r="C1819" t="s">
        <v>790</v>
      </c>
      <c r="D1819" t="s">
        <v>13</v>
      </c>
      <c r="E1819" t="s">
        <v>14</v>
      </c>
      <c r="F1819" t="s">
        <v>15</v>
      </c>
      <c r="G1819" t="s">
        <v>15</v>
      </c>
      <c r="H1819" t="s">
        <v>15</v>
      </c>
      <c r="I1819" s="1">
        <v>69588300</v>
      </c>
    </row>
    <row r="1820" spans="1:9" x14ac:dyDescent="0.25">
      <c r="A1820" t="str">
        <f>"38271"</f>
        <v>38271</v>
      </c>
      <c r="B1820" t="s">
        <v>38</v>
      </c>
      <c r="C1820" t="s">
        <v>792</v>
      </c>
      <c r="D1820" t="s">
        <v>13</v>
      </c>
      <c r="E1820" t="s">
        <v>14</v>
      </c>
      <c r="F1820" t="s">
        <v>15</v>
      </c>
      <c r="G1820" t="s">
        <v>15</v>
      </c>
      <c r="H1820" t="s">
        <v>15</v>
      </c>
      <c r="I1820" s="1">
        <v>185949600</v>
      </c>
    </row>
    <row r="1821" spans="1:9" x14ac:dyDescent="0.25">
      <c r="A1821" t="s">
        <v>32</v>
      </c>
      <c r="B1821" t="s">
        <v>40</v>
      </c>
      <c r="C1821" t="s">
        <v>34</v>
      </c>
      <c r="D1821" t="s">
        <v>13</v>
      </c>
      <c r="E1821" t="s">
        <v>14</v>
      </c>
      <c r="F1821" t="s">
        <v>15</v>
      </c>
      <c r="G1821" t="s">
        <v>15</v>
      </c>
      <c r="H1821" t="s">
        <v>15</v>
      </c>
      <c r="I1821" s="1">
        <v>953569900</v>
      </c>
    </row>
    <row r="1822" spans="1:9" x14ac:dyDescent="0.25">
      <c r="A1822" t="s">
        <v>32</v>
      </c>
      <c r="B1822" t="s">
        <v>41</v>
      </c>
      <c r="C1822" t="s">
        <v>801</v>
      </c>
      <c r="D1822" t="s">
        <v>13</v>
      </c>
      <c r="E1822" t="s">
        <v>14</v>
      </c>
      <c r="F1822" t="s">
        <v>15</v>
      </c>
      <c r="G1822" t="s">
        <v>15</v>
      </c>
      <c r="H1822" t="s">
        <v>15</v>
      </c>
      <c r="I1822" s="1">
        <v>3919032900</v>
      </c>
    </row>
    <row r="1823" spans="1:9" x14ac:dyDescent="0.25">
      <c r="A1823" t="str">
        <f>"39002"</f>
        <v>39002</v>
      </c>
      <c r="B1823" t="s">
        <v>11</v>
      </c>
      <c r="C1823" t="s">
        <v>134</v>
      </c>
      <c r="D1823" t="s">
        <v>13</v>
      </c>
      <c r="E1823" t="s">
        <v>14</v>
      </c>
      <c r="F1823" t="s">
        <v>15</v>
      </c>
      <c r="G1823" t="s">
        <v>15</v>
      </c>
      <c r="H1823" t="s">
        <v>15</v>
      </c>
      <c r="I1823" s="1">
        <v>106549600</v>
      </c>
    </row>
    <row r="1824" spans="1:9" x14ac:dyDescent="0.25">
      <c r="A1824" t="str">
        <f>"39004"</f>
        <v>39004</v>
      </c>
      <c r="B1824" t="s">
        <v>11</v>
      </c>
      <c r="C1824" t="s">
        <v>64</v>
      </c>
      <c r="D1824" t="s">
        <v>13</v>
      </c>
      <c r="E1824" t="s">
        <v>14</v>
      </c>
      <c r="F1824" t="s">
        <v>15</v>
      </c>
      <c r="G1824" t="s">
        <v>15</v>
      </c>
      <c r="H1824" t="s">
        <v>15</v>
      </c>
      <c r="I1824" s="1">
        <v>124495300</v>
      </c>
    </row>
    <row r="1825" spans="1:9" x14ac:dyDescent="0.25">
      <c r="A1825" t="str">
        <f>"39006"</f>
        <v>39006</v>
      </c>
      <c r="B1825" t="s">
        <v>11</v>
      </c>
      <c r="C1825" t="s">
        <v>414</v>
      </c>
      <c r="D1825" t="s">
        <v>13</v>
      </c>
      <c r="E1825" t="s">
        <v>14</v>
      </c>
      <c r="F1825" t="s">
        <v>15</v>
      </c>
      <c r="G1825" t="s">
        <v>15</v>
      </c>
      <c r="H1825" t="s">
        <v>15</v>
      </c>
      <c r="I1825" s="1">
        <v>76557500</v>
      </c>
    </row>
    <row r="1826" spans="1:9" x14ac:dyDescent="0.25">
      <c r="A1826" t="str">
        <f>"39008"</f>
        <v>39008</v>
      </c>
      <c r="B1826" t="s">
        <v>11</v>
      </c>
      <c r="C1826" t="s">
        <v>802</v>
      </c>
      <c r="D1826" t="s">
        <v>13</v>
      </c>
      <c r="E1826" t="s">
        <v>14</v>
      </c>
      <c r="F1826" t="s">
        <v>15</v>
      </c>
      <c r="G1826" t="s">
        <v>15</v>
      </c>
      <c r="H1826" t="s">
        <v>15</v>
      </c>
      <c r="I1826" s="1">
        <v>76101700</v>
      </c>
    </row>
    <row r="1827" spans="1:9" x14ac:dyDescent="0.25">
      <c r="A1827" t="str">
        <f>"39010"</f>
        <v>39010</v>
      </c>
      <c r="B1827" t="s">
        <v>11</v>
      </c>
      <c r="C1827" t="s">
        <v>803</v>
      </c>
      <c r="D1827" t="s">
        <v>13</v>
      </c>
      <c r="E1827" t="s">
        <v>14</v>
      </c>
      <c r="F1827" t="s">
        <v>15</v>
      </c>
      <c r="G1827" t="s">
        <v>15</v>
      </c>
      <c r="H1827" t="s">
        <v>15</v>
      </c>
      <c r="I1827" s="1">
        <v>119523300</v>
      </c>
    </row>
    <row r="1828" spans="1:9" x14ac:dyDescent="0.25">
      <c r="A1828" t="str">
        <f>"39012"</f>
        <v>39012</v>
      </c>
      <c r="B1828" t="s">
        <v>11</v>
      </c>
      <c r="C1828" t="s">
        <v>804</v>
      </c>
      <c r="D1828" t="s">
        <v>13</v>
      </c>
      <c r="E1828" t="s">
        <v>14</v>
      </c>
      <c r="F1828" t="s">
        <v>15</v>
      </c>
      <c r="G1828" t="s">
        <v>15</v>
      </c>
      <c r="H1828" t="s">
        <v>15</v>
      </c>
      <c r="I1828" s="1">
        <v>151412700</v>
      </c>
    </row>
    <row r="1829" spans="1:9" x14ac:dyDescent="0.25">
      <c r="A1829" t="str">
        <f>"39014"</f>
        <v>39014</v>
      </c>
      <c r="B1829" t="s">
        <v>11</v>
      </c>
      <c r="C1829" t="s">
        <v>805</v>
      </c>
      <c r="D1829" t="s">
        <v>13</v>
      </c>
      <c r="E1829" t="s">
        <v>14</v>
      </c>
      <c r="F1829" t="s">
        <v>15</v>
      </c>
      <c r="G1829" t="s">
        <v>15</v>
      </c>
      <c r="H1829" t="s">
        <v>15</v>
      </c>
      <c r="I1829" s="1">
        <v>47213400</v>
      </c>
    </row>
    <row r="1830" spans="1:9" x14ac:dyDescent="0.25">
      <c r="A1830" t="str">
        <f>"39016"</f>
        <v>39016</v>
      </c>
      <c r="B1830" t="s">
        <v>11</v>
      </c>
      <c r="C1830" t="s">
        <v>806</v>
      </c>
      <c r="D1830" t="s">
        <v>13</v>
      </c>
      <c r="E1830" t="s">
        <v>14</v>
      </c>
      <c r="F1830" t="s">
        <v>15</v>
      </c>
      <c r="G1830" t="s">
        <v>15</v>
      </c>
      <c r="H1830" t="s">
        <v>15</v>
      </c>
      <c r="I1830" s="1">
        <v>92008000</v>
      </c>
    </row>
    <row r="1831" spans="1:9" x14ac:dyDescent="0.25">
      <c r="A1831" t="str">
        <f>"39018"</f>
        <v>39018</v>
      </c>
      <c r="B1831" t="s">
        <v>11</v>
      </c>
      <c r="C1831" t="s">
        <v>728</v>
      </c>
      <c r="D1831" t="s">
        <v>13</v>
      </c>
      <c r="E1831" t="s">
        <v>14</v>
      </c>
      <c r="F1831" t="s">
        <v>15</v>
      </c>
      <c r="G1831" t="s">
        <v>15</v>
      </c>
      <c r="H1831" t="s">
        <v>15</v>
      </c>
      <c r="I1831" s="1">
        <v>69393500</v>
      </c>
    </row>
    <row r="1832" spans="1:9" x14ac:dyDescent="0.25">
      <c r="A1832" t="str">
        <f>"39020"</f>
        <v>39020</v>
      </c>
      <c r="B1832" t="s">
        <v>11</v>
      </c>
      <c r="C1832" t="s">
        <v>807</v>
      </c>
      <c r="D1832" t="s">
        <v>13</v>
      </c>
      <c r="E1832" t="s">
        <v>14</v>
      </c>
      <c r="F1832" t="s">
        <v>15</v>
      </c>
      <c r="G1832" t="s">
        <v>15</v>
      </c>
      <c r="H1832" t="s">
        <v>15</v>
      </c>
      <c r="I1832" s="1">
        <v>117660700</v>
      </c>
    </row>
    <row r="1833" spans="1:9" x14ac:dyDescent="0.25">
      <c r="A1833" t="str">
        <f>"39022"</f>
        <v>39022</v>
      </c>
      <c r="B1833" t="s">
        <v>11</v>
      </c>
      <c r="C1833" t="s">
        <v>808</v>
      </c>
      <c r="D1833" t="s">
        <v>13</v>
      </c>
      <c r="E1833" t="s">
        <v>14</v>
      </c>
      <c r="F1833" t="s">
        <v>15</v>
      </c>
      <c r="G1833" t="s">
        <v>15</v>
      </c>
      <c r="H1833" t="s">
        <v>15</v>
      </c>
      <c r="I1833" s="1">
        <v>154545300</v>
      </c>
    </row>
    <row r="1834" spans="1:9" x14ac:dyDescent="0.25">
      <c r="A1834" t="str">
        <f>"39024"</f>
        <v>39024</v>
      </c>
      <c r="B1834" t="s">
        <v>11</v>
      </c>
      <c r="C1834" t="s">
        <v>366</v>
      </c>
      <c r="D1834" t="s">
        <v>13</v>
      </c>
      <c r="E1834" t="s">
        <v>14</v>
      </c>
      <c r="F1834" t="s">
        <v>15</v>
      </c>
      <c r="G1834" t="s">
        <v>15</v>
      </c>
      <c r="H1834" t="s">
        <v>15</v>
      </c>
      <c r="I1834" s="1">
        <v>58555800</v>
      </c>
    </row>
    <row r="1835" spans="1:9" x14ac:dyDescent="0.25">
      <c r="A1835" t="str">
        <f>"39026"</f>
        <v>39026</v>
      </c>
      <c r="B1835" t="s">
        <v>11</v>
      </c>
      <c r="C1835" t="s">
        <v>327</v>
      </c>
      <c r="D1835" t="s">
        <v>13</v>
      </c>
      <c r="E1835" t="s">
        <v>14</v>
      </c>
      <c r="F1835" t="s">
        <v>15</v>
      </c>
      <c r="G1835" t="s">
        <v>15</v>
      </c>
      <c r="H1835" t="s">
        <v>15</v>
      </c>
      <c r="I1835" s="1">
        <v>145704600</v>
      </c>
    </row>
    <row r="1836" spans="1:9" x14ac:dyDescent="0.25">
      <c r="A1836" t="str">
        <f>"39028"</f>
        <v>39028</v>
      </c>
      <c r="B1836" t="s">
        <v>11</v>
      </c>
      <c r="C1836" t="s">
        <v>809</v>
      </c>
      <c r="D1836" t="s">
        <v>13</v>
      </c>
      <c r="E1836" t="s">
        <v>14</v>
      </c>
      <c r="F1836" t="s">
        <v>15</v>
      </c>
      <c r="G1836" t="s">
        <v>15</v>
      </c>
      <c r="H1836" t="s">
        <v>15</v>
      </c>
      <c r="I1836" s="1">
        <v>110977500</v>
      </c>
    </row>
    <row r="1837" spans="1:9" x14ac:dyDescent="0.25">
      <c r="A1837" t="s">
        <v>32</v>
      </c>
      <c r="B1837" t="s">
        <v>33</v>
      </c>
      <c r="C1837" t="s">
        <v>34</v>
      </c>
      <c r="D1837" t="s">
        <v>13</v>
      </c>
      <c r="E1837" t="s">
        <v>14</v>
      </c>
      <c r="F1837" t="s">
        <v>15</v>
      </c>
      <c r="G1837" t="s">
        <v>15</v>
      </c>
      <c r="H1837" t="s">
        <v>15</v>
      </c>
      <c r="I1837" s="1">
        <v>1450698900</v>
      </c>
    </row>
    <row r="1838" spans="1:9" x14ac:dyDescent="0.25">
      <c r="A1838" t="str">
        <f>"39121"</f>
        <v>39121</v>
      </c>
      <c r="B1838" t="s">
        <v>35</v>
      </c>
      <c r="C1838" t="s">
        <v>810</v>
      </c>
      <c r="D1838" t="str">
        <f>"001"</f>
        <v>001</v>
      </c>
      <c r="E1838">
        <v>1993</v>
      </c>
      <c r="F1838">
        <v>1159900</v>
      </c>
      <c r="G1838">
        <v>6084600</v>
      </c>
      <c r="H1838">
        <v>4924700</v>
      </c>
    </row>
    <row r="1839" spans="1:9" x14ac:dyDescent="0.25">
      <c r="A1839" t="str">
        <f>"39121"</f>
        <v>39121</v>
      </c>
      <c r="B1839" t="s">
        <v>35</v>
      </c>
      <c r="C1839" t="s">
        <v>810</v>
      </c>
      <c r="D1839" t="s">
        <v>13</v>
      </c>
      <c r="E1839" t="s">
        <v>14</v>
      </c>
      <c r="F1839" t="s">
        <v>15</v>
      </c>
      <c r="G1839" t="s">
        <v>15</v>
      </c>
      <c r="H1839" t="s">
        <v>15</v>
      </c>
      <c r="I1839" s="1">
        <v>14427200</v>
      </c>
    </row>
    <row r="1840" spans="1:9" x14ac:dyDescent="0.25">
      <c r="A1840" t="str">
        <f>"39161"</f>
        <v>39161</v>
      </c>
      <c r="B1840" t="s">
        <v>35</v>
      </c>
      <c r="C1840" t="s">
        <v>806</v>
      </c>
      <c r="D1840" t="s">
        <v>13</v>
      </c>
      <c r="E1840" t="s">
        <v>14</v>
      </c>
      <c r="F1840" t="s">
        <v>15</v>
      </c>
      <c r="G1840" t="s">
        <v>15</v>
      </c>
      <c r="H1840" t="s">
        <v>15</v>
      </c>
      <c r="I1840" s="1">
        <v>22888400</v>
      </c>
    </row>
    <row r="1841" spans="1:9" x14ac:dyDescent="0.25">
      <c r="A1841" t="str">
        <f>"39165"</f>
        <v>39165</v>
      </c>
      <c r="B1841" t="s">
        <v>35</v>
      </c>
      <c r="C1841" t="s">
        <v>807</v>
      </c>
      <c r="D1841" t="s">
        <v>13</v>
      </c>
      <c r="E1841" t="s">
        <v>14</v>
      </c>
      <c r="F1841" t="s">
        <v>15</v>
      </c>
      <c r="G1841" t="s">
        <v>15</v>
      </c>
      <c r="H1841" t="s">
        <v>15</v>
      </c>
      <c r="I1841" s="1">
        <v>27437500</v>
      </c>
    </row>
    <row r="1842" spans="1:9" x14ac:dyDescent="0.25">
      <c r="A1842" t="str">
        <f>"39191"</f>
        <v>39191</v>
      </c>
      <c r="B1842" t="s">
        <v>35</v>
      </c>
      <c r="C1842" t="s">
        <v>809</v>
      </c>
      <c r="D1842" t="str">
        <f>"001"</f>
        <v>001</v>
      </c>
      <c r="E1842">
        <v>1993</v>
      </c>
      <c r="F1842">
        <v>2748500</v>
      </c>
      <c r="G1842">
        <v>12519100</v>
      </c>
      <c r="H1842">
        <v>9770600</v>
      </c>
    </row>
    <row r="1843" spans="1:9" x14ac:dyDescent="0.25">
      <c r="A1843" t="str">
        <f>"39191"</f>
        <v>39191</v>
      </c>
      <c r="B1843" t="s">
        <v>35</v>
      </c>
      <c r="C1843" t="s">
        <v>809</v>
      </c>
      <c r="D1843" t="s">
        <v>13</v>
      </c>
      <c r="E1843" t="s">
        <v>14</v>
      </c>
      <c r="F1843" t="s">
        <v>15</v>
      </c>
      <c r="G1843" t="s">
        <v>15</v>
      </c>
      <c r="H1843" t="s">
        <v>15</v>
      </c>
      <c r="I1843" s="1">
        <v>50842300</v>
      </c>
    </row>
    <row r="1844" spans="1:9" x14ac:dyDescent="0.25">
      <c r="A1844" t="s">
        <v>32</v>
      </c>
      <c r="B1844" t="s">
        <v>37</v>
      </c>
      <c r="C1844" t="s">
        <v>34</v>
      </c>
      <c r="D1844" t="s">
        <v>13</v>
      </c>
      <c r="E1844" t="s">
        <v>14</v>
      </c>
      <c r="F1844" t="s">
        <v>15</v>
      </c>
      <c r="G1844" t="s">
        <v>15</v>
      </c>
      <c r="H1844" t="s">
        <v>15</v>
      </c>
      <c r="I1844" s="1">
        <v>115595400</v>
      </c>
    </row>
    <row r="1845" spans="1:9" x14ac:dyDescent="0.25">
      <c r="A1845" t="str">
        <f>"39251"</f>
        <v>39251</v>
      </c>
      <c r="B1845" t="s">
        <v>38</v>
      </c>
      <c r="C1845" t="s">
        <v>804</v>
      </c>
      <c r="D1845" t="s">
        <v>13</v>
      </c>
      <c r="E1845" t="s">
        <v>14</v>
      </c>
      <c r="F1845" t="s">
        <v>15</v>
      </c>
      <c r="G1845" t="s">
        <v>15</v>
      </c>
      <c r="H1845" t="s">
        <v>15</v>
      </c>
      <c r="I1845" s="1">
        <v>88524200</v>
      </c>
    </row>
    <row r="1846" spans="1:9" x14ac:dyDescent="0.25">
      <c r="A1846" t="s">
        <v>32</v>
      </c>
      <c r="B1846" t="s">
        <v>40</v>
      </c>
      <c r="C1846" t="s">
        <v>34</v>
      </c>
      <c r="D1846" t="s">
        <v>13</v>
      </c>
      <c r="E1846" t="s">
        <v>14</v>
      </c>
      <c r="F1846" t="s">
        <v>15</v>
      </c>
      <c r="G1846" t="s">
        <v>15</v>
      </c>
      <c r="H1846" t="s">
        <v>15</v>
      </c>
      <c r="I1846" s="1">
        <v>88524200</v>
      </c>
    </row>
    <row r="1847" spans="1:9" x14ac:dyDescent="0.25">
      <c r="A1847" t="s">
        <v>32</v>
      </c>
      <c r="B1847" t="s">
        <v>41</v>
      </c>
      <c r="C1847" t="s">
        <v>552</v>
      </c>
      <c r="D1847" t="s">
        <v>13</v>
      </c>
      <c r="E1847" t="s">
        <v>14</v>
      </c>
      <c r="F1847" t="s">
        <v>15</v>
      </c>
      <c r="G1847" t="s">
        <v>15</v>
      </c>
      <c r="H1847" t="s">
        <v>15</v>
      </c>
      <c r="I1847" s="1">
        <v>1654818500</v>
      </c>
    </row>
    <row r="1848" spans="1:9" x14ac:dyDescent="0.25">
      <c r="A1848" t="str">
        <f>"40106"</f>
        <v>40106</v>
      </c>
      <c r="B1848" t="s">
        <v>35</v>
      </c>
      <c r="C1848" t="s">
        <v>811</v>
      </c>
      <c r="D1848" t="s">
        <v>13</v>
      </c>
      <c r="E1848" t="s">
        <v>14</v>
      </c>
      <c r="F1848" t="s">
        <v>15</v>
      </c>
      <c r="G1848" t="s">
        <v>15</v>
      </c>
      <c r="H1848" t="s">
        <v>15</v>
      </c>
      <c r="I1848" s="1">
        <v>647585100</v>
      </c>
    </row>
    <row r="1849" spans="1:9" x14ac:dyDescent="0.25">
      <c r="A1849" t="str">
        <f>"40107"</f>
        <v>40107</v>
      </c>
      <c r="B1849" t="s">
        <v>35</v>
      </c>
      <c r="C1849" t="s">
        <v>812</v>
      </c>
      <c r="D1849" t="str">
        <f>"002"</f>
        <v>002</v>
      </c>
      <c r="E1849">
        <v>1995</v>
      </c>
      <c r="F1849">
        <v>11979900</v>
      </c>
      <c r="G1849">
        <v>38453700</v>
      </c>
      <c r="H1849">
        <v>26473800</v>
      </c>
    </row>
    <row r="1850" spans="1:9" x14ac:dyDescent="0.25">
      <c r="A1850" t="str">
        <f>"40107"</f>
        <v>40107</v>
      </c>
      <c r="B1850" t="s">
        <v>35</v>
      </c>
      <c r="C1850" t="s">
        <v>812</v>
      </c>
      <c r="D1850" t="str">
        <f>"003"</f>
        <v>003</v>
      </c>
      <c r="E1850">
        <v>2005</v>
      </c>
      <c r="F1850">
        <v>22968900</v>
      </c>
      <c r="G1850">
        <v>48774300</v>
      </c>
      <c r="H1850">
        <v>25805400</v>
      </c>
    </row>
    <row r="1851" spans="1:9" x14ac:dyDescent="0.25">
      <c r="A1851" t="str">
        <f>"40107"</f>
        <v>40107</v>
      </c>
      <c r="B1851" t="s">
        <v>35</v>
      </c>
      <c r="C1851" t="s">
        <v>812</v>
      </c>
      <c r="D1851" t="str">
        <f>"004"</f>
        <v>004</v>
      </c>
      <c r="E1851">
        <v>2005</v>
      </c>
      <c r="F1851">
        <v>19798600</v>
      </c>
      <c r="G1851">
        <v>19367500</v>
      </c>
      <c r="H1851">
        <v>0</v>
      </c>
    </row>
    <row r="1852" spans="1:9" x14ac:dyDescent="0.25">
      <c r="A1852" t="str">
        <f>"40107"</f>
        <v>40107</v>
      </c>
      <c r="B1852" t="s">
        <v>35</v>
      </c>
      <c r="C1852" t="s">
        <v>812</v>
      </c>
      <c r="D1852" t="s">
        <v>13</v>
      </c>
      <c r="E1852" t="s">
        <v>14</v>
      </c>
      <c r="F1852" t="s">
        <v>15</v>
      </c>
      <c r="G1852" t="s">
        <v>15</v>
      </c>
      <c r="H1852" t="s">
        <v>15</v>
      </c>
      <c r="I1852" s="1">
        <v>953601200</v>
      </c>
    </row>
    <row r="1853" spans="1:9" x14ac:dyDescent="0.25">
      <c r="A1853" t="str">
        <f>"40126"</f>
        <v>40126</v>
      </c>
      <c r="B1853" t="s">
        <v>35</v>
      </c>
      <c r="C1853" t="s">
        <v>813</v>
      </c>
      <c r="D1853" t="s">
        <v>13</v>
      </c>
      <c r="E1853" t="s">
        <v>14</v>
      </c>
      <c r="F1853" t="s">
        <v>15</v>
      </c>
      <c r="G1853" t="s">
        <v>15</v>
      </c>
      <c r="H1853" t="s">
        <v>15</v>
      </c>
      <c r="I1853" s="1">
        <v>1221306000</v>
      </c>
    </row>
    <row r="1854" spans="1:9" x14ac:dyDescent="0.25">
      <c r="A1854" t="str">
        <f t="shared" ref="A1854:A1859" si="39">"40131"</f>
        <v>40131</v>
      </c>
      <c r="B1854" t="s">
        <v>35</v>
      </c>
      <c r="C1854" t="s">
        <v>814</v>
      </c>
      <c r="D1854" t="str">
        <f>"001"</f>
        <v>001</v>
      </c>
      <c r="E1854">
        <v>2010</v>
      </c>
      <c r="F1854">
        <v>623100</v>
      </c>
      <c r="G1854">
        <v>11686400</v>
      </c>
      <c r="H1854">
        <v>11063300</v>
      </c>
    </row>
    <row r="1855" spans="1:9" x14ac:dyDescent="0.25">
      <c r="A1855" t="str">
        <f t="shared" si="39"/>
        <v>40131</v>
      </c>
      <c r="B1855" t="s">
        <v>35</v>
      </c>
      <c r="C1855" t="s">
        <v>814</v>
      </c>
      <c r="D1855" t="str">
        <f>"002"</f>
        <v>002</v>
      </c>
      <c r="E1855">
        <v>2011</v>
      </c>
      <c r="F1855">
        <v>105493100</v>
      </c>
      <c r="G1855">
        <v>188290000</v>
      </c>
      <c r="H1855">
        <v>82796900</v>
      </c>
    </row>
    <row r="1856" spans="1:9" x14ac:dyDescent="0.25">
      <c r="A1856" t="str">
        <f t="shared" si="39"/>
        <v>40131</v>
      </c>
      <c r="B1856" t="s">
        <v>35</v>
      </c>
      <c r="C1856" t="s">
        <v>814</v>
      </c>
      <c r="D1856" t="str">
        <f>"003"</f>
        <v>003</v>
      </c>
      <c r="E1856">
        <v>2011</v>
      </c>
      <c r="F1856">
        <v>6500900</v>
      </c>
      <c r="G1856">
        <v>17100000</v>
      </c>
      <c r="H1856">
        <v>10599100</v>
      </c>
    </row>
    <row r="1857" spans="1:9" x14ac:dyDescent="0.25">
      <c r="A1857" t="str">
        <f t="shared" si="39"/>
        <v>40131</v>
      </c>
      <c r="B1857" t="s">
        <v>35</v>
      </c>
      <c r="C1857" t="s">
        <v>814</v>
      </c>
      <c r="D1857" t="str">
        <f>"004"</f>
        <v>004</v>
      </c>
      <c r="E1857">
        <v>2016</v>
      </c>
      <c r="F1857">
        <v>7476800</v>
      </c>
      <c r="G1857">
        <v>31323500</v>
      </c>
      <c r="H1857">
        <v>23846700</v>
      </c>
    </row>
    <row r="1858" spans="1:9" x14ac:dyDescent="0.25">
      <c r="A1858" t="str">
        <f t="shared" si="39"/>
        <v>40131</v>
      </c>
      <c r="B1858" t="s">
        <v>35</v>
      </c>
      <c r="C1858" t="s">
        <v>814</v>
      </c>
      <c r="D1858" t="str">
        <f>"005"</f>
        <v>005</v>
      </c>
      <c r="E1858">
        <v>2018</v>
      </c>
      <c r="F1858">
        <v>5149200</v>
      </c>
      <c r="G1858">
        <v>12012100</v>
      </c>
      <c r="H1858">
        <v>6862900</v>
      </c>
    </row>
    <row r="1859" spans="1:9" x14ac:dyDescent="0.25">
      <c r="A1859" t="str">
        <f t="shared" si="39"/>
        <v>40131</v>
      </c>
      <c r="B1859" t="s">
        <v>35</v>
      </c>
      <c r="C1859" t="s">
        <v>814</v>
      </c>
      <c r="D1859" t="s">
        <v>13</v>
      </c>
      <c r="E1859" t="s">
        <v>14</v>
      </c>
      <c r="F1859" t="s">
        <v>15</v>
      </c>
      <c r="G1859" t="s">
        <v>15</v>
      </c>
      <c r="H1859" t="s">
        <v>15</v>
      </c>
      <c r="I1859" s="1">
        <v>1433099100</v>
      </c>
    </row>
    <row r="1860" spans="1:9" x14ac:dyDescent="0.25">
      <c r="A1860" t="str">
        <f>"40136"</f>
        <v>40136</v>
      </c>
      <c r="B1860" t="s">
        <v>35</v>
      </c>
      <c r="C1860" t="s">
        <v>815</v>
      </c>
      <c r="D1860" t="str">
        <f>"003"</f>
        <v>003</v>
      </c>
      <c r="E1860">
        <v>2008</v>
      </c>
      <c r="F1860">
        <v>6149800</v>
      </c>
      <c r="G1860">
        <v>10014400</v>
      </c>
      <c r="H1860">
        <v>3864600</v>
      </c>
    </row>
    <row r="1861" spans="1:9" x14ac:dyDescent="0.25">
      <c r="A1861" t="str">
        <f>"40136"</f>
        <v>40136</v>
      </c>
      <c r="B1861" t="s">
        <v>35</v>
      </c>
      <c r="C1861" t="s">
        <v>815</v>
      </c>
      <c r="D1861" t="str">
        <f>"004"</f>
        <v>004</v>
      </c>
      <c r="E1861">
        <v>2016</v>
      </c>
      <c r="F1861">
        <v>11977200</v>
      </c>
      <c r="G1861">
        <v>16225000</v>
      </c>
      <c r="H1861">
        <v>4247800</v>
      </c>
    </row>
    <row r="1862" spans="1:9" x14ac:dyDescent="0.25">
      <c r="A1862" t="str">
        <f>"40136"</f>
        <v>40136</v>
      </c>
      <c r="B1862" t="s">
        <v>35</v>
      </c>
      <c r="C1862" t="s">
        <v>815</v>
      </c>
      <c r="D1862" t="s">
        <v>13</v>
      </c>
      <c r="E1862" t="s">
        <v>14</v>
      </c>
      <c r="F1862" t="s">
        <v>15</v>
      </c>
      <c r="G1862" t="s">
        <v>15</v>
      </c>
      <c r="H1862" t="s">
        <v>15</v>
      </c>
      <c r="I1862" s="1">
        <v>719639200</v>
      </c>
    </row>
    <row r="1863" spans="1:9" x14ac:dyDescent="0.25">
      <c r="A1863" t="str">
        <f>"40176"</f>
        <v>40176</v>
      </c>
      <c r="B1863" t="s">
        <v>35</v>
      </c>
      <c r="C1863" t="s">
        <v>816</v>
      </c>
      <c r="D1863" t="s">
        <v>13</v>
      </c>
      <c r="E1863" t="s">
        <v>14</v>
      </c>
      <c r="F1863" t="s">
        <v>15</v>
      </c>
      <c r="G1863" t="s">
        <v>15</v>
      </c>
      <c r="H1863" t="s">
        <v>15</v>
      </c>
      <c r="I1863" s="1">
        <v>466252700</v>
      </c>
    </row>
    <row r="1864" spans="1:9" x14ac:dyDescent="0.25">
      <c r="A1864" t="str">
        <f>"40181"</f>
        <v>40181</v>
      </c>
      <c r="B1864" t="s">
        <v>35</v>
      </c>
      <c r="C1864" t="s">
        <v>817</v>
      </c>
      <c r="D1864" t="str">
        <f>"001"</f>
        <v>001</v>
      </c>
      <c r="E1864">
        <v>1995</v>
      </c>
      <c r="F1864">
        <v>139131300</v>
      </c>
      <c r="G1864">
        <v>208606600</v>
      </c>
      <c r="H1864">
        <v>69475300</v>
      </c>
    </row>
    <row r="1865" spans="1:9" x14ac:dyDescent="0.25">
      <c r="A1865" t="str">
        <f>"40181"</f>
        <v>40181</v>
      </c>
      <c r="B1865" t="s">
        <v>35</v>
      </c>
      <c r="C1865" t="s">
        <v>817</v>
      </c>
      <c r="D1865" t="str">
        <f>"003"</f>
        <v>003</v>
      </c>
      <c r="E1865">
        <v>2008</v>
      </c>
      <c r="F1865">
        <v>7748400</v>
      </c>
      <c r="G1865">
        <v>35435000</v>
      </c>
      <c r="H1865">
        <v>27686600</v>
      </c>
    </row>
    <row r="1866" spans="1:9" x14ac:dyDescent="0.25">
      <c r="A1866" t="str">
        <f>"40181"</f>
        <v>40181</v>
      </c>
      <c r="B1866" t="s">
        <v>35</v>
      </c>
      <c r="C1866" t="s">
        <v>817</v>
      </c>
      <c r="D1866" t="str">
        <f>"004"</f>
        <v>004</v>
      </c>
      <c r="E1866">
        <v>2011</v>
      </c>
      <c r="F1866">
        <v>1195400</v>
      </c>
      <c r="G1866">
        <v>19024500</v>
      </c>
      <c r="H1866">
        <v>17829100</v>
      </c>
    </row>
    <row r="1867" spans="1:9" x14ac:dyDescent="0.25">
      <c r="A1867" t="str">
        <f>"40181"</f>
        <v>40181</v>
      </c>
      <c r="B1867" t="s">
        <v>35</v>
      </c>
      <c r="C1867" t="s">
        <v>817</v>
      </c>
      <c r="D1867" t="str">
        <f>"005"</f>
        <v>005</v>
      </c>
      <c r="E1867">
        <v>2014</v>
      </c>
      <c r="F1867">
        <v>8085800</v>
      </c>
      <c r="G1867">
        <v>55073400</v>
      </c>
      <c r="H1867">
        <v>46987600</v>
      </c>
    </row>
    <row r="1868" spans="1:9" x14ac:dyDescent="0.25">
      <c r="A1868" t="str">
        <f>"40181"</f>
        <v>40181</v>
      </c>
      <c r="B1868" t="s">
        <v>35</v>
      </c>
      <c r="C1868" t="s">
        <v>817</v>
      </c>
      <c r="D1868" t="s">
        <v>13</v>
      </c>
      <c r="E1868" t="s">
        <v>14</v>
      </c>
      <c r="F1868" t="s">
        <v>15</v>
      </c>
      <c r="G1868" t="s">
        <v>15</v>
      </c>
      <c r="H1868" t="s">
        <v>15</v>
      </c>
      <c r="I1868" s="1">
        <v>1593243800</v>
      </c>
    </row>
    <row r="1869" spans="1:9" x14ac:dyDescent="0.25">
      <c r="A1869" t="str">
        <f>"40191"</f>
        <v>40191</v>
      </c>
      <c r="B1869" t="s">
        <v>35</v>
      </c>
      <c r="C1869" t="s">
        <v>818</v>
      </c>
      <c r="D1869" t="str">
        <f>"001E"</f>
        <v>001E</v>
      </c>
      <c r="E1869">
        <v>2016</v>
      </c>
      <c r="F1869">
        <v>833100</v>
      </c>
      <c r="G1869">
        <v>7316800</v>
      </c>
      <c r="H1869">
        <v>6483700</v>
      </c>
    </row>
    <row r="1870" spans="1:9" x14ac:dyDescent="0.25">
      <c r="A1870" t="str">
        <f>"40191"</f>
        <v>40191</v>
      </c>
      <c r="B1870" t="s">
        <v>35</v>
      </c>
      <c r="C1870" t="s">
        <v>818</v>
      </c>
      <c r="D1870" t="str">
        <f>"002"</f>
        <v>002</v>
      </c>
      <c r="E1870">
        <v>2001</v>
      </c>
      <c r="F1870">
        <v>17674700</v>
      </c>
      <c r="G1870">
        <v>94135300</v>
      </c>
      <c r="H1870">
        <v>76460600</v>
      </c>
    </row>
    <row r="1871" spans="1:9" x14ac:dyDescent="0.25">
      <c r="A1871" t="str">
        <f>"40191"</f>
        <v>40191</v>
      </c>
      <c r="B1871" t="s">
        <v>35</v>
      </c>
      <c r="C1871" t="s">
        <v>818</v>
      </c>
      <c r="D1871" t="str">
        <f>"003"</f>
        <v>003</v>
      </c>
      <c r="E1871">
        <v>2003</v>
      </c>
      <c r="F1871">
        <v>167200</v>
      </c>
      <c r="G1871">
        <v>2374800</v>
      </c>
      <c r="H1871">
        <v>2207600</v>
      </c>
    </row>
    <row r="1872" spans="1:9" x14ac:dyDescent="0.25">
      <c r="A1872" t="str">
        <f>"40191"</f>
        <v>40191</v>
      </c>
      <c r="B1872" t="s">
        <v>35</v>
      </c>
      <c r="C1872" t="s">
        <v>818</v>
      </c>
      <c r="D1872" t="s">
        <v>13</v>
      </c>
      <c r="E1872" t="s">
        <v>14</v>
      </c>
      <c r="F1872" t="s">
        <v>15</v>
      </c>
      <c r="G1872" t="s">
        <v>15</v>
      </c>
      <c r="H1872" t="s">
        <v>15</v>
      </c>
      <c r="I1872" s="1">
        <v>290829000</v>
      </c>
    </row>
    <row r="1873" spans="1:9" x14ac:dyDescent="0.25">
      <c r="A1873" t="str">
        <f>"40192"</f>
        <v>40192</v>
      </c>
      <c r="B1873" t="s">
        <v>35</v>
      </c>
      <c r="C1873" t="s">
        <v>819</v>
      </c>
      <c r="D1873" t="str">
        <f>"001"</f>
        <v>001</v>
      </c>
      <c r="E1873">
        <v>2004</v>
      </c>
      <c r="F1873">
        <v>38403700</v>
      </c>
      <c r="G1873">
        <v>61604300</v>
      </c>
      <c r="H1873">
        <v>23200600</v>
      </c>
    </row>
    <row r="1874" spans="1:9" x14ac:dyDescent="0.25">
      <c r="A1874" t="str">
        <f>"40192"</f>
        <v>40192</v>
      </c>
      <c r="B1874" t="s">
        <v>35</v>
      </c>
      <c r="C1874" t="s">
        <v>819</v>
      </c>
      <c r="D1874" t="str">
        <f>"002"</f>
        <v>002</v>
      </c>
      <c r="E1874">
        <v>2013</v>
      </c>
      <c r="F1874">
        <v>405600</v>
      </c>
      <c r="G1874">
        <v>16522100</v>
      </c>
      <c r="H1874">
        <v>16116500</v>
      </c>
    </row>
    <row r="1875" spans="1:9" x14ac:dyDescent="0.25">
      <c r="A1875" t="str">
        <f>"40192"</f>
        <v>40192</v>
      </c>
      <c r="B1875" t="s">
        <v>35</v>
      </c>
      <c r="C1875" t="s">
        <v>819</v>
      </c>
      <c r="D1875" t="s">
        <v>13</v>
      </c>
      <c r="E1875" t="s">
        <v>14</v>
      </c>
      <c r="F1875" t="s">
        <v>15</v>
      </c>
      <c r="G1875" t="s">
        <v>15</v>
      </c>
      <c r="H1875" t="s">
        <v>15</v>
      </c>
      <c r="I1875" s="1">
        <v>2368875100</v>
      </c>
    </row>
    <row r="1876" spans="1:9" x14ac:dyDescent="0.25">
      <c r="A1876" t="s">
        <v>32</v>
      </c>
      <c r="B1876" t="s">
        <v>37</v>
      </c>
      <c r="C1876" t="s">
        <v>34</v>
      </c>
      <c r="D1876" t="s">
        <v>13</v>
      </c>
      <c r="E1876" t="s">
        <v>14</v>
      </c>
      <c r="F1876" t="s">
        <v>15</v>
      </c>
      <c r="G1876" t="s">
        <v>15</v>
      </c>
      <c r="H1876" t="s">
        <v>15</v>
      </c>
      <c r="I1876" s="1">
        <v>9694431200</v>
      </c>
    </row>
    <row r="1877" spans="1:9" x14ac:dyDescent="0.25">
      <c r="A1877" t="str">
        <f>"40211"</f>
        <v>40211</v>
      </c>
      <c r="B1877" t="s">
        <v>38</v>
      </c>
      <c r="C1877" t="s">
        <v>820</v>
      </c>
      <c r="D1877" t="str">
        <f>"001"</f>
        <v>001</v>
      </c>
      <c r="E1877">
        <v>1994</v>
      </c>
      <c r="F1877">
        <v>72824500</v>
      </c>
      <c r="G1877">
        <v>263377100</v>
      </c>
      <c r="H1877">
        <v>190552600</v>
      </c>
    </row>
    <row r="1878" spans="1:9" x14ac:dyDescent="0.25">
      <c r="A1878" t="str">
        <f>"40211"</f>
        <v>40211</v>
      </c>
      <c r="B1878" t="s">
        <v>38</v>
      </c>
      <c r="C1878" t="s">
        <v>820</v>
      </c>
      <c r="D1878" t="str">
        <f>"001E"</f>
        <v>001E</v>
      </c>
      <c r="E1878">
        <v>2003</v>
      </c>
      <c r="F1878">
        <v>972600</v>
      </c>
      <c r="G1878">
        <v>11424400</v>
      </c>
      <c r="H1878">
        <v>10451800</v>
      </c>
    </row>
    <row r="1879" spans="1:9" x14ac:dyDescent="0.25">
      <c r="A1879" t="str">
        <f>"40211"</f>
        <v>40211</v>
      </c>
      <c r="B1879" t="s">
        <v>38</v>
      </c>
      <c r="C1879" t="s">
        <v>820</v>
      </c>
      <c r="D1879" t="str">
        <f>"002E"</f>
        <v>002E</v>
      </c>
      <c r="E1879">
        <v>2010</v>
      </c>
      <c r="F1879">
        <v>527600</v>
      </c>
      <c r="G1879">
        <v>563900</v>
      </c>
      <c r="H1879">
        <v>36300</v>
      </c>
    </row>
    <row r="1880" spans="1:9" x14ac:dyDescent="0.25">
      <c r="A1880" t="str">
        <f>"40211"</f>
        <v>40211</v>
      </c>
      <c r="B1880" t="s">
        <v>38</v>
      </c>
      <c r="C1880" t="s">
        <v>820</v>
      </c>
      <c r="D1880" t="s">
        <v>13</v>
      </c>
      <c r="E1880" t="s">
        <v>14</v>
      </c>
      <c r="F1880" t="s">
        <v>15</v>
      </c>
      <c r="G1880" t="s">
        <v>15</v>
      </c>
      <c r="H1880" t="s">
        <v>15</v>
      </c>
      <c r="I1880" s="1">
        <v>1032520200</v>
      </c>
    </row>
    <row r="1881" spans="1:9" x14ac:dyDescent="0.25">
      <c r="A1881" t="str">
        <f>"40226"</f>
        <v>40226</v>
      </c>
      <c r="B1881" t="s">
        <v>38</v>
      </c>
      <c r="C1881" t="s">
        <v>589</v>
      </c>
      <c r="D1881" t="str">
        <f>"003"</f>
        <v>003</v>
      </c>
      <c r="E1881">
        <v>2005</v>
      </c>
      <c r="F1881">
        <v>173488200</v>
      </c>
      <c r="G1881">
        <v>238269700</v>
      </c>
      <c r="H1881">
        <v>64781500</v>
      </c>
    </row>
    <row r="1882" spans="1:9" x14ac:dyDescent="0.25">
      <c r="A1882" t="str">
        <f>"40226"</f>
        <v>40226</v>
      </c>
      <c r="B1882" t="s">
        <v>38</v>
      </c>
      <c r="C1882" t="s">
        <v>589</v>
      </c>
      <c r="D1882" t="str">
        <f>"004"</f>
        <v>004</v>
      </c>
      <c r="E1882">
        <v>2005</v>
      </c>
      <c r="F1882">
        <v>19817900</v>
      </c>
      <c r="G1882">
        <v>72447400</v>
      </c>
      <c r="H1882">
        <v>52629500</v>
      </c>
    </row>
    <row r="1883" spans="1:9" x14ac:dyDescent="0.25">
      <c r="A1883" t="str">
        <f>"40226"</f>
        <v>40226</v>
      </c>
      <c r="B1883" t="s">
        <v>38</v>
      </c>
      <c r="C1883" t="s">
        <v>589</v>
      </c>
      <c r="D1883" t="str">
        <f>"005"</f>
        <v>005</v>
      </c>
      <c r="E1883">
        <v>2016</v>
      </c>
      <c r="F1883">
        <v>3043900</v>
      </c>
      <c r="G1883">
        <v>33903100</v>
      </c>
      <c r="H1883">
        <v>30859200</v>
      </c>
    </row>
    <row r="1884" spans="1:9" x14ac:dyDescent="0.25">
      <c r="A1884" t="str">
        <f>"40226"</f>
        <v>40226</v>
      </c>
      <c r="B1884" t="s">
        <v>38</v>
      </c>
      <c r="C1884" t="s">
        <v>589</v>
      </c>
      <c r="D1884" t="s">
        <v>13</v>
      </c>
      <c r="E1884" t="s">
        <v>14</v>
      </c>
      <c r="F1884" t="s">
        <v>15</v>
      </c>
      <c r="G1884" t="s">
        <v>15</v>
      </c>
      <c r="H1884" t="s">
        <v>15</v>
      </c>
      <c r="I1884" s="1">
        <v>4211998800</v>
      </c>
    </row>
    <row r="1885" spans="1:9" x14ac:dyDescent="0.25">
      <c r="A1885" t="str">
        <f>"40231"</f>
        <v>40231</v>
      </c>
      <c r="B1885" t="s">
        <v>38</v>
      </c>
      <c r="C1885" t="s">
        <v>821</v>
      </c>
      <c r="D1885" t="str">
        <f>"007"</f>
        <v>007</v>
      </c>
      <c r="E1885">
        <v>1996</v>
      </c>
      <c r="F1885">
        <v>14036000</v>
      </c>
      <c r="G1885">
        <v>91568500</v>
      </c>
      <c r="H1885">
        <v>77532500</v>
      </c>
    </row>
    <row r="1886" spans="1:9" x14ac:dyDescent="0.25">
      <c r="A1886" t="str">
        <f>"40231"</f>
        <v>40231</v>
      </c>
      <c r="B1886" t="s">
        <v>38</v>
      </c>
      <c r="C1886" t="s">
        <v>821</v>
      </c>
      <c r="D1886" t="str">
        <f>"008"</f>
        <v>008</v>
      </c>
      <c r="E1886">
        <v>2002</v>
      </c>
      <c r="F1886">
        <v>73733700</v>
      </c>
      <c r="G1886">
        <v>89502000</v>
      </c>
      <c r="H1886">
        <v>15768300</v>
      </c>
    </row>
    <row r="1887" spans="1:9" x14ac:dyDescent="0.25">
      <c r="A1887" t="str">
        <f>"40231"</f>
        <v>40231</v>
      </c>
      <c r="B1887" t="s">
        <v>38</v>
      </c>
      <c r="C1887" t="s">
        <v>821</v>
      </c>
      <c r="D1887" t="s">
        <v>13</v>
      </c>
      <c r="E1887" t="s">
        <v>14</v>
      </c>
      <c r="F1887" t="s">
        <v>15</v>
      </c>
      <c r="G1887" t="s">
        <v>15</v>
      </c>
      <c r="H1887" t="s">
        <v>15</v>
      </c>
      <c r="I1887" s="1">
        <v>1958815700</v>
      </c>
    </row>
    <row r="1888" spans="1:9" x14ac:dyDescent="0.25">
      <c r="A1888" t="str">
        <f t="shared" ref="A1888:A1893" si="40">"40236"</f>
        <v>40236</v>
      </c>
      <c r="B1888" t="s">
        <v>38</v>
      </c>
      <c r="C1888" t="s">
        <v>665</v>
      </c>
      <c r="D1888" t="str">
        <f>"002"</f>
        <v>002</v>
      </c>
      <c r="E1888">
        <v>2007</v>
      </c>
      <c r="F1888">
        <v>14974600</v>
      </c>
      <c r="G1888">
        <v>63968700</v>
      </c>
      <c r="H1888">
        <v>48994100</v>
      </c>
    </row>
    <row r="1889" spans="1:9" x14ac:dyDescent="0.25">
      <c r="A1889" t="str">
        <f t="shared" si="40"/>
        <v>40236</v>
      </c>
      <c r="B1889" t="s">
        <v>38</v>
      </c>
      <c r="C1889" t="s">
        <v>665</v>
      </c>
      <c r="D1889" t="str">
        <f>"003"</f>
        <v>003</v>
      </c>
      <c r="E1889">
        <v>2009</v>
      </c>
      <c r="F1889">
        <v>75731000</v>
      </c>
      <c r="G1889">
        <v>80559500</v>
      </c>
      <c r="H1889">
        <v>4828500</v>
      </c>
    </row>
    <row r="1890" spans="1:9" x14ac:dyDescent="0.25">
      <c r="A1890" t="str">
        <f t="shared" si="40"/>
        <v>40236</v>
      </c>
      <c r="B1890" t="s">
        <v>38</v>
      </c>
      <c r="C1890" t="s">
        <v>665</v>
      </c>
      <c r="D1890" t="str">
        <f>"004"</f>
        <v>004</v>
      </c>
      <c r="E1890">
        <v>2015</v>
      </c>
      <c r="F1890">
        <v>25438700</v>
      </c>
      <c r="G1890">
        <v>52581100</v>
      </c>
      <c r="H1890">
        <v>27142400</v>
      </c>
    </row>
    <row r="1891" spans="1:9" x14ac:dyDescent="0.25">
      <c r="A1891" t="str">
        <f t="shared" si="40"/>
        <v>40236</v>
      </c>
      <c r="B1891" t="s">
        <v>38</v>
      </c>
      <c r="C1891" t="s">
        <v>665</v>
      </c>
      <c r="D1891" t="str">
        <f>"005"</f>
        <v>005</v>
      </c>
      <c r="E1891">
        <v>2015</v>
      </c>
      <c r="F1891">
        <v>6921000</v>
      </c>
      <c r="G1891">
        <v>6728200</v>
      </c>
      <c r="H1891">
        <v>0</v>
      </c>
    </row>
    <row r="1892" spans="1:9" x14ac:dyDescent="0.25">
      <c r="A1892" t="str">
        <f t="shared" si="40"/>
        <v>40236</v>
      </c>
      <c r="B1892" t="s">
        <v>38</v>
      </c>
      <c r="C1892" t="s">
        <v>665</v>
      </c>
      <c r="D1892" t="str">
        <f>"006"</f>
        <v>006</v>
      </c>
      <c r="E1892">
        <v>2015</v>
      </c>
      <c r="F1892">
        <v>7959100</v>
      </c>
      <c r="G1892">
        <v>119952800</v>
      </c>
      <c r="H1892">
        <v>111993700</v>
      </c>
    </row>
    <row r="1893" spans="1:9" x14ac:dyDescent="0.25">
      <c r="A1893" t="str">
        <f t="shared" si="40"/>
        <v>40236</v>
      </c>
      <c r="B1893" t="s">
        <v>38</v>
      </c>
      <c r="C1893" t="s">
        <v>665</v>
      </c>
      <c r="D1893" t="s">
        <v>13</v>
      </c>
      <c r="E1893" t="s">
        <v>14</v>
      </c>
      <c r="F1893" t="s">
        <v>15</v>
      </c>
      <c r="G1893" t="s">
        <v>15</v>
      </c>
      <c r="H1893" t="s">
        <v>15</v>
      </c>
      <c r="I1893" s="1">
        <v>3084489200</v>
      </c>
    </row>
    <row r="1894" spans="1:9" x14ac:dyDescent="0.25">
      <c r="A1894" t="str">
        <f t="shared" ref="A1894:A1925" si="41">"40251"</f>
        <v>40251</v>
      </c>
      <c r="B1894" t="s">
        <v>38</v>
      </c>
      <c r="C1894" t="s">
        <v>822</v>
      </c>
      <c r="D1894" t="str">
        <f>"022"</f>
        <v>022</v>
      </c>
      <c r="E1894">
        <v>1994</v>
      </c>
      <c r="F1894">
        <v>41210300</v>
      </c>
      <c r="G1894">
        <v>277655500</v>
      </c>
      <c r="H1894">
        <v>236445200</v>
      </c>
    </row>
    <row r="1895" spans="1:9" x14ac:dyDescent="0.25">
      <c r="A1895" t="str">
        <f t="shared" si="41"/>
        <v>40251</v>
      </c>
      <c r="B1895" t="s">
        <v>38</v>
      </c>
      <c r="C1895" t="s">
        <v>822</v>
      </c>
      <c r="D1895" t="str">
        <f>"037"</f>
        <v>037</v>
      </c>
      <c r="E1895">
        <v>1998</v>
      </c>
      <c r="F1895">
        <v>60317400</v>
      </c>
      <c r="G1895">
        <v>141277700</v>
      </c>
      <c r="H1895">
        <v>80960300</v>
      </c>
    </row>
    <row r="1896" spans="1:9" x14ac:dyDescent="0.25">
      <c r="A1896" t="str">
        <f t="shared" si="41"/>
        <v>40251</v>
      </c>
      <c r="B1896" t="s">
        <v>38</v>
      </c>
      <c r="C1896" t="s">
        <v>822</v>
      </c>
      <c r="D1896" t="str">
        <f>"039"</f>
        <v>039</v>
      </c>
      <c r="E1896">
        <v>2000</v>
      </c>
      <c r="F1896">
        <v>23863400</v>
      </c>
      <c r="G1896">
        <v>45724500</v>
      </c>
      <c r="H1896">
        <v>21861100</v>
      </c>
    </row>
    <row r="1897" spans="1:9" x14ac:dyDescent="0.25">
      <c r="A1897" t="str">
        <f t="shared" si="41"/>
        <v>40251</v>
      </c>
      <c r="B1897" t="s">
        <v>38</v>
      </c>
      <c r="C1897" t="s">
        <v>822</v>
      </c>
      <c r="D1897" t="str">
        <f>"041"</f>
        <v>041</v>
      </c>
      <c r="E1897">
        <v>2000</v>
      </c>
      <c r="F1897">
        <v>10021400</v>
      </c>
      <c r="G1897">
        <v>125023600</v>
      </c>
      <c r="H1897">
        <v>115002200</v>
      </c>
    </row>
    <row r="1898" spans="1:9" x14ac:dyDescent="0.25">
      <c r="A1898" t="str">
        <f t="shared" si="41"/>
        <v>40251</v>
      </c>
      <c r="B1898" t="s">
        <v>38</v>
      </c>
      <c r="C1898" t="s">
        <v>822</v>
      </c>
      <c r="D1898" t="str">
        <f>"042"</f>
        <v>042</v>
      </c>
      <c r="E1898">
        <v>2001</v>
      </c>
      <c r="F1898">
        <v>7118300</v>
      </c>
      <c r="G1898">
        <v>40600800</v>
      </c>
      <c r="H1898">
        <v>33482500</v>
      </c>
    </row>
    <row r="1899" spans="1:9" x14ac:dyDescent="0.25">
      <c r="A1899" t="str">
        <f t="shared" si="41"/>
        <v>40251</v>
      </c>
      <c r="B1899" t="s">
        <v>38</v>
      </c>
      <c r="C1899" t="s">
        <v>822</v>
      </c>
      <c r="D1899" t="str">
        <f>"046"</f>
        <v>046</v>
      </c>
      <c r="E1899">
        <v>2001</v>
      </c>
      <c r="F1899">
        <v>14759500</v>
      </c>
      <c r="G1899">
        <v>44352300</v>
      </c>
      <c r="H1899">
        <v>29592800</v>
      </c>
    </row>
    <row r="1900" spans="1:9" x14ac:dyDescent="0.25">
      <c r="A1900" t="str">
        <f t="shared" si="41"/>
        <v>40251</v>
      </c>
      <c r="B1900" t="s">
        <v>38</v>
      </c>
      <c r="C1900" t="s">
        <v>822</v>
      </c>
      <c r="D1900" t="str">
        <f>"048"</f>
        <v>048</v>
      </c>
      <c r="E1900">
        <v>2002</v>
      </c>
      <c r="F1900">
        <v>45325600</v>
      </c>
      <c r="G1900">
        <v>334279000</v>
      </c>
      <c r="H1900">
        <v>288953400</v>
      </c>
    </row>
    <row r="1901" spans="1:9" x14ac:dyDescent="0.25">
      <c r="A1901" t="str">
        <f t="shared" si="41"/>
        <v>40251</v>
      </c>
      <c r="B1901" t="s">
        <v>38</v>
      </c>
      <c r="C1901" t="s">
        <v>822</v>
      </c>
      <c r="D1901" t="str">
        <f>"049"</f>
        <v>049</v>
      </c>
      <c r="E1901">
        <v>2002</v>
      </c>
      <c r="F1901">
        <v>2052700</v>
      </c>
      <c r="G1901">
        <v>56039600</v>
      </c>
      <c r="H1901">
        <v>53986900</v>
      </c>
    </row>
    <row r="1902" spans="1:9" x14ac:dyDescent="0.25">
      <c r="A1902" t="str">
        <f t="shared" si="41"/>
        <v>40251</v>
      </c>
      <c r="B1902" t="s">
        <v>38</v>
      </c>
      <c r="C1902" t="s">
        <v>822</v>
      </c>
      <c r="D1902" t="str">
        <f>"051"</f>
        <v>051</v>
      </c>
      <c r="E1902">
        <v>2003</v>
      </c>
      <c r="F1902">
        <v>10048700</v>
      </c>
      <c r="G1902">
        <v>15930200</v>
      </c>
      <c r="H1902">
        <v>5881500</v>
      </c>
    </row>
    <row r="1903" spans="1:9" x14ac:dyDescent="0.25">
      <c r="A1903" t="str">
        <f t="shared" si="41"/>
        <v>40251</v>
      </c>
      <c r="B1903" t="s">
        <v>38</v>
      </c>
      <c r="C1903" t="s">
        <v>822</v>
      </c>
      <c r="D1903" t="str">
        <f>"052"</f>
        <v>052</v>
      </c>
      <c r="E1903">
        <v>2003</v>
      </c>
      <c r="F1903">
        <v>10225900</v>
      </c>
      <c r="G1903">
        <v>28485700</v>
      </c>
      <c r="H1903">
        <v>18259800</v>
      </c>
    </row>
    <row r="1904" spans="1:9" x14ac:dyDescent="0.25">
      <c r="A1904" t="str">
        <f t="shared" si="41"/>
        <v>40251</v>
      </c>
      <c r="B1904" t="s">
        <v>38</v>
      </c>
      <c r="C1904" t="s">
        <v>822</v>
      </c>
      <c r="D1904" t="str">
        <f>"053"</f>
        <v>053</v>
      </c>
      <c r="E1904">
        <v>2004</v>
      </c>
      <c r="F1904">
        <v>4752300</v>
      </c>
      <c r="G1904">
        <v>73194200</v>
      </c>
      <c r="H1904">
        <v>68441900</v>
      </c>
    </row>
    <row r="1905" spans="1:8" x14ac:dyDescent="0.25">
      <c r="A1905" t="str">
        <f t="shared" si="41"/>
        <v>40251</v>
      </c>
      <c r="B1905" t="s">
        <v>38</v>
      </c>
      <c r="C1905" t="s">
        <v>822</v>
      </c>
      <c r="D1905" t="str">
        <f>"054"</f>
        <v>054</v>
      </c>
      <c r="E1905">
        <v>2004</v>
      </c>
      <c r="F1905">
        <v>1148000</v>
      </c>
      <c r="G1905">
        <v>18435500</v>
      </c>
      <c r="H1905">
        <v>17287500</v>
      </c>
    </row>
    <row r="1906" spans="1:8" x14ac:dyDescent="0.25">
      <c r="A1906" t="str">
        <f t="shared" si="41"/>
        <v>40251</v>
      </c>
      <c r="B1906" t="s">
        <v>38</v>
      </c>
      <c r="C1906" t="s">
        <v>822</v>
      </c>
      <c r="D1906" t="str">
        <f>"056"</f>
        <v>056</v>
      </c>
      <c r="E1906">
        <v>2004</v>
      </c>
      <c r="F1906">
        <v>8958600</v>
      </c>
      <c r="G1906">
        <v>170547400</v>
      </c>
      <c r="H1906">
        <v>161588800</v>
      </c>
    </row>
    <row r="1907" spans="1:8" x14ac:dyDescent="0.25">
      <c r="A1907" t="str">
        <f t="shared" si="41"/>
        <v>40251</v>
      </c>
      <c r="B1907" t="s">
        <v>38</v>
      </c>
      <c r="C1907" t="s">
        <v>822</v>
      </c>
      <c r="D1907" t="str">
        <f>"057"</f>
        <v>057</v>
      </c>
      <c r="E1907">
        <v>2005</v>
      </c>
      <c r="F1907">
        <v>0</v>
      </c>
      <c r="G1907">
        <v>16622500</v>
      </c>
      <c r="H1907">
        <v>16622500</v>
      </c>
    </row>
    <row r="1908" spans="1:8" x14ac:dyDescent="0.25">
      <c r="A1908" t="str">
        <f t="shared" si="41"/>
        <v>40251</v>
      </c>
      <c r="B1908" t="s">
        <v>38</v>
      </c>
      <c r="C1908" t="s">
        <v>822</v>
      </c>
      <c r="D1908" t="str">
        <f>"058"</f>
        <v>058</v>
      </c>
      <c r="E1908">
        <v>2005</v>
      </c>
      <c r="F1908">
        <v>4753200</v>
      </c>
      <c r="G1908">
        <v>4737100</v>
      </c>
      <c r="H1908">
        <v>0</v>
      </c>
    </row>
    <row r="1909" spans="1:8" x14ac:dyDescent="0.25">
      <c r="A1909" t="str">
        <f t="shared" si="41"/>
        <v>40251</v>
      </c>
      <c r="B1909" t="s">
        <v>38</v>
      </c>
      <c r="C1909" t="s">
        <v>822</v>
      </c>
      <c r="D1909" t="str">
        <f>"059"</f>
        <v>059</v>
      </c>
      <c r="E1909">
        <v>2005</v>
      </c>
      <c r="F1909">
        <v>46021500</v>
      </c>
      <c r="G1909">
        <v>46785500</v>
      </c>
      <c r="H1909">
        <v>764000</v>
      </c>
    </row>
    <row r="1910" spans="1:8" x14ac:dyDescent="0.25">
      <c r="A1910" t="str">
        <f t="shared" si="41"/>
        <v>40251</v>
      </c>
      <c r="B1910" t="s">
        <v>38</v>
      </c>
      <c r="C1910" t="s">
        <v>822</v>
      </c>
      <c r="D1910" t="str">
        <f>"060"</f>
        <v>060</v>
      </c>
      <c r="E1910">
        <v>2005</v>
      </c>
      <c r="F1910">
        <v>2212900</v>
      </c>
      <c r="G1910">
        <v>11733300</v>
      </c>
      <c r="H1910">
        <v>9520400</v>
      </c>
    </row>
    <row r="1911" spans="1:8" x14ac:dyDescent="0.25">
      <c r="A1911" t="str">
        <f t="shared" si="41"/>
        <v>40251</v>
      </c>
      <c r="B1911" t="s">
        <v>38</v>
      </c>
      <c r="C1911" t="s">
        <v>822</v>
      </c>
      <c r="D1911" t="str">
        <f>"062"</f>
        <v>062</v>
      </c>
      <c r="E1911">
        <v>2006</v>
      </c>
      <c r="F1911">
        <v>5329800</v>
      </c>
      <c r="G1911">
        <v>8050600</v>
      </c>
      <c r="H1911">
        <v>2720800</v>
      </c>
    </row>
    <row r="1912" spans="1:8" x14ac:dyDescent="0.25">
      <c r="A1912" t="str">
        <f t="shared" si="41"/>
        <v>40251</v>
      </c>
      <c r="B1912" t="s">
        <v>38</v>
      </c>
      <c r="C1912" t="s">
        <v>822</v>
      </c>
      <c r="D1912" t="str">
        <f>"063"</f>
        <v>063</v>
      </c>
      <c r="E1912">
        <v>2006</v>
      </c>
      <c r="F1912">
        <v>8871100</v>
      </c>
      <c r="G1912">
        <v>11733500</v>
      </c>
      <c r="H1912">
        <v>2862400</v>
      </c>
    </row>
    <row r="1913" spans="1:8" x14ac:dyDescent="0.25">
      <c r="A1913" t="str">
        <f t="shared" si="41"/>
        <v>40251</v>
      </c>
      <c r="B1913" t="s">
        <v>38</v>
      </c>
      <c r="C1913" t="s">
        <v>822</v>
      </c>
      <c r="D1913" t="str">
        <f>"064"</f>
        <v>064</v>
      </c>
      <c r="E1913">
        <v>2006</v>
      </c>
      <c r="F1913">
        <v>14358000</v>
      </c>
      <c r="G1913">
        <v>24219000</v>
      </c>
      <c r="H1913">
        <v>9861000</v>
      </c>
    </row>
    <row r="1914" spans="1:8" x14ac:dyDescent="0.25">
      <c r="A1914" t="str">
        <f t="shared" si="41"/>
        <v>40251</v>
      </c>
      <c r="B1914" t="s">
        <v>38</v>
      </c>
      <c r="C1914" t="s">
        <v>822</v>
      </c>
      <c r="D1914" t="str">
        <f>"065"</f>
        <v>065</v>
      </c>
      <c r="E1914">
        <v>2006</v>
      </c>
      <c r="F1914">
        <v>3220700</v>
      </c>
      <c r="G1914">
        <v>3277300</v>
      </c>
      <c r="H1914">
        <v>56600</v>
      </c>
    </row>
    <row r="1915" spans="1:8" x14ac:dyDescent="0.25">
      <c r="A1915" t="str">
        <f t="shared" si="41"/>
        <v>40251</v>
      </c>
      <c r="B1915" t="s">
        <v>38</v>
      </c>
      <c r="C1915" t="s">
        <v>822</v>
      </c>
      <c r="D1915" t="str">
        <f>"066"</f>
        <v>066</v>
      </c>
      <c r="E1915">
        <v>2007</v>
      </c>
      <c r="F1915">
        <v>50443300</v>
      </c>
      <c r="G1915">
        <v>28505600</v>
      </c>
      <c r="H1915">
        <v>0</v>
      </c>
    </row>
    <row r="1916" spans="1:8" x14ac:dyDescent="0.25">
      <c r="A1916" t="str">
        <f t="shared" si="41"/>
        <v>40251</v>
      </c>
      <c r="B1916" t="s">
        <v>38</v>
      </c>
      <c r="C1916" t="s">
        <v>822</v>
      </c>
      <c r="D1916" t="str">
        <f>"067"</f>
        <v>067</v>
      </c>
      <c r="E1916">
        <v>2007</v>
      </c>
      <c r="F1916">
        <v>9266900</v>
      </c>
      <c r="G1916">
        <v>141576400</v>
      </c>
      <c r="H1916">
        <v>132309500</v>
      </c>
    </row>
    <row r="1917" spans="1:8" x14ac:dyDescent="0.25">
      <c r="A1917" t="str">
        <f t="shared" si="41"/>
        <v>40251</v>
      </c>
      <c r="B1917" t="s">
        <v>38</v>
      </c>
      <c r="C1917" t="s">
        <v>822</v>
      </c>
      <c r="D1917" t="str">
        <f>"068"</f>
        <v>068</v>
      </c>
      <c r="E1917">
        <v>2007</v>
      </c>
      <c r="F1917">
        <v>32806800</v>
      </c>
      <c r="G1917">
        <v>81821800</v>
      </c>
      <c r="H1917">
        <v>49015000</v>
      </c>
    </row>
    <row r="1918" spans="1:8" x14ac:dyDescent="0.25">
      <c r="A1918" t="str">
        <f t="shared" si="41"/>
        <v>40251</v>
      </c>
      <c r="B1918" t="s">
        <v>38</v>
      </c>
      <c r="C1918" t="s">
        <v>822</v>
      </c>
      <c r="D1918" t="str">
        <f>"070"</f>
        <v>070</v>
      </c>
      <c r="E1918">
        <v>2007</v>
      </c>
      <c r="F1918">
        <v>14904700</v>
      </c>
      <c r="G1918">
        <v>41906800</v>
      </c>
      <c r="H1918">
        <v>27002100</v>
      </c>
    </row>
    <row r="1919" spans="1:8" x14ac:dyDescent="0.25">
      <c r="A1919" t="str">
        <f t="shared" si="41"/>
        <v>40251</v>
      </c>
      <c r="B1919" t="s">
        <v>38</v>
      </c>
      <c r="C1919" t="s">
        <v>822</v>
      </c>
      <c r="D1919" t="str">
        <f>"071"</f>
        <v>071</v>
      </c>
      <c r="E1919">
        <v>2008</v>
      </c>
      <c r="F1919">
        <v>66751300</v>
      </c>
      <c r="G1919">
        <v>69061900</v>
      </c>
      <c r="H1919">
        <v>2310600</v>
      </c>
    </row>
    <row r="1920" spans="1:8" x14ac:dyDescent="0.25">
      <c r="A1920" t="str">
        <f t="shared" si="41"/>
        <v>40251</v>
      </c>
      <c r="B1920" t="s">
        <v>38</v>
      </c>
      <c r="C1920" t="s">
        <v>822</v>
      </c>
      <c r="D1920" t="str">
        <f>"072"</f>
        <v>072</v>
      </c>
      <c r="E1920">
        <v>2009</v>
      </c>
      <c r="F1920">
        <v>24474700</v>
      </c>
      <c r="G1920">
        <v>22047500</v>
      </c>
      <c r="H1920">
        <v>0</v>
      </c>
    </row>
    <row r="1921" spans="1:8" x14ac:dyDescent="0.25">
      <c r="A1921" t="str">
        <f t="shared" si="41"/>
        <v>40251</v>
      </c>
      <c r="B1921" t="s">
        <v>38</v>
      </c>
      <c r="C1921" t="s">
        <v>822</v>
      </c>
      <c r="D1921" t="str">
        <f>"073"</f>
        <v>073</v>
      </c>
      <c r="E1921">
        <v>2009</v>
      </c>
      <c r="F1921">
        <v>4602800</v>
      </c>
      <c r="G1921">
        <v>8685300</v>
      </c>
      <c r="H1921">
        <v>4082500</v>
      </c>
    </row>
    <row r="1922" spans="1:8" x14ac:dyDescent="0.25">
      <c r="A1922" t="str">
        <f t="shared" si="41"/>
        <v>40251</v>
      </c>
      <c r="B1922" t="s">
        <v>38</v>
      </c>
      <c r="C1922" t="s">
        <v>822</v>
      </c>
      <c r="D1922" t="str">
        <f>"074"</f>
        <v>074</v>
      </c>
      <c r="E1922">
        <v>2009</v>
      </c>
      <c r="F1922">
        <v>63334700</v>
      </c>
      <c r="G1922">
        <v>54378700</v>
      </c>
      <c r="H1922">
        <v>0</v>
      </c>
    </row>
    <row r="1923" spans="1:8" x14ac:dyDescent="0.25">
      <c r="A1923" t="str">
        <f t="shared" si="41"/>
        <v>40251</v>
      </c>
      <c r="B1923" t="s">
        <v>38</v>
      </c>
      <c r="C1923" t="s">
        <v>822</v>
      </c>
      <c r="D1923" t="str">
        <f>"075"</f>
        <v>075</v>
      </c>
      <c r="E1923">
        <v>2009</v>
      </c>
      <c r="F1923">
        <v>26470500</v>
      </c>
      <c r="G1923">
        <v>121333300</v>
      </c>
      <c r="H1923">
        <v>94862800</v>
      </c>
    </row>
    <row r="1924" spans="1:8" x14ac:dyDescent="0.25">
      <c r="A1924" t="str">
        <f t="shared" si="41"/>
        <v>40251</v>
      </c>
      <c r="B1924" t="s">
        <v>38</v>
      </c>
      <c r="C1924" t="s">
        <v>822</v>
      </c>
      <c r="D1924" t="str">
        <f>"076"</f>
        <v>076</v>
      </c>
      <c r="E1924">
        <v>2010</v>
      </c>
      <c r="F1924">
        <v>16113000</v>
      </c>
      <c r="G1924">
        <v>20587000</v>
      </c>
      <c r="H1924">
        <v>4474000</v>
      </c>
    </row>
    <row r="1925" spans="1:8" x14ac:dyDescent="0.25">
      <c r="A1925" t="str">
        <f t="shared" si="41"/>
        <v>40251</v>
      </c>
      <c r="B1925" t="s">
        <v>38</v>
      </c>
      <c r="C1925" t="s">
        <v>822</v>
      </c>
      <c r="D1925" t="str">
        <f>"077"</f>
        <v>077</v>
      </c>
      <c r="E1925">
        <v>2012</v>
      </c>
      <c r="F1925">
        <v>3368100</v>
      </c>
      <c r="G1925">
        <v>9226900</v>
      </c>
      <c r="H1925">
        <v>5858800</v>
      </c>
    </row>
    <row r="1926" spans="1:8" x14ac:dyDescent="0.25">
      <c r="A1926" t="str">
        <f t="shared" ref="A1926:A1942" si="42">"40251"</f>
        <v>40251</v>
      </c>
      <c r="B1926" t="s">
        <v>38</v>
      </c>
      <c r="C1926" t="s">
        <v>822</v>
      </c>
      <c r="D1926" t="str">
        <f>"078"</f>
        <v>078</v>
      </c>
      <c r="E1926">
        <v>2013</v>
      </c>
      <c r="F1926">
        <v>49588500</v>
      </c>
      <c r="G1926">
        <v>303935900</v>
      </c>
      <c r="H1926">
        <v>254347400</v>
      </c>
    </row>
    <row r="1927" spans="1:8" x14ac:dyDescent="0.25">
      <c r="A1927" t="str">
        <f t="shared" si="42"/>
        <v>40251</v>
      </c>
      <c r="B1927" t="s">
        <v>38</v>
      </c>
      <c r="C1927" t="s">
        <v>822</v>
      </c>
      <c r="D1927" t="str">
        <f>"079"</f>
        <v>079</v>
      </c>
      <c r="E1927">
        <v>2013</v>
      </c>
      <c r="F1927">
        <v>13718700</v>
      </c>
      <c r="G1927">
        <v>65195700</v>
      </c>
      <c r="H1927">
        <v>51477000</v>
      </c>
    </row>
    <row r="1928" spans="1:8" x14ac:dyDescent="0.25">
      <c r="A1928" t="str">
        <f t="shared" si="42"/>
        <v>40251</v>
      </c>
      <c r="B1928" t="s">
        <v>38</v>
      </c>
      <c r="C1928" t="s">
        <v>822</v>
      </c>
      <c r="D1928" t="str">
        <f>"080"</f>
        <v>080</v>
      </c>
      <c r="E1928">
        <v>2014</v>
      </c>
      <c r="F1928">
        <v>3500300</v>
      </c>
      <c r="G1928">
        <v>13584000</v>
      </c>
      <c r="H1928">
        <v>10083700</v>
      </c>
    </row>
    <row r="1929" spans="1:8" x14ac:dyDescent="0.25">
      <c r="A1929" t="str">
        <f t="shared" si="42"/>
        <v>40251</v>
      </c>
      <c r="B1929" t="s">
        <v>38</v>
      </c>
      <c r="C1929" t="s">
        <v>822</v>
      </c>
      <c r="D1929" t="str">
        <f>"081"</f>
        <v>081</v>
      </c>
      <c r="E1929">
        <v>2015</v>
      </c>
      <c r="F1929">
        <v>2689200</v>
      </c>
      <c r="G1929">
        <v>20451400</v>
      </c>
      <c r="H1929">
        <v>17762200</v>
      </c>
    </row>
    <row r="1930" spans="1:8" x14ac:dyDescent="0.25">
      <c r="A1930" t="str">
        <f t="shared" si="42"/>
        <v>40251</v>
      </c>
      <c r="B1930" t="s">
        <v>38</v>
      </c>
      <c r="C1930" t="s">
        <v>822</v>
      </c>
      <c r="D1930" t="str">
        <f>"082"</f>
        <v>082</v>
      </c>
      <c r="E1930">
        <v>2015</v>
      </c>
      <c r="F1930">
        <v>5474100</v>
      </c>
      <c r="G1930">
        <v>99245000</v>
      </c>
      <c r="H1930">
        <v>93770900</v>
      </c>
    </row>
    <row r="1931" spans="1:8" x14ac:dyDescent="0.25">
      <c r="A1931" t="str">
        <f t="shared" si="42"/>
        <v>40251</v>
      </c>
      <c r="B1931" t="s">
        <v>38</v>
      </c>
      <c r="C1931" t="s">
        <v>822</v>
      </c>
      <c r="D1931" t="str">
        <f>"083"</f>
        <v>083</v>
      </c>
      <c r="E1931">
        <v>2015</v>
      </c>
      <c r="F1931">
        <v>5774200</v>
      </c>
      <c r="G1931">
        <v>25472900</v>
      </c>
      <c r="H1931">
        <v>19698700</v>
      </c>
    </row>
    <row r="1932" spans="1:8" x14ac:dyDescent="0.25">
      <c r="A1932" t="str">
        <f t="shared" si="42"/>
        <v>40251</v>
      </c>
      <c r="B1932" t="s">
        <v>38</v>
      </c>
      <c r="C1932" t="s">
        <v>822</v>
      </c>
      <c r="D1932" t="str">
        <f>"084"</f>
        <v>084</v>
      </c>
      <c r="E1932">
        <v>2015</v>
      </c>
      <c r="F1932">
        <v>60111100</v>
      </c>
      <c r="G1932">
        <v>107799500</v>
      </c>
      <c r="H1932">
        <v>47688400</v>
      </c>
    </row>
    <row r="1933" spans="1:8" x14ac:dyDescent="0.25">
      <c r="A1933" t="str">
        <f t="shared" si="42"/>
        <v>40251</v>
      </c>
      <c r="B1933" t="s">
        <v>38</v>
      </c>
      <c r="C1933" t="s">
        <v>822</v>
      </c>
      <c r="D1933" t="str">
        <f>"085"</f>
        <v>085</v>
      </c>
      <c r="E1933">
        <v>2015</v>
      </c>
      <c r="F1933">
        <v>32096600</v>
      </c>
      <c r="G1933">
        <v>39621800</v>
      </c>
      <c r="H1933">
        <v>7525200</v>
      </c>
    </row>
    <row r="1934" spans="1:8" x14ac:dyDescent="0.25">
      <c r="A1934" t="str">
        <f t="shared" si="42"/>
        <v>40251</v>
      </c>
      <c r="B1934" t="s">
        <v>38</v>
      </c>
      <c r="C1934" t="s">
        <v>822</v>
      </c>
      <c r="D1934" t="str">
        <f>"086"</f>
        <v>086</v>
      </c>
      <c r="E1934">
        <v>2016</v>
      </c>
      <c r="F1934">
        <v>3311300</v>
      </c>
      <c r="G1934">
        <v>4520600</v>
      </c>
      <c r="H1934">
        <v>1209300</v>
      </c>
    </row>
    <row r="1935" spans="1:8" x14ac:dyDescent="0.25">
      <c r="A1935" t="str">
        <f t="shared" si="42"/>
        <v>40251</v>
      </c>
      <c r="B1935" t="s">
        <v>38</v>
      </c>
      <c r="C1935" t="s">
        <v>822</v>
      </c>
      <c r="D1935" t="str">
        <f>"087"</f>
        <v>087</v>
      </c>
      <c r="E1935">
        <v>2016</v>
      </c>
      <c r="F1935">
        <v>380600</v>
      </c>
      <c r="G1935">
        <v>3409700</v>
      </c>
      <c r="H1935">
        <v>3029100</v>
      </c>
    </row>
    <row r="1936" spans="1:8" x14ac:dyDescent="0.25">
      <c r="A1936" t="str">
        <f t="shared" si="42"/>
        <v>40251</v>
      </c>
      <c r="B1936" t="s">
        <v>38</v>
      </c>
      <c r="C1936" t="s">
        <v>822</v>
      </c>
      <c r="D1936" t="str">
        <f>"088"</f>
        <v>088</v>
      </c>
      <c r="E1936">
        <v>2016</v>
      </c>
      <c r="F1936">
        <v>4207500</v>
      </c>
      <c r="G1936">
        <v>4318600</v>
      </c>
      <c r="H1936">
        <v>111100</v>
      </c>
    </row>
    <row r="1937" spans="1:9" x14ac:dyDescent="0.25">
      <c r="A1937" t="str">
        <f t="shared" si="42"/>
        <v>40251</v>
      </c>
      <c r="B1937" t="s">
        <v>38</v>
      </c>
      <c r="C1937" t="s">
        <v>822</v>
      </c>
      <c r="D1937" t="str">
        <f>"089"</f>
        <v>089</v>
      </c>
      <c r="E1937">
        <v>2017</v>
      </c>
      <c r="F1937">
        <v>0</v>
      </c>
      <c r="G1937">
        <v>2960600</v>
      </c>
      <c r="H1937">
        <v>2960600</v>
      </c>
    </row>
    <row r="1938" spans="1:9" x14ac:dyDescent="0.25">
      <c r="A1938" t="str">
        <f t="shared" si="42"/>
        <v>40251</v>
      </c>
      <c r="B1938" t="s">
        <v>38</v>
      </c>
      <c r="C1938" t="s">
        <v>822</v>
      </c>
      <c r="D1938" t="str">
        <f>"090"</f>
        <v>090</v>
      </c>
      <c r="E1938">
        <v>2017</v>
      </c>
      <c r="F1938">
        <v>276600</v>
      </c>
      <c r="G1938">
        <v>2200300</v>
      </c>
      <c r="H1938">
        <v>1923700</v>
      </c>
    </row>
    <row r="1939" spans="1:9" x14ac:dyDescent="0.25">
      <c r="A1939" t="str">
        <f t="shared" si="42"/>
        <v>40251</v>
      </c>
      <c r="B1939" t="s">
        <v>38</v>
      </c>
      <c r="C1939" t="s">
        <v>822</v>
      </c>
      <c r="D1939" t="str">
        <f>"091"</f>
        <v>091</v>
      </c>
      <c r="E1939">
        <v>2017</v>
      </c>
      <c r="F1939">
        <v>62670400</v>
      </c>
      <c r="G1939">
        <v>53188600</v>
      </c>
      <c r="H1939">
        <v>0</v>
      </c>
    </row>
    <row r="1940" spans="1:9" x14ac:dyDescent="0.25">
      <c r="A1940" t="str">
        <f t="shared" si="42"/>
        <v>40251</v>
      </c>
      <c r="B1940" t="s">
        <v>38</v>
      </c>
      <c r="C1940" t="s">
        <v>822</v>
      </c>
      <c r="D1940" t="str">
        <f>"092"</f>
        <v>092</v>
      </c>
      <c r="E1940">
        <v>2017</v>
      </c>
      <c r="F1940">
        <v>1122000</v>
      </c>
      <c r="G1940">
        <v>1376900</v>
      </c>
      <c r="H1940">
        <v>254900</v>
      </c>
    </row>
    <row r="1941" spans="1:9" x14ac:dyDescent="0.25">
      <c r="A1941" t="str">
        <f t="shared" si="42"/>
        <v>40251</v>
      </c>
      <c r="B1941" t="s">
        <v>38</v>
      </c>
      <c r="C1941" t="s">
        <v>822</v>
      </c>
      <c r="D1941" t="str">
        <f>"093"</f>
        <v>093</v>
      </c>
      <c r="E1941">
        <v>2018</v>
      </c>
      <c r="F1941">
        <v>756900</v>
      </c>
      <c r="G1941">
        <v>2636500</v>
      </c>
      <c r="H1941">
        <v>1879600</v>
      </c>
    </row>
    <row r="1942" spans="1:9" x14ac:dyDescent="0.25">
      <c r="A1942" t="str">
        <f t="shared" si="42"/>
        <v>40251</v>
      </c>
      <c r="B1942" t="s">
        <v>38</v>
      </c>
      <c r="C1942" t="s">
        <v>822</v>
      </c>
      <c r="D1942" t="s">
        <v>13</v>
      </c>
      <c r="E1942" t="s">
        <v>14</v>
      </c>
      <c r="F1942" t="s">
        <v>15</v>
      </c>
      <c r="G1942" t="s">
        <v>15</v>
      </c>
      <c r="H1942" t="s">
        <v>15</v>
      </c>
      <c r="I1942" s="1">
        <v>27724144000</v>
      </c>
    </row>
    <row r="1943" spans="1:9" x14ac:dyDescent="0.25">
      <c r="A1943" t="str">
        <f t="shared" ref="A1943:A1953" si="43">"40265"</f>
        <v>40265</v>
      </c>
      <c r="B1943" t="s">
        <v>38</v>
      </c>
      <c r="C1943" t="s">
        <v>823</v>
      </c>
      <c r="D1943" t="str">
        <f>"006"</f>
        <v>006</v>
      </c>
      <c r="E1943">
        <v>2001</v>
      </c>
      <c r="F1943">
        <v>1377200</v>
      </c>
      <c r="G1943">
        <v>16264200</v>
      </c>
      <c r="H1943">
        <v>14887000</v>
      </c>
    </row>
    <row r="1944" spans="1:9" x14ac:dyDescent="0.25">
      <c r="A1944" t="str">
        <f t="shared" si="43"/>
        <v>40265</v>
      </c>
      <c r="B1944" t="s">
        <v>38</v>
      </c>
      <c r="C1944" t="s">
        <v>823</v>
      </c>
      <c r="D1944" t="str">
        <f>"007"</f>
        <v>007</v>
      </c>
      <c r="E1944">
        <v>2007</v>
      </c>
      <c r="F1944">
        <v>165053100</v>
      </c>
      <c r="G1944">
        <v>191529400</v>
      </c>
      <c r="H1944">
        <v>26476300</v>
      </c>
    </row>
    <row r="1945" spans="1:9" x14ac:dyDescent="0.25">
      <c r="A1945" t="str">
        <f t="shared" si="43"/>
        <v>40265</v>
      </c>
      <c r="B1945" t="s">
        <v>38</v>
      </c>
      <c r="C1945" t="s">
        <v>823</v>
      </c>
      <c r="D1945" t="str">
        <f>"008"</f>
        <v>008</v>
      </c>
      <c r="E1945">
        <v>2009</v>
      </c>
      <c r="F1945">
        <v>23056600</v>
      </c>
      <c r="G1945">
        <v>101365600</v>
      </c>
      <c r="H1945">
        <v>78309000</v>
      </c>
    </row>
    <row r="1946" spans="1:9" x14ac:dyDescent="0.25">
      <c r="A1946" t="str">
        <f t="shared" si="43"/>
        <v>40265</v>
      </c>
      <c r="B1946" t="s">
        <v>38</v>
      </c>
      <c r="C1946" t="s">
        <v>823</v>
      </c>
      <c r="D1946" t="str">
        <f>"010"</f>
        <v>010</v>
      </c>
      <c r="E1946">
        <v>2010</v>
      </c>
      <c r="F1946">
        <v>19223700</v>
      </c>
      <c r="G1946">
        <v>36712500</v>
      </c>
      <c r="H1946">
        <v>17488800</v>
      </c>
    </row>
    <row r="1947" spans="1:9" x14ac:dyDescent="0.25">
      <c r="A1947" t="str">
        <f t="shared" si="43"/>
        <v>40265</v>
      </c>
      <c r="B1947" t="s">
        <v>38</v>
      </c>
      <c r="C1947" t="s">
        <v>823</v>
      </c>
      <c r="D1947" t="str">
        <f>"011"</f>
        <v>011</v>
      </c>
      <c r="E1947">
        <v>2012</v>
      </c>
      <c r="F1947">
        <v>12861900</v>
      </c>
      <c r="G1947">
        <v>152269900</v>
      </c>
      <c r="H1947">
        <v>139408000</v>
      </c>
    </row>
    <row r="1948" spans="1:9" x14ac:dyDescent="0.25">
      <c r="A1948" t="str">
        <f t="shared" si="43"/>
        <v>40265</v>
      </c>
      <c r="B1948" t="s">
        <v>38</v>
      </c>
      <c r="C1948" t="s">
        <v>823</v>
      </c>
      <c r="D1948" t="str">
        <f>"012"</f>
        <v>012</v>
      </c>
      <c r="E1948">
        <v>2016</v>
      </c>
      <c r="F1948">
        <v>10700</v>
      </c>
      <c r="G1948">
        <v>42207000</v>
      </c>
      <c r="H1948">
        <v>42196300</v>
      </c>
    </row>
    <row r="1949" spans="1:9" x14ac:dyDescent="0.25">
      <c r="A1949" t="str">
        <f t="shared" si="43"/>
        <v>40265</v>
      </c>
      <c r="B1949" t="s">
        <v>38</v>
      </c>
      <c r="C1949" t="s">
        <v>823</v>
      </c>
      <c r="D1949" t="str">
        <f>"013"</f>
        <v>013</v>
      </c>
      <c r="E1949">
        <v>2017</v>
      </c>
      <c r="F1949">
        <v>4703500</v>
      </c>
      <c r="G1949">
        <v>5037700</v>
      </c>
      <c r="H1949">
        <v>334200</v>
      </c>
    </row>
    <row r="1950" spans="1:9" x14ac:dyDescent="0.25">
      <c r="A1950" t="str">
        <f t="shared" si="43"/>
        <v>40265</v>
      </c>
      <c r="B1950" t="s">
        <v>38</v>
      </c>
      <c r="C1950" t="s">
        <v>823</v>
      </c>
      <c r="D1950" t="str">
        <f>"014"</f>
        <v>014</v>
      </c>
      <c r="E1950">
        <v>2018</v>
      </c>
      <c r="F1950">
        <v>641300</v>
      </c>
      <c r="G1950">
        <v>457800</v>
      </c>
      <c r="H1950">
        <v>0</v>
      </c>
    </row>
    <row r="1951" spans="1:9" x14ac:dyDescent="0.25">
      <c r="A1951" t="str">
        <f t="shared" si="43"/>
        <v>40265</v>
      </c>
      <c r="B1951" t="s">
        <v>38</v>
      </c>
      <c r="C1951" t="s">
        <v>823</v>
      </c>
      <c r="D1951" t="str">
        <f>"015"</f>
        <v>015</v>
      </c>
      <c r="E1951">
        <v>2018</v>
      </c>
      <c r="F1951">
        <v>1899900</v>
      </c>
      <c r="G1951">
        <v>2924900</v>
      </c>
      <c r="H1951">
        <v>1025000</v>
      </c>
    </row>
    <row r="1952" spans="1:9" x14ac:dyDescent="0.25">
      <c r="A1952" t="str">
        <f t="shared" si="43"/>
        <v>40265</v>
      </c>
      <c r="B1952" t="s">
        <v>38</v>
      </c>
      <c r="C1952" t="s">
        <v>823</v>
      </c>
      <c r="D1952" t="str">
        <f>"016"</f>
        <v>016</v>
      </c>
      <c r="E1952">
        <v>2018</v>
      </c>
      <c r="F1952">
        <v>1549200</v>
      </c>
      <c r="G1952">
        <v>11422200</v>
      </c>
      <c r="H1952">
        <v>9873000</v>
      </c>
    </row>
    <row r="1953" spans="1:9" x14ac:dyDescent="0.25">
      <c r="A1953" t="str">
        <f t="shared" si="43"/>
        <v>40265</v>
      </c>
      <c r="B1953" t="s">
        <v>38</v>
      </c>
      <c r="C1953" t="s">
        <v>823</v>
      </c>
      <c r="D1953" t="s">
        <v>13</v>
      </c>
      <c r="E1953" t="s">
        <v>14</v>
      </c>
      <c r="F1953" t="s">
        <v>15</v>
      </c>
      <c r="G1953" t="s">
        <v>15</v>
      </c>
      <c r="H1953" t="s">
        <v>15</v>
      </c>
      <c r="I1953" s="1">
        <v>3501006200</v>
      </c>
    </row>
    <row r="1954" spans="1:9" x14ac:dyDescent="0.25">
      <c r="A1954" t="str">
        <f>"40281"</f>
        <v>40281</v>
      </c>
      <c r="B1954" t="s">
        <v>38</v>
      </c>
      <c r="C1954" t="s">
        <v>824</v>
      </c>
      <c r="D1954" t="str">
        <f>"003"</f>
        <v>003</v>
      </c>
      <c r="E1954">
        <v>2006</v>
      </c>
      <c r="F1954">
        <v>56131300</v>
      </c>
      <c r="G1954">
        <v>67677100</v>
      </c>
      <c r="H1954">
        <v>11545800</v>
      </c>
    </row>
    <row r="1955" spans="1:9" x14ac:dyDescent="0.25">
      <c r="A1955" t="str">
        <f>"40281"</f>
        <v>40281</v>
      </c>
      <c r="B1955" t="s">
        <v>38</v>
      </c>
      <c r="C1955" t="s">
        <v>824</v>
      </c>
      <c r="D1955" t="str">
        <f>"004"</f>
        <v>004</v>
      </c>
      <c r="E1955">
        <v>2012</v>
      </c>
      <c r="F1955">
        <v>48457100</v>
      </c>
      <c r="G1955">
        <v>48794900</v>
      </c>
      <c r="H1955">
        <v>337800</v>
      </c>
    </row>
    <row r="1956" spans="1:9" x14ac:dyDescent="0.25">
      <c r="A1956" t="str">
        <f>"40281"</f>
        <v>40281</v>
      </c>
      <c r="B1956" t="s">
        <v>38</v>
      </c>
      <c r="C1956" t="s">
        <v>824</v>
      </c>
      <c r="D1956" t="str">
        <f>"005"</f>
        <v>005</v>
      </c>
      <c r="E1956">
        <v>2015</v>
      </c>
      <c r="F1956">
        <v>81376200</v>
      </c>
      <c r="G1956">
        <v>93612900</v>
      </c>
      <c r="H1956">
        <v>12236700</v>
      </c>
    </row>
    <row r="1957" spans="1:9" x14ac:dyDescent="0.25">
      <c r="A1957" t="str">
        <f>"40281"</f>
        <v>40281</v>
      </c>
      <c r="B1957" t="s">
        <v>38</v>
      </c>
      <c r="C1957" t="s">
        <v>824</v>
      </c>
      <c r="D1957" t="s">
        <v>13</v>
      </c>
      <c r="E1957" t="s">
        <v>14</v>
      </c>
      <c r="F1957" t="s">
        <v>15</v>
      </c>
      <c r="G1957" t="s">
        <v>15</v>
      </c>
      <c r="H1957" t="s">
        <v>15</v>
      </c>
      <c r="I1957" s="1">
        <v>627761500</v>
      </c>
    </row>
    <row r="1958" spans="1:9" x14ac:dyDescent="0.25">
      <c r="A1958" t="str">
        <f t="shared" ref="A1958:A1963" si="44">"40282"</f>
        <v>40282</v>
      </c>
      <c r="B1958" t="s">
        <v>38</v>
      </c>
      <c r="C1958" t="s">
        <v>825</v>
      </c>
      <c r="D1958" t="str">
        <f>"001"</f>
        <v>001</v>
      </c>
      <c r="E1958">
        <v>2000</v>
      </c>
      <c r="F1958">
        <v>8397700</v>
      </c>
      <c r="G1958">
        <v>24706000</v>
      </c>
      <c r="H1958">
        <v>16308300</v>
      </c>
    </row>
    <row r="1959" spans="1:9" x14ac:dyDescent="0.25">
      <c r="A1959" t="str">
        <f t="shared" si="44"/>
        <v>40282</v>
      </c>
      <c r="B1959" t="s">
        <v>38</v>
      </c>
      <c r="C1959" t="s">
        <v>825</v>
      </c>
      <c r="D1959" t="str">
        <f>"002"</f>
        <v>002</v>
      </c>
      <c r="E1959">
        <v>2000</v>
      </c>
      <c r="F1959">
        <v>6394400</v>
      </c>
      <c r="G1959">
        <v>30603900</v>
      </c>
      <c r="H1959">
        <v>24209500</v>
      </c>
    </row>
    <row r="1960" spans="1:9" x14ac:dyDescent="0.25">
      <c r="A1960" t="str">
        <f t="shared" si="44"/>
        <v>40282</v>
      </c>
      <c r="B1960" t="s">
        <v>38</v>
      </c>
      <c r="C1960" t="s">
        <v>825</v>
      </c>
      <c r="D1960" t="str">
        <f>"003"</f>
        <v>003</v>
      </c>
      <c r="E1960">
        <v>2005</v>
      </c>
      <c r="F1960">
        <v>16460500</v>
      </c>
      <c r="G1960">
        <v>34778000</v>
      </c>
      <c r="H1960">
        <v>18317500</v>
      </c>
    </row>
    <row r="1961" spans="1:9" x14ac:dyDescent="0.25">
      <c r="A1961" t="str">
        <f t="shared" si="44"/>
        <v>40282</v>
      </c>
      <c r="B1961" t="s">
        <v>38</v>
      </c>
      <c r="C1961" t="s">
        <v>825</v>
      </c>
      <c r="D1961" t="str">
        <f>"004"</f>
        <v>004</v>
      </c>
      <c r="E1961">
        <v>2006</v>
      </c>
      <c r="F1961">
        <v>662500</v>
      </c>
      <c r="G1961">
        <v>9962900</v>
      </c>
      <c r="H1961">
        <v>9300400</v>
      </c>
    </row>
    <row r="1962" spans="1:9" x14ac:dyDescent="0.25">
      <c r="A1962" t="str">
        <f t="shared" si="44"/>
        <v>40282</v>
      </c>
      <c r="B1962" t="s">
        <v>38</v>
      </c>
      <c r="C1962" t="s">
        <v>825</v>
      </c>
      <c r="D1962" t="str">
        <f>"005"</f>
        <v>005</v>
      </c>
      <c r="E1962">
        <v>2018</v>
      </c>
      <c r="F1962">
        <v>23398800</v>
      </c>
      <c r="G1962">
        <v>24152800</v>
      </c>
      <c r="H1962">
        <v>754000</v>
      </c>
    </row>
    <row r="1963" spans="1:9" x14ac:dyDescent="0.25">
      <c r="A1963" t="str">
        <f t="shared" si="44"/>
        <v>40282</v>
      </c>
      <c r="B1963" t="s">
        <v>38</v>
      </c>
      <c r="C1963" t="s">
        <v>825</v>
      </c>
      <c r="D1963" t="s">
        <v>13</v>
      </c>
      <c r="E1963" t="s">
        <v>14</v>
      </c>
      <c r="F1963" t="s">
        <v>15</v>
      </c>
      <c r="G1963" t="s">
        <v>15</v>
      </c>
      <c r="H1963" t="s">
        <v>15</v>
      </c>
      <c r="I1963" s="1">
        <v>1241338700</v>
      </c>
    </row>
    <row r="1964" spans="1:9" x14ac:dyDescent="0.25">
      <c r="A1964" t="str">
        <f t="shared" ref="A1964:A1971" si="45">"40291"</f>
        <v>40291</v>
      </c>
      <c r="B1964" t="s">
        <v>38</v>
      </c>
      <c r="C1964" t="s">
        <v>826</v>
      </c>
      <c r="D1964" t="str">
        <f>"006"</f>
        <v>006</v>
      </c>
      <c r="E1964">
        <v>2010</v>
      </c>
      <c r="F1964">
        <v>26768400</v>
      </c>
      <c r="G1964">
        <v>131158500</v>
      </c>
      <c r="H1964">
        <v>104390100</v>
      </c>
    </row>
    <row r="1965" spans="1:9" x14ac:dyDescent="0.25">
      <c r="A1965" t="str">
        <f t="shared" si="45"/>
        <v>40291</v>
      </c>
      <c r="B1965" t="s">
        <v>38</v>
      </c>
      <c r="C1965" t="s">
        <v>826</v>
      </c>
      <c r="D1965" t="str">
        <f>"007"</f>
        <v>007</v>
      </c>
      <c r="E1965">
        <v>2013</v>
      </c>
      <c r="F1965">
        <v>20815000</v>
      </c>
      <c r="G1965">
        <v>169482700</v>
      </c>
      <c r="H1965">
        <v>148667700</v>
      </c>
    </row>
    <row r="1966" spans="1:9" x14ac:dyDescent="0.25">
      <c r="A1966" t="str">
        <f t="shared" si="45"/>
        <v>40291</v>
      </c>
      <c r="B1966" t="s">
        <v>38</v>
      </c>
      <c r="C1966" t="s">
        <v>826</v>
      </c>
      <c r="D1966" t="str">
        <f>"008"</f>
        <v>008</v>
      </c>
      <c r="E1966">
        <v>2014</v>
      </c>
      <c r="F1966">
        <v>21723600</v>
      </c>
      <c r="G1966">
        <v>50998300</v>
      </c>
      <c r="H1966">
        <v>29274700</v>
      </c>
    </row>
    <row r="1967" spans="1:9" x14ac:dyDescent="0.25">
      <c r="A1967" t="str">
        <f t="shared" si="45"/>
        <v>40291</v>
      </c>
      <c r="B1967" t="s">
        <v>38</v>
      </c>
      <c r="C1967" t="s">
        <v>826</v>
      </c>
      <c r="D1967" t="str">
        <f>"009"</f>
        <v>009</v>
      </c>
      <c r="E1967">
        <v>2015</v>
      </c>
      <c r="F1967">
        <v>5128200</v>
      </c>
      <c r="G1967">
        <v>16584700</v>
      </c>
      <c r="H1967">
        <v>11456500</v>
      </c>
    </row>
    <row r="1968" spans="1:9" x14ac:dyDescent="0.25">
      <c r="A1968" t="str">
        <f t="shared" si="45"/>
        <v>40291</v>
      </c>
      <c r="B1968" t="s">
        <v>38</v>
      </c>
      <c r="C1968" t="s">
        <v>826</v>
      </c>
      <c r="D1968" t="str">
        <f>"010"</f>
        <v>010</v>
      </c>
      <c r="E1968">
        <v>2015</v>
      </c>
      <c r="F1968">
        <v>3970400</v>
      </c>
      <c r="G1968">
        <v>60368700</v>
      </c>
      <c r="H1968">
        <v>56398300</v>
      </c>
    </row>
    <row r="1969" spans="1:9" x14ac:dyDescent="0.25">
      <c r="A1969" t="str">
        <f t="shared" si="45"/>
        <v>40291</v>
      </c>
      <c r="B1969" t="s">
        <v>38</v>
      </c>
      <c r="C1969" t="s">
        <v>826</v>
      </c>
      <c r="D1969" t="str">
        <f>"011"</f>
        <v>011</v>
      </c>
      <c r="E1969">
        <v>2015</v>
      </c>
      <c r="F1969">
        <v>11163400</v>
      </c>
      <c r="G1969">
        <v>37491500</v>
      </c>
      <c r="H1969">
        <v>26328100</v>
      </c>
    </row>
    <row r="1970" spans="1:9" x14ac:dyDescent="0.25">
      <c r="A1970" t="str">
        <f t="shared" si="45"/>
        <v>40291</v>
      </c>
      <c r="B1970" t="s">
        <v>38</v>
      </c>
      <c r="C1970" t="s">
        <v>826</v>
      </c>
      <c r="D1970" t="str">
        <f>"012"</f>
        <v>012</v>
      </c>
      <c r="E1970">
        <v>2018</v>
      </c>
      <c r="F1970">
        <v>35541200</v>
      </c>
      <c r="G1970">
        <v>36050900</v>
      </c>
      <c r="H1970">
        <v>509700</v>
      </c>
    </row>
    <row r="1971" spans="1:9" x14ac:dyDescent="0.25">
      <c r="A1971" t="str">
        <f t="shared" si="45"/>
        <v>40291</v>
      </c>
      <c r="B1971" t="s">
        <v>38</v>
      </c>
      <c r="C1971" t="s">
        <v>826</v>
      </c>
      <c r="D1971" t="s">
        <v>13</v>
      </c>
      <c r="E1971" t="s">
        <v>14</v>
      </c>
      <c r="F1971" t="s">
        <v>15</v>
      </c>
      <c r="G1971" t="s">
        <v>15</v>
      </c>
      <c r="H1971" t="s">
        <v>15</v>
      </c>
      <c r="I1971" s="1">
        <v>6166167500</v>
      </c>
    </row>
    <row r="1972" spans="1:9" x14ac:dyDescent="0.25">
      <c r="A1972" t="str">
        <f t="shared" ref="A1972:A1983" si="46">"40292"</f>
        <v>40292</v>
      </c>
      <c r="B1972" t="s">
        <v>38</v>
      </c>
      <c r="C1972" t="s">
        <v>827</v>
      </c>
      <c r="D1972" t="str">
        <f>"005"</f>
        <v>005</v>
      </c>
      <c r="E1972">
        <v>2001</v>
      </c>
      <c r="F1972">
        <v>18524000</v>
      </c>
      <c r="G1972">
        <v>47633100</v>
      </c>
      <c r="H1972">
        <v>29109100</v>
      </c>
    </row>
    <row r="1973" spans="1:9" x14ac:dyDescent="0.25">
      <c r="A1973" t="str">
        <f t="shared" si="46"/>
        <v>40292</v>
      </c>
      <c r="B1973" t="s">
        <v>38</v>
      </c>
      <c r="C1973" t="s">
        <v>827</v>
      </c>
      <c r="D1973" t="str">
        <f>"006"</f>
        <v>006</v>
      </c>
      <c r="E1973">
        <v>2004</v>
      </c>
      <c r="F1973">
        <v>1330600</v>
      </c>
      <c r="G1973">
        <v>21241700</v>
      </c>
      <c r="H1973">
        <v>19911100</v>
      </c>
    </row>
    <row r="1974" spans="1:9" x14ac:dyDescent="0.25">
      <c r="A1974" t="str">
        <f t="shared" si="46"/>
        <v>40292</v>
      </c>
      <c r="B1974" t="s">
        <v>38</v>
      </c>
      <c r="C1974" t="s">
        <v>827</v>
      </c>
      <c r="D1974" t="str">
        <f>"007"</f>
        <v>007</v>
      </c>
      <c r="E1974">
        <v>2004</v>
      </c>
      <c r="F1974">
        <v>15914400</v>
      </c>
      <c r="G1974">
        <v>89042200</v>
      </c>
      <c r="H1974">
        <v>73127800</v>
      </c>
    </row>
    <row r="1975" spans="1:9" x14ac:dyDescent="0.25">
      <c r="A1975" t="str">
        <f t="shared" si="46"/>
        <v>40292</v>
      </c>
      <c r="B1975" t="s">
        <v>38</v>
      </c>
      <c r="C1975" t="s">
        <v>827</v>
      </c>
      <c r="D1975" t="str">
        <f>"009"</f>
        <v>009</v>
      </c>
      <c r="E1975">
        <v>2006</v>
      </c>
      <c r="F1975">
        <v>2299600</v>
      </c>
      <c r="G1975">
        <v>12999500</v>
      </c>
      <c r="H1975">
        <v>10699900</v>
      </c>
    </row>
    <row r="1976" spans="1:9" x14ac:dyDescent="0.25">
      <c r="A1976" t="str">
        <f t="shared" si="46"/>
        <v>40292</v>
      </c>
      <c r="B1976" t="s">
        <v>38</v>
      </c>
      <c r="C1976" t="s">
        <v>827</v>
      </c>
      <c r="D1976" t="str">
        <f>"010"</f>
        <v>010</v>
      </c>
      <c r="E1976">
        <v>2008</v>
      </c>
      <c r="F1976">
        <v>3463600</v>
      </c>
      <c r="G1976">
        <v>13192800</v>
      </c>
      <c r="H1976">
        <v>9729200</v>
      </c>
    </row>
    <row r="1977" spans="1:9" x14ac:dyDescent="0.25">
      <c r="A1977" t="str">
        <f t="shared" si="46"/>
        <v>40292</v>
      </c>
      <c r="B1977" t="s">
        <v>38</v>
      </c>
      <c r="C1977" t="s">
        <v>827</v>
      </c>
      <c r="D1977" t="str">
        <f>"011"</f>
        <v>011</v>
      </c>
      <c r="E1977">
        <v>2010</v>
      </c>
      <c r="F1977">
        <v>4678000</v>
      </c>
      <c r="G1977">
        <v>17042300</v>
      </c>
      <c r="H1977">
        <v>12364300</v>
      </c>
    </row>
    <row r="1978" spans="1:9" x14ac:dyDescent="0.25">
      <c r="A1978" t="str">
        <f t="shared" si="46"/>
        <v>40292</v>
      </c>
      <c r="B1978" t="s">
        <v>38</v>
      </c>
      <c r="C1978" t="s">
        <v>827</v>
      </c>
      <c r="D1978" t="str">
        <f>"012"</f>
        <v>012</v>
      </c>
      <c r="E1978">
        <v>2011</v>
      </c>
      <c r="F1978">
        <v>232900</v>
      </c>
      <c r="G1978">
        <v>0</v>
      </c>
      <c r="H1978">
        <v>0</v>
      </c>
    </row>
    <row r="1979" spans="1:9" x14ac:dyDescent="0.25">
      <c r="A1979" t="str">
        <f t="shared" si="46"/>
        <v>40292</v>
      </c>
      <c r="B1979" t="s">
        <v>38</v>
      </c>
      <c r="C1979" t="s">
        <v>827</v>
      </c>
      <c r="D1979" t="str">
        <f>"013"</f>
        <v>013</v>
      </c>
      <c r="E1979">
        <v>2011</v>
      </c>
      <c r="F1979">
        <v>537400</v>
      </c>
      <c r="G1979">
        <v>814100</v>
      </c>
      <c r="H1979">
        <v>276700</v>
      </c>
    </row>
    <row r="1980" spans="1:9" x14ac:dyDescent="0.25">
      <c r="A1980" t="str">
        <f t="shared" si="46"/>
        <v>40292</v>
      </c>
      <c r="B1980" t="s">
        <v>38</v>
      </c>
      <c r="C1980" t="s">
        <v>827</v>
      </c>
      <c r="D1980" t="str">
        <f>"014"</f>
        <v>014</v>
      </c>
      <c r="E1980">
        <v>2015</v>
      </c>
      <c r="F1980">
        <v>1354300</v>
      </c>
      <c r="G1980">
        <v>559300</v>
      </c>
      <c r="H1980">
        <v>0</v>
      </c>
    </row>
    <row r="1981" spans="1:9" x14ac:dyDescent="0.25">
      <c r="A1981" t="str">
        <f t="shared" si="46"/>
        <v>40292</v>
      </c>
      <c r="B1981" t="s">
        <v>38</v>
      </c>
      <c r="C1981" t="s">
        <v>827</v>
      </c>
      <c r="D1981" t="str">
        <f>"015"</f>
        <v>015</v>
      </c>
      <c r="E1981">
        <v>2016</v>
      </c>
      <c r="F1981">
        <v>0</v>
      </c>
      <c r="G1981">
        <v>7648200</v>
      </c>
      <c r="H1981">
        <v>7648200</v>
      </c>
    </row>
    <row r="1982" spans="1:9" x14ac:dyDescent="0.25">
      <c r="A1982" t="str">
        <f t="shared" si="46"/>
        <v>40292</v>
      </c>
      <c r="B1982" t="s">
        <v>38</v>
      </c>
      <c r="C1982" t="s">
        <v>827</v>
      </c>
      <c r="D1982" t="str">
        <f>"016"</f>
        <v>016</v>
      </c>
      <c r="E1982">
        <v>2018</v>
      </c>
      <c r="F1982">
        <v>3283200</v>
      </c>
      <c r="G1982">
        <v>4229900</v>
      </c>
      <c r="H1982">
        <v>946700</v>
      </c>
    </row>
    <row r="1983" spans="1:9" x14ac:dyDescent="0.25">
      <c r="A1983" t="str">
        <f t="shared" si="46"/>
        <v>40292</v>
      </c>
      <c r="B1983" t="s">
        <v>38</v>
      </c>
      <c r="C1983" t="s">
        <v>827</v>
      </c>
      <c r="D1983" t="s">
        <v>13</v>
      </c>
      <c r="E1983" t="s">
        <v>14</v>
      </c>
      <c r="F1983" t="s">
        <v>15</v>
      </c>
      <c r="G1983" t="s">
        <v>15</v>
      </c>
      <c r="H1983" t="s">
        <v>15</v>
      </c>
      <c r="I1983" s="1">
        <v>3846563800</v>
      </c>
    </row>
    <row r="1984" spans="1:9" x14ac:dyDescent="0.25">
      <c r="A1984" t="s">
        <v>32</v>
      </c>
      <c r="B1984" t="s">
        <v>40</v>
      </c>
      <c r="C1984" t="s">
        <v>34</v>
      </c>
      <c r="D1984" t="s">
        <v>13</v>
      </c>
      <c r="E1984" t="s">
        <v>14</v>
      </c>
      <c r="F1984" t="s">
        <v>15</v>
      </c>
      <c r="G1984" t="s">
        <v>15</v>
      </c>
      <c r="H1984" t="s">
        <v>15</v>
      </c>
      <c r="I1984" s="1">
        <v>53394805600</v>
      </c>
    </row>
    <row r="1985" spans="1:9" x14ac:dyDescent="0.25">
      <c r="A1985" t="s">
        <v>32</v>
      </c>
      <c r="B1985" t="s">
        <v>41</v>
      </c>
      <c r="C1985" t="s">
        <v>822</v>
      </c>
      <c r="D1985" t="s">
        <v>13</v>
      </c>
      <c r="E1985" t="s">
        <v>14</v>
      </c>
      <c r="F1985" t="s">
        <v>15</v>
      </c>
      <c r="G1985" t="s">
        <v>15</v>
      </c>
      <c r="H1985" t="s">
        <v>15</v>
      </c>
      <c r="I1985" s="1">
        <v>63089236800</v>
      </c>
    </row>
    <row r="1986" spans="1:9" x14ac:dyDescent="0.25">
      <c r="A1986" t="str">
        <f>"41002"</f>
        <v>41002</v>
      </c>
      <c r="B1986" t="s">
        <v>11</v>
      </c>
      <c r="C1986" t="s">
        <v>828</v>
      </c>
      <c r="D1986" t="s">
        <v>13</v>
      </c>
      <c r="E1986" t="s">
        <v>14</v>
      </c>
      <c r="F1986" t="s">
        <v>15</v>
      </c>
      <c r="G1986" t="s">
        <v>15</v>
      </c>
      <c r="H1986" t="s">
        <v>15</v>
      </c>
      <c r="I1986" s="1">
        <v>75659800</v>
      </c>
    </row>
    <row r="1987" spans="1:9" x14ac:dyDescent="0.25">
      <c r="A1987" t="str">
        <f>"41004"</f>
        <v>41004</v>
      </c>
      <c r="B1987" t="s">
        <v>11</v>
      </c>
      <c r="C1987" t="s">
        <v>829</v>
      </c>
      <c r="D1987" t="s">
        <v>13</v>
      </c>
      <c r="E1987" t="s">
        <v>14</v>
      </c>
      <c r="F1987" t="s">
        <v>15</v>
      </c>
      <c r="G1987" t="s">
        <v>15</v>
      </c>
      <c r="H1987" t="s">
        <v>15</v>
      </c>
      <c r="I1987" s="1">
        <v>81073600</v>
      </c>
    </row>
    <row r="1988" spans="1:9" x14ac:dyDescent="0.25">
      <c r="A1988" t="str">
        <f>"41006"</f>
        <v>41006</v>
      </c>
      <c r="B1988" t="s">
        <v>11</v>
      </c>
      <c r="C1988" t="s">
        <v>458</v>
      </c>
      <c r="D1988" t="s">
        <v>13</v>
      </c>
      <c r="E1988" t="s">
        <v>14</v>
      </c>
      <c r="F1988" t="s">
        <v>15</v>
      </c>
      <c r="G1988" t="s">
        <v>15</v>
      </c>
      <c r="H1988" t="s">
        <v>15</v>
      </c>
      <c r="I1988" s="1">
        <v>131082000</v>
      </c>
    </row>
    <row r="1989" spans="1:9" x14ac:dyDescent="0.25">
      <c r="A1989" t="str">
        <f>"41008"</f>
        <v>41008</v>
      </c>
      <c r="B1989" t="s">
        <v>11</v>
      </c>
      <c r="C1989" t="s">
        <v>497</v>
      </c>
      <c r="D1989" t="s">
        <v>13</v>
      </c>
      <c r="E1989" t="s">
        <v>14</v>
      </c>
      <c r="F1989" t="s">
        <v>15</v>
      </c>
      <c r="G1989" t="s">
        <v>15</v>
      </c>
      <c r="H1989" t="s">
        <v>15</v>
      </c>
      <c r="I1989" s="1">
        <v>41139300</v>
      </c>
    </row>
    <row r="1990" spans="1:9" x14ac:dyDescent="0.25">
      <c r="A1990" t="str">
        <f>"41010"</f>
        <v>41010</v>
      </c>
      <c r="B1990" t="s">
        <v>11</v>
      </c>
      <c r="C1990" t="s">
        <v>821</v>
      </c>
      <c r="D1990" t="s">
        <v>13</v>
      </c>
      <c r="E1990" t="s">
        <v>14</v>
      </c>
      <c r="F1990" t="s">
        <v>15</v>
      </c>
      <c r="G1990" t="s">
        <v>15</v>
      </c>
      <c r="H1990" t="s">
        <v>15</v>
      </c>
      <c r="I1990" s="1">
        <v>44659700</v>
      </c>
    </row>
    <row r="1991" spans="1:9" x14ac:dyDescent="0.25">
      <c r="A1991" t="str">
        <f>"41012"</f>
        <v>41012</v>
      </c>
      <c r="B1991" t="s">
        <v>11</v>
      </c>
      <c r="C1991" t="s">
        <v>221</v>
      </c>
      <c r="D1991" t="s">
        <v>13</v>
      </c>
      <c r="E1991" t="s">
        <v>14</v>
      </c>
      <c r="F1991" t="s">
        <v>15</v>
      </c>
      <c r="G1991" t="s">
        <v>15</v>
      </c>
      <c r="H1991" t="s">
        <v>15</v>
      </c>
      <c r="I1991" s="1">
        <v>44520300</v>
      </c>
    </row>
    <row r="1992" spans="1:9" x14ac:dyDescent="0.25">
      <c r="A1992" t="str">
        <f>"41014"</f>
        <v>41014</v>
      </c>
      <c r="B1992" t="s">
        <v>11</v>
      </c>
      <c r="C1992" t="s">
        <v>665</v>
      </c>
      <c r="D1992" t="s">
        <v>13</v>
      </c>
      <c r="E1992" t="s">
        <v>14</v>
      </c>
      <c r="F1992" t="s">
        <v>15</v>
      </c>
      <c r="G1992" t="s">
        <v>15</v>
      </c>
      <c r="H1992" t="s">
        <v>15</v>
      </c>
      <c r="I1992" s="1">
        <v>124695200</v>
      </c>
    </row>
    <row r="1993" spans="1:9" x14ac:dyDescent="0.25">
      <c r="A1993" t="str">
        <f>"41016"</f>
        <v>41016</v>
      </c>
      <c r="B1993" t="s">
        <v>11</v>
      </c>
      <c r="C1993" t="s">
        <v>537</v>
      </c>
      <c r="D1993" t="s">
        <v>13</v>
      </c>
      <c r="E1993" t="s">
        <v>14</v>
      </c>
      <c r="F1993" t="s">
        <v>15</v>
      </c>
      <c r="G1993" t="s">
        <v>15</v>
      </c>
      <c r="H1993" t="s">
        <v>15</v>
      </c>
      <c r="I1993" s="1">
        <v>53864100</v>
      </c>
    </row>
    <row r="1994" spans="1:9" x14ac:dyDescent="0.25">
      <c r="A1994" t="str">
        <f>"41018"</f>
        <v>41018</v>
      </c>
      <c r="B1994" t="s">
        <v>11</v>
      </c>
      <c r="C1994" t="s">
        <v>830</v>
      </c>
      <c r="D1994" t="s">
        <v>13</v>
      </c>
      <c r="E1994" t="s">
        <v>14</v>
      </c>
      <c r="F1994" t="s">
        <v>15</v>
      </c>
      <c r="G1994" t="s">
        <v>15</v>
      </c>
      <c r="H1994" t="s">
        <v>15</v>
      </c>
      <c r="I1994" s="1">
        <v>27925200</v>
      </c>
    </row>
    <row r="1995" spans="1:9" x14ac:dyDescent="0.25">
      <c r="A1995" t="str">
        <f>"41020"</f>
        <v>41020</v>
      </c>
      <c r="B1995" t="s">
        <v>11</v>
      </c>
      <c r="C1995" t="s">
        <v>831</v>
      </c>
      <c r="D1995" t="s">
        <v>13</v>
      </c>
      <c r="E1995" t="s">
        <v>14</v>
      </c>
      <c r="F1995" t="s">
        <v>15</v>
      </c>
      <c r="G1995" t="s">
        <v>15</v>
      </c>
      <c r="H1995" t="s">
        <v>15</v>
      </c>
      <c r="I1995" s="1">
        <v>168045600</v>
      </c>
    </row>
    <row r="1996" spans="1:9" x14ac:dyDescent="0.25">
      <c r="A1996" t="str">
        <f>"41022"</f>
        <v>41022</v>
      </c>
      <c r="B1996" t="s">
        <v>11</v>
      </c>
      <c r="C1996" t="s">
        <v>832</v>
      </c>
      <c r="D1996" t="s">
        <v>13</v>
      </c>
      <c r="E1996" t="s">
        <v>14</v>
      </c>
      <c r="F1996" t="s">
        <v>15</v>
      </c>
      <c r="G1996" t="s">
        <v>15</v>
      </c>
      <c r="H1996" t="s">
        <v>15</v>
      </c>
      <c r="I1996" s="1">
        <v>99823600</v>
      </c>
    </row>
    <row r="1997" spans="1:9" x14ac:dyDescent="0.25">
      <c r="A1997" t="str">
        <f>"41024"</f>
        <v>41024</v>
      </c>
      <c r="B1997" t="s">
        <v>11</v>
      </c>
      <c r="C1997" t="s">
        <v>22</v>
      </c>
      <c r="D1997" t="s">
        <v>13</v>
      </c>
      <c r="E1997" t="s">
        <v>14</v>
      </c>
      <c r="F1997" t="s">
        <v>15</v>
      </c>
      <c r="G1997" t="s">
        <v>15</v>
      </c>
      <c r="H1997" t="s">
        <v>15</v>
      </c>
      <c r="I1997" s="1">
        <v>92384700</v>
      </c>
    </row>
    <row r="1998" spans="1:9" x14ac:dyDescent="0.25">
      <c r="A1998" t="str">
        <f>"41026"</f>
        <v>41026</v>
      </c>
      <c r="B1998" t="s">
        <v>11</v>
      </c>
      <c r="C1998" t="s">
        <v>833</v>
      </c>
      <c r="D1998" t="s">
        <v>13</v>
      </c>
      <c r="E1998" t="s">
        <v>14</v>
      </c>
      <c r="F1998" t="s">
        <v>15</v>
      </c>
      <c r="G1998" t="s">
        <v>15</v>
      </c>
      <c r="H1998" t="s">
        <v>15</v>
      </c>
      <c r="I1998" s="1">
        <v>131964500</v>
      </c>
    </row>
    <row r="1999" spans="1:9" x14ac:dyDescent="0.25">
      <c r="A1999" t="str">
        <f>"41028"</f>
        <v>41028</v>
      </c>
      <c r="B1999" t="s">
        <v>11</v>
      </c>
      <c r="C1999" t="s">
        <v>834</v>
      </c>
      <c r="D1999" t="s">
        <v>13</v>
      </c>
      <c r="E1999" t="s">
        <v>14</v>
      </c>
      <c r="F1999" t="s">
        <v>15</v>
      </c>
      <c r="G1999" t="s">
        <v>15</v>
      </c>
      <c r="H1999" t="s">
        <v>15</v>
      </c>
      <c r="I1999" s="1">
        <v>25541700</v>
      </c>
    </row>
    <row r="2000" spans="1:9" x14ac:dyDescent="0.25">
      <c r="A2000" t="str">
        <f>"41030"</f>
        <v>41030</v>
      </c>
      <c r="B2000" t="s">
        <v>11</v>
      </c>
      <c r="C2000" t="s">
        <v>835</v>
      </c>
      <c r="D2000" t="s">
        <v>13</v>
      </c>
      <c r="E2000" t="s">
        <v>14</v>
      </c>
      <c r="F2000" t="s">
        <v>15</v>
      </c>
      <c r="G2000" t="s">
        <v>15</v>
      </c>
      <c r="H2000" t="s">
        <v>15</v>
      </c>
      <c r="I2000" s="1">
        <v>129591600</v>
      </c>
    </row>
    <row r="2001" spans="1:9" x14ac:dyDescent="0.25">
      <c r="A2001" t="str">
        <f>"41032"</f>
        <v>41032</v>
      </c>
      <c r="B2001" t="s">
        <v>11</v>
      </c>
      <c r="C2001" t="s">
        <v>364</v>
      </c>
      <c r="D2001" t="s">
        <v>13</v>
      </c>
      <c r="E2001" t="s">
        <v>14</v>
      </c>
      <c r="F2001" t="s">
        <v>15</v>
      </c>
      <c r="G2001" t="s">
        <v>15</v>
      </c>
      <c r="H2001" t="s">
        <v>15</v>
      </c>
      <c r="I2001" s="1">
        <v>61795400</v>
      </c>
    </row>
    <row r="2002" spans="1:9" x14ac:dyDescent="0.25">
      <c r="A2002" t="str">
        <f>"41034"</f>
        <v>41034</v>
      </c>
      <c r="B2002" t="s">
        <v>11</v>
      </c>
      <c r="C2002" t="s">
        <v>836</v>
      </c>
      <c r="D2002" t="s">
        <v>13</v>
      </c>
      <c r="E2002" t="s">
        <v>14</v>
      </c>
      <c r="F2002" t="s">
        <v>15</v>
      </c>
      <c r="G2002" t="s">
        <v>15</v>
      </c>
      <c r="H2002" t="s">
        <v>15</v>
      </c>
      <c r="I2002" s="1">
        <v>41603900</v>
      </c>
    </row>
    <row r="2003" spans="1:9" x14ac:dyDescent="0.25">
      <c r="A2003" t="str">
        <f>"41036"</f>
        <v>41036</v>
      </c>
      <c r="B2003" t="s">
        <v>11</v>
      </c>
      <c r="C2003" t="s">
        <v>120</v>
      </c>
      <c r="D2003" t="s">
        <v>13</v>
      </c>
      <c r="E2003" t="s">
        <v>14</v>
      </c>
      <c r="F2003" t="s">
        <v>15</v>
      </c>
      <c r="G2003" t="s">
        <v>15</v>
      </c>
      <c r="H2003" t="s">
        <v>15</v>
      </c>
      <c r="I2003" s="1">
        <v>13022800</v>
      </c>
    </row>
    <row r="2004" spans="1:9" x14ac:dyDescent="0.25">
      <c r="A2004" t="str">
        <f>"41038"</f>
        <v>41038</v>
      </c>
      <c r="B2004" t="s">
        <v>11</v>
      </c>
      <c r="C2004" t="s">
        <v>837</v>
      </c>
      <c r="D2004" t="s">
        <v>13</v>
      </c>
      <c r="E2004" t="s">
        <v>14</v>
      </c>
      <c r="F2004" t="s">
        <v>15</v>
      </c>
      <c r="G2004" t="s">
        <v>15</v>
      </c>
      <c r="H2004" t="s">
        <v>15</v>
      </c>
      <c r="I2004" s="1">
        <v>38277600</v>
      </c>
    </row>
    <row r="2005" spans="1:9" x14ac:dyDescent="0.25">
      <c r="A2005" t="str">
        <f>"41040"</f>
        <v>41040</v>
      </c>
      <c r="B2005" t="s">
        <v>11</v>
      </c>
      <c r="C2005" t="s">
        <v>838</v>
      </c>
      <c r="D2005" t="s">
        <v>13</v>
      </c>
      <c r="E2005" t="s">
        <v>14</v>
      </c>
      <c r="F2005" t="s">
        <v>15</v>
      </c>
      <c r="G2005" t="s">
        <v>15</v>
      </c>
      <c r="H2005" t="s">
        <v>15</v>
      </c>
      <c r="I2005" s="1">
        <v>269997900</v>
      </c>
    </row>
    <row r="2006" spans="1:9" x14ac:dyDescent="0.25">
      <c r="A2006" t="str">
        <f>"41042"</f>
        <v>41042</v>
      </c>
      <c r="B2006" t="s">
        <v>11</v>
      </c>
      <c r="C2006" t="s">
        <v>839</v>
      </c>
      <c r="D2006" t="s">
        <v>13</v>
      </c>
      <c r="E2006" t="s">
        <v>14</v>
      </c>
      <c r="F2006" t="s">
        <v>15</v>
      </c>
      <c r="G2006" t="s">
        <v>15</v>
      </c>
      <c r="H2006" t="s">
        <v>15</v>
      </c>
      <c r="I2006" s="1">
        <v>123199200</v>
      </c>
    </row>
    <row r="2007" spans="1:9" x14ac:dyDescent="0.25">
      <c r="A2007" t="str">
        <f>"41044"</f>
        <v>41044</v>
      </c>
      <c r="B2007" t="s">
        <v>11</v>
      </c>
      <c r="C2007" t="s">
        <v>840</v>
      </c>
      <c r="D2007" t="s">
        <v>13</v>
      </c>
      <c r="E2007" t="s">
        <v>14</v>
      </c>
      <c r="F2007" t="s">
        <v>15</v>
      </c>
      <c r="G2007" t="s">
        <v>15</v>
      </c>
      <c r="H2007" t="s">
        <v>15</v>
      </c>
      <c r="I2007" s="1">
        <v>41384400</v>
      </c>
    </row>
    <row r="2008" spans="1:9" x14ac:dyDescent="0.25">
      <c r="A2008" t="str">
        <f>"41046"</f>
        <v>41046</v>
      </c>
      <c r="B2008" t="s">
        <v>11</v>
      </c>
      <c r="C2008" t="s">
        <v>841</v>
      </c>
      <c r="D2008" t="s">
        <v>13</v>
      </c>
      <c r="E2008" t="s">
        <v>14</v>
      </c>
      <c r="F2008" t="s">
        <v>15</v>
      </c>
      <c r="G2008" t="s">
        <v>15</v>
      </c>
      <c r="H2008" t="s">
        <v>15</v>
      </c>
      <c r="I2008" s="1">
        <v>53236400</v>
      </c>
    </row>
    <row r="2009" spans="1:9" x14ac:dyDescent="0.25">
      <c r="A2009" t="str">
        <f>"41048"</f>
        <v>41048</v>
      </c>
      <c r="B2009" t="s">
        <v>11</v>
      </c>
      <c r="C2009" t="s">
        <v>842</v>
      </c>
      <c r="D2009" t="s">
        <v>13</v>
      </c>
      <c r="E2009" t="s">
        <v>14</v>
      </c>
      <c r="F2009" t="s">
        <v>15</v>
      </c>
      <c r="G2009" t="s">
        <v>15</v>
      </c>
      <c r="H2009" t="s">
        <v>15</v>
      </c>
      <c r="I2009" s="1">
        <v>45560100</v>
      </c>
    </row>
    <row r="2010" spans="1:9" x14ac:dyDescent="0.25">
      <c r="A2010" t="s">
        <v>32</v>
      </c>
      <c r="B2010" t="s">
        <v>33</v>
      </c>
      <c r="C2010" t="s">
        <v>34</v>
      </c>
      <c r="D2010" t="s">
        <v>13</v>
      </c>
      <c r="E2010" t="s">
        <v>14</v>
      </c>
      <c r="F2010" t="s">
        <v>15</v>
      </c>
      <c r="G2010" t="s">
        <v>15</v>
      </c>
      <c r="H2010" t="s">
        <v>15</v>
      </c>
      <c r="I2010" s="1">
        <v>1960048600</v>
      </c>
    </row>
    <row r="2011" spans="1:9" x14ac:dyDescent="0.25">
      <c r="A2011" t="str">
        <f>"41111"</f>
        <v>41111</v>
      </c>
      <c r="B2011" t="s">
        <v>35</v>
      </c>
      <c r="C2011" t="s">
        <v>843</v>
      </c>
      <c r="D2011" t="str">
        <f>"001"</f>
        <v>001</v>
      </c>
      <c r="E2011">
        <v>1993</v>
      </c>
      <c r="F2011">
        <v>82200</v>
      </c>
      <c r="G2011">
        <v>2714600</v>
      </c>
      <c r="H2011">
        <v>2632400</v>
      </c>
    </row>
    <row r="2012" spans="1:9" x14ac:dyDescent="0.25">
      <c r="A2012" t="str">
        <f>"41111"</f>
        <v>41111</v>
      </c>
      <c r="B2012" t="s">
        <v>35</v>
      </c>
      <c r="C2012" t="s">
        <v>843</v>
      </c>
      <c r="D2012" t="str">
        <f>"002"</f>
        <v>002</v>
      </c>
      <c r="E2012">
        <v>1998</v>
      </c>
      <c r="F2012">
        <v>836000</v>
      </c>
      <c r="G2012">
        <v>1554600</v>
      </c>
      <c r="H2012">
        <v>718600</v>
      </c>
    </row>
    <row r="2013" spans="1:9" x14ac:dyDescent="0.25">
      <c r="A2013" t="str">
        <f>"41111"</f>
        <v>41111</v>
      </c>
      <c r="B2013" t="s">
        <v>35</v>
      </c>
      <c r="C2013" t="s">
        <v>843</v>
      </c>
      <c r="D2013" t="str">
        <f>"003"</f>
        <v>003</v>
      </c>
      <c r="E2013">
        <v>2005</v>
      </c>
      <c r="F2013">
        <v>332300</v>
      </c>
      <c r="G2013">
        <v>43168200</v>
      </c>
      <c r="H2013">
        <v>42835900</v>
      </c>
    </row>
    <row r="2014" spans="1:9" x14ac:dyDescent="0.25">
      <c r="A2014" t="str">
        <f>"41111"</f>
        <v>41111</v>
      </c>
      <c r="B2014" t="s">
        <v>35</v>
      </c>
      <c r="C2014" t="s">
        <v>843</v>
      </c>
      <c r="D2014" t="s">
        <v>13</v>
      </c>
      <c r="E2014" t="s">
        <v>14</v>
      </c>
      <c r="F2014" t="s">
        <v>15</v>
      </c>
      <c r="G2014" t="s">
        <v>15</v>
      </c>
      <c r="H2014" t="s">
        <v>15</v>
      </c>
      <c r="I2014" s="1">
        <v>50398800</v>
      </c>
    </row>
    <row r="2015" spans="1:9" x14ac:dyDescent="0.25">
      <c r="A2015" t="str">
        <f>"41141"</f>
        <v>41141</v>
      </c>
      <c r="B2015" t="s">
        <v>35</v>
      </c>
      <c r="C2015" t="s">
        <v>681</v>
      </c>
      <c r="D2015" t="s">
        <v>13</v>
      </c>
      <c r="E2015" t="s">
        <v>14</v>
      </c>
      <c r="F2015" t="s">
        <v>15</v>
      </c>
      <c r="G2015" t="s">
        <v>15</v>
      </c>
      <c r="H2015" t="s">
        <v>15</v>
      </c>
      <c r="I2015" s="1">
        <v>18279100</v>
      </c>
    </row>
    <row r="2016" spans="1:9" x14ac:dyDescent="0.25">
      <c r="A2016" t="str">
        <f>"41151"</f>
        <v>41151</v>
      </c>
      <c r="B2016" t="s">
        <v>35</v>
      </c>
      <c r="C2016" t="s">
        <v>844</v>
      </c>
      <c r="D2016" t="s">
        <v>13</v>
      </c>
      <c r="E2016" t="s">
        <v>14</v>
      </c>
      <c r="F2016" t="s">
        <v>15</v>
      </c>
      <c r="G2016" t="s">
        <v>15</v>
      </c>
      <c r="H2016" t="s">
        <v>15</v>
      </c>
      <c r="I2016" s="1">
        <v>2827500</v>
      </c>
    </row>
    <row r="2017" spans="1:9" x14ac:dyDescent="0.25">
      <c r="A2017" t="str">
        <f>"41161"</f>
        <v>41161</v>
      </c>
      <c r="B2017" t="s">
        <v>35</v>
      </c>
      <c r="C2017" t="s">
        <v>845</v>
      </c>
      <c r="D2017" t="s">
        <v>13</v>
      </c>
      <c r="E2017" t="s">
        <v>14</v>
      </c>
      <c r="F2017" t="s">
        <v>15</v>
      </c>
      <c r="G2017" t="s">
        <v>15</v>
      </c>
      <c r="H2017" t="s">
        <v>15</v>
      </c>
      <c r="I2017" s="1">
        <v>15949200</v>
      </c>
    </row>
    <row r="2018" spans="1:9" x14ac:dyDescent="0.25">
      <c r="A2018" t="str">
        <f>"41165"</f>
        <v>41165</v>
      </c>
      <c r="B2018" t="s">
        <v>35</v>
      </c>
      <c r="C2018" t="s">
        <v>835</v>
      </c>
      <c r="D2018" t="s">
        <v>13</v>
      </c>
      <c r="E2018" t="s">
        <v>14</v>
      </c>
      <c r="F2018" t="s">
        <v>15</v>
      </c>
      <c r="G2018" t="s">
        <v>15</v>
      </c>
      <c r="H2018" t="s">
        <v>15</v>
      </c>
      <c r="I2018" s="1">
        <v>23141500</v>
      </c>
    </row>
    <row r="2019" spans="1:9" x14ac:dyDescent="0.25">
      <c r="A2019" t="str">
        <f>"41166"</f>
        <v>41166</v>
      </c>
      <c r="B2019" t="s">
        <v>35</v>
      </c>
      <c r="C2019" t="s">
        <v>846</v>
      </c>
      <c r="D2019" t="s">
        <v>13</v>
      </c>
      <c r="E2019" t="s">
        <v>14</v>
      </c>
      <c r="F2019" t="s">
        <v>15</v>
      </c>
      <c r="G2019" t="s">
        <v>15</v>
      </c>
      <c r="H2019" t="s">
        <v>15</v>
      </c>
      <c r="I2019" s="1">
        <v>0</v>
      </c>
    </row>
    <row r="2020" spans="1:9" x14ac:dyDescent="0.25">
      <c r="A2020" t="str">
        <f>"41176"</f>
        <v>41176</v>
      </c>
      <c r="B2020" t="s">
        <v>35</v>
      </c>
      <c r="C2020" t="s">
        <v>119</v>
      </c>
      <c r="D2020" t="str">
        <f>"001"</f>
        <v>001</v>
      </c>
      <c r="E2020">
        <v>2010</v>
      </c>
      <c r="F2020">
        <v>1837400</v>
      </c>
      <c r="G2020">
        <v>3853200</v>
      </c>
      <c r="H2020">
        <v>2015800</v>
      </c>
    </row>
    <row r="2021" spans="1:9" x14ac:dyDescent="0.25">
      <c r="A2021" t="str">
        <f>"41176"</f>
        <v>41176</v>
      </c>
      <c r="B2021" t="s">
        <v>35</v>
      </c>
      <c r="C2021" t="s">
        <v>119</v>
      </c>
      <c r="D2021" t="s">
        <v>13</v>
      </c>
      <c r="E2021" t="s">
        <v>14</v>
      </c>
      <c r="F2021" t="s">
        <v>15</v>
      </c>
      <c r="G2021" t="s">
        <v>15</v>
      </c>
      <c r="H2021" t="s">
        <v>15</v>
      </c>
      <c r="I2021" s="1">
        <v>1846500</v>
      </c>
    </row>
    <row r="2022" spans="1:9" x14ac:dyDescent="0.25">
      <c r="A2022" t="str">
        <f>"41185"</f>
        <v>41185</v>
      </c>
      <c r="B2022" t="s">
        <v>35</v>
      </c>
      <c r="C2022" t="s">
        <v>847</v>
      </c>
      <c r="D2022" t="str">
        <f>"001"</f>
        <v>001</v>
      </c>
      <c r="E2022">
        <v>1998</v>
      </c>
      <c r="F2022">
        <v>8113400</v>
      </c>
      <c r="G2022">
        <v>47014000</v>
      </c>
      <c r="H2022">
        <v>38900600</v>
      </c>
    </row>
    <row r="2023" spans="1:9" x14ac:dyDescent="0.25">
      <c r="A2023" t="str">
        <f>"41185"</f>
        <v>41185</v>
      </c>
      <c r="B2023" t="s">
        <v>35</v>
      </c>
      <c r="C2023" t="s">
        <v>847</v>
      </c>
      <c r="D2023" t="s">
        <v>13</v>
      </c>
      <c r="E2023" t="s">
        <v>14</v>
      </c>
      <c r="F2023" t="s">
        <v>15</v>
      </c>
      <c r="G2023" t="s">
        <v>15</v>
      </c>
      <c r="H2023" t="s">
        <v>15</v>
      </c>
      <c r="I2023" s="1">
        <v>17241900</v>
      </c>
    </row>
    <row r="2024" spans="1:9" x14ac:dyDescent="0.25">
      <c r="A2024" t="str">
        <f>"41191"</f>
        <v>41191</v>
      </c>
      <c r="B2024" t="s">
        <v>35</v>
      </c>
      <c r="C2024" t="s">
        <v>842</v>
      </c>
      <c r="D2024" t="str">
        <f>"002"</f>
        <v>002</v>
      </c>
      <c r="E2024">
        <v>1998</v>
      </c>
      <c r="F2024">
        <v>2261500</v>
      </c>
      <c r="G2024">
        <v>19357500</v>
      </c>
      <c r="H2024">
        <v>17096000</v>
      </c>
    </row>
    <row r="2025" spans="1:9" x14ac:dyDescent="0.25">
      <c r="A2025" t="str">
        <f>"41191"</f>
        <v>41191</v>
      </c>
      <c r="B2025" t="s">
        <v>35</v>
      </c>
      <c r="C2025" t="s">
        <v>842</v>
      </c>
      <c r="D2025" t="s">
        <v>13</v>
      </c>
      <c r="E2025" t="s">
        <v>14</v>
      </c>
      <c r="F2025" t="s">
        <v>15</v>
      </c>
      <c r="G2025" t="s">
        <v>15</v>
      </c>
      <c r="H2025" t="s">
        <v>15</v>
      </c>
      <c r="I2025" s="1">
        <v>17062300</v>
      </c>
    </row>
    <row r="2026" spans="1:9" x14ac:dyDescent="0.25">
      <c r="A2026" t="str">
        <f>"41192"</f>
        <v>41192</v>
      </c>
      <c r="B2026" t="s">
        <v>35</v>
      </c>
      <c r="C2026" t="s">
        <v>848</v>
      </c>
      <c r="D2026" t="s">
        <v>13</v>
      </c>
      <c r="E2026" t="s">
        <v>14</v>
      </c>
      <c r="F2026" t="s">
        <v>15</v>
      </c>
      <c r="G2026" t="s">
        <v>15</v>
      </c>
      <c r="H2026" t="s">
        <v>15</v>
      </c>
      <c r="I2026" s="1">
        <v>5885800</v>
      </c>
    </row>
    <row r="2027" spans="1:9" x14ac:dyDescent="0.25">
      <c r="A2027" t="s">
        <v>32</v>
      </c>
      <c r="B2027" t="s">
        <v>37</v>
      </c>
      <c r="C2027" t="s">
        <v>34</v>
      </c>
      <c r="D2027" t="s">
        <v>13</v>
      </c>
      <c r="E2027" t="s">
        <v>14</v>
      </c>
      <c r="F2027" t="s">
        <v>15</v>
      </c>
      <c r="G2027" t="s">
        <v>15</v>
      </c>
      <c r="H2027" t="s">
        <v>15</v>
      </c>
      <c r="I2027" s="1">
        <v>152632600</v>
      </c>
    </row>
    <row r="2028" spans="1:9" x14ac:dyDescent="0.25">
      <c r="A2028" t="str">
        <f t="shared" ref="A2028:A2033" si="47">"41281"</f>
        <v>41281</v>
      </c>
      <c r="B2028" t="s">
        <v>38</v>
      </c>
      <c r="C2028" t="s">
        <v>838</v>
      </c>
      <c r="D2028" t="str">
        <f>"003"</f>
        <v>003</v>
      </c>
      <c r="E2028">
        <v>1992</v>
      </c>
      <c r="F2028">
        <v>23300</v>
      </c>
      <c r="G2028">
        <v>4654400</v>
      </c>
      <c r="H2028">
        <v>4631100</v>
      </c>
    </row>
    <row r="2029" spans="1:9" x14ac:dyDescent="0.25">
      <c r="A2029" t="str">
        <f t="shared" si="47"/>
        <v>41281</v>
      </c>
      <c r="B2029" t="s">
        <v>38</v>
      </c>
      <c r="C2029" t="s">
        <v>838</v>
      </c>
      <c r="D2029" t="str">
        <f>"005"</f>
        <v>005</v>
      </c>
      <c r="E2029">
        <v>1996</v>
      </c>
      <c r="F2029">
        <v>358000</v>
      </c>
      <c r="G2029">
        <v>40004500</v>
      </c>
      <c r="H2029">
        <v>39646500</v>
      </c>
    </row>
    <row r="2030" spans="1:9" x14ac:dyDescent="0.25">
      <c r="A2030" t="str">
        <f t="shared" si="47"/>
        <v>41281</v>
      </c>
      <c r="B2030" t="s">
        <v>38</v>
      </c>
      <c r="C2030" t="s">
        <v>838</v>
      </c>
      <c r="D2030" t="str">
        <f>"006"</f>
        <v>006</v>
      </c>
      <c r="E2030">
        <v>2005</v>
      </c>
      <c r="F2030">
        <v>245500</v>
      </c>
      <c r="G2030">
        <v>11609600</v>
      </c>
      <c r="H2030">
        <v>11364100</v>
      </c>
    </row>
    <row r="2031" spans="1:9" x14ac:dyDescent="0.25">
      <c r="A2031" t="str">
        <f t="shared" si="47"/>
        <v>41281</v>
      </c>
      <c r="B2031" t="s">
        <v>38</v>
      </c>
      <c r="C2031" t="s">
        <v>838</v>
      </c>
      <c r="D2031" t="str">
        <f>"008"</f>
        <v>008</v>
      </c>
      <c r="E2031">
        <v>2010</v>
      </c>
      <c r="F2031">
        <v>1031700</v>
      </c>
      <c r="G2031">
        <v>1733000</v>
      </c>
      <c r="H2031">
        <v>701300</v>
      </c>
    </row>
    <row r="2032" spans="1:9" x14ac:dyDescent="0.25">
      <c r="A2032" t="str">
        <f t="shared" si="47"/>
        <v>41281</v>
      </c>
      <c r="B2032" t="s">
        <v>38</v>
      </c>
      <c r="C2032" t="s">
        <v>838</v>
      </c>
      <c r="D2032" t="str">
        <f>"009"</f>
        <v>009</v>
      </c>
      <c r="E2032">
        <v>2018</v>
      </c>
      <c r="F2032">
        <v>196300</v>
      </c>
      <c r="G2032">
        <v>203400</v>
      </c>
      <c r="H2032">
        <v>7100</v>
      </c>
    </row>
    <row r="2033" spans="1:9" x14ac:dyDescent="0.25">
      <c r="A2033" t="str">
        <f t="shared" si="47"/>
        <v>41281</v>
      </c>
      <c r="B2033" t="s">
        <v>38</v>
      </c>
      <c r="C2033" t="s">
        <v>838</v>
      </c>
      <c r="D2033" t="s">
        <v>13</v>
      </c>
      <c r="E2033" t="s">
        <v>14</v>
      </c>
      <c r="F2033" t="s">
        <v>15</v>
      </c>
      <c r="G2033" t="s">
        <v>15</v>
      </c>
      <c r="H2033" t="s">
        <v>15</v>
      </c>
      <c r="I2033" s="1">
        <v>590266000</v>
      </c>
    </row>
    <row r="2034" spans="1:9" x14ac:dyDescent="0.25">
      <c r="A2034" t="str">
        <f>"41286"</f>
        <v>41286</v>
      </c>
      <c r="B2034" t="s">
        <v>38</v>
      </c>
      <c r="C2034" t="s">
        <v>839</v>
      </c>
      <c r="D2034" t="str">
        <f>"008"</f>
        <v>008</v>
      </c>
      <c r="E2034">
        <v>2015</v>
      </c>
      <c r="F2034">
        <v>39940700</v>
      </c>
      <c r="G2034">
        <v>53436600</v>
      </c>
      <c r="H2034">
        <v>13495900</v>
      </c>
    </row>
    <row r="2035" spans="1:9" x14ac:dyDescent="0.25">
      <c r="A2035" t="str">
        <f>"41286"</f>
        <v>41286</v>
      </c>
      <c r="B2035" t="s">
        <v>38</v>
      </c>
      <c r="C2035" t="s">
        <v>839</v>
      </c>
      <c r="D2035" t="str">
        <f>"009"</f>
        <v>009</v>
      </c>
      <c r="E2035">
        <v>2018</v>
      </c>
      <c r="F2035">
        <v>45249100</v>
      </c>
      <c r="G2035">
        <v>49736300</v>
      </c>
      <c r="H2035">
        <v>4487200</v>
      </c>
    </row>
    <row r="2036" spans="1:9" x14ac:dyDescent="0.25">
      <c r="A2036" t="str">
        <f>"41286"</f>
        <v>41286</v>
      </c>
      <c r="B2036" t="s">
        <v>38</v>
      </c>
      <c r="C2036" t="s">
        <v>839</v>
      </c>
      <c r="D2036" t="str">
        <f>"010"</f>
        <v>010</v>
      </c>
      <c r="E2036">
        <v>2018</v>
      </c>
      <c r="F2036">
        <v>1657500</v>
      </c>
      <c r="G2036">
        <v>7486200</v>
      </c>
      <c r="H2036">
        <v>5828700</v>
      </c>
    </row>
    <row r="2037" spans="1:9" x14ac:dyDescent="0.25">
      <c r="A2037" t="str">
        <f>"41286"</f>
        <v>41286</v>
      </c>
      <c r="B2037" t="s">
        <v>38</v>
      </c>
      <c r="C2037" t="s">
        <v>839</v>
      </c>
      <c r="D2037" t="s">
        <v>13</v>
      </c>
      <c r="E2037" t="s">
        <v>14</v>
      </c>
      <c r="F2037" t="s">
        <v>15</v>
      </c>
      <c r="G2037" t="s">
        <v>15</v>
      </c>
      <c r="H2037" t="s">
        <v>15</v>
      </c>
      <c r="I2037" s="1">
        <v>692455700</v>
      </c>
    </row>
    <row r="2038" spans="1:9" x14ac:dyDescent="0.25">
      <c r="A2038" t="s">
        <v>32</v>
      </c>
      <c r="B2038" t="s">
        <v>40</v>
      </c>
      <c r="C2038" t="s">
        <v>34</v>
      </c>
      <c r="D2038" t="s">
        <v>13</v>
      </c>
      <c r="E2038" t="s">
        <v>14</v>
      </c>
      <c r="F2038" t="s">
        <v>15</v>
      </c>
      <c r="G2038" t="s">
        <v>15</v>
      </c>
      <c r="H2038" t="s">
        <v>15</v>
      </c>
      <c r="I2038" s="1">
        <v>1282721700</v>
      </c>
    </row>
    <row r="2039" spans="1:9" x14ac:dyDescent="0.25">
      <c r="A2039" t="s">
        <v>32</v>
      </c>
      <c r="B2039" t="s">
        <v>41</v>
      </c>
      <c r="C2039" t="s">
        <v>23</v>
      </c>
      <c r="D2039" t="s">
        <v>13</v>
      </c>
      <c r="E2039" t="s">
        <v>14</v>
      </c>
      <c r="F2039" t="s">
        <v>15</v>
      </c>
      <c r="G2039" t="s">
        <v>15</v>
      </c>
      <c r="H2039" t="s">
        <v>15</v>
      </c>
      <c r="I2039" s="1">
        <v>3395402900</v>
      </c>
    </row>
    <row r="2040" spans="1:9" x14ac:dyDescent="0.25">
      <c r="A2040" t="str">
        <f>"42002"</f>
        <v>42002</v>
      </c>
      <c r="B2040" t="s">
        <v>11</v>
      </c>
      <c r="C2040" t="s">
        <v>849</v>
      </c>
      <c r="D2040" t="s">
        <v>13</v>
      </c>
      <c r="E2040" t="s">
        <v>14</v>
      </c>
      <c r="F2040" t="s">
        <v>15</v>
      </c>
      <c r="G2040" t="s">
        <v>15</v>
      </c>
      <c r="H2040" t="s">
        <v>15</v>
      </c>
      <c r="I2040" s="1">
        <v>194861100</v>
      </c>
    </row>
    <row r="2041" spans="1:9" x14ac:dyDescent="0.25">
      <c r="A2041" t="str">
        <f>"42006"</f>
        <v>42006</v>
      </c>
      <c r="B2041" t="s">
        <v>11</v>
      </c>
      <c r="C2041" t="s">
        <v>524</v>
      </c>
      <c r="D2041" t="s">
        <v>13</v>
      </c>
      <c r="E2041" t="s">
        <v>14</v>
      </c>
      <c r="F2041" t="s">
        <v>15</v>
      </c>
      <c r="G2041" t="s">
        <v>15</v>
      </c>
      <c r="H2041" t="s">
        <v>15</v>
      </c>
      <c r="I2041" s="1">
        <v>46621400</v>
      </c>
    </row>
    <row r="2042" spans="1:9" x14ac:dyDescent="0.25">
      <c r="A2042" t="str">
        <f>"42008"</f>
        <v>42008</v>
      </c>
      <c r="B2042" t="s">
        <v>11</v>
      </c>
      <c r="C2042" t="s">
        <v>850</v>
      </c>
      <c r="D2042" t="s">
        <v>13</v>
      </c>
      <c r="E2042" t="s">
        <v>14</v>
      </c>
      <c r="F2042" t="s">
        <v>15</v>
      </c>
      <c r="G2042" t="s">
        <v>15</v>
      </c>
      <c r="H2042" t="s">
        <v>15</v>
      </c>
      <c r="I2042" s="1">
        <v>253917400</v>
      </c>
    </row>
    <row r="2043" spans="1:9" x14ac:dyDescent="0.25">
      <c r="A2043" t="str">
        <f>"42010"</f>
        <v>42010</v>
      </c>
      <c r="B2043" t="s">
        <v>11</v>
      </c>
      <c r="C2043" t="s">
        <v>851</v>
      </c>
      <c r="D2043" t="s">
        <v>13</v>
      </c>
      <c r="E2043" t="s">
        <v>14</v>
      </c>
      <c r="F2043" t="s">
        <v>15</v>
      </c>
      <c r="G2043" t="s">
        <v>15</v>
      </c>
      <c r="H2043" t="s">
        <v>15</v>
      </c>
      <c r="I2043" s="1">
        <v>79321400</v>
      </c>
    </row>
    <row r="2044" spans="1:9" x14ac:dyDescent="0.25">
      <c r="A2044" t="str">
        <f>"42012"</f>
        <v>42012</v>
      </c>
      <c r="B2044" t="s">
        <v>11</v>
      </c>
      <c r="C2044" t="s">
        <v>852</v>
      </c>
      <c r="D2044" t="s">
        <v>13</v>
      </c>
      <c r="E2044" t="s">
        <v>14</v>
      </c>
      <c r="F2044" t="s">
        <v>15</v>
      </c>
      <c r="G2044" t="s">
        <v>15</v>
      </c>
      <c r="H2044" t="s">
        <v>15</v>
      </c>
      <c r="I2044" s="1">
        <v>269032200</v>
      </c>
    </row>
    <row r="2045" spans="1:9" x14ac:dyDescent="0.25">
      <c r="A2045" t="str">
        <f>"42014"</f>
        <v>42014</v>
      </c>
      <c r="B2045" t="s">
        <v>11</v>
      </c>
      <c r="C2045" t="s">
        <v>853</v>
      </c>
      <c r="D2045" t="s">
        <v>13</v>
      </c>
      <c r="E2045" t="s">
        <v>14</v>
      </c>
      <c r="F2045" t="s">
        <v>15</v>
      </c>
      <c r="G2045" t="s">
        <v>15</v>
      </c>
      <c r="H2045" t="s">
        <v>15</v>
      </c>
      <c r="I2045" s="1">
        <v>109436800</v>
      </c>
    </row>
    <row r="2046" spans="1:9" x14ac:dyDescent="0.25">
      <c r="A2046" t="str">
        <f>"42016"</f>
        <v>42016</v>
      </c>
      <c r="B2046" t="s">
        <v>11</v>
      </c>
      <c r="C2046" t="s">
        <v>854</v>
      </c>
      <c r="D2046" t="s">
        <v>13</v>
      </c>
      <c r="E2046" t="s">
        <v>14</v>
      </c>
      <c r="F2046" t="s">
        <v>15</v>
      </c>
      <c r="G2046" t="s">
        <v>15</v>
      </c>
      <c r="H2046" t="s">
        <v>15</v>
      </c>
      <c r="I2046" s="1">
        <v>81073000</v>
      </c>
    </row>
    <row r="2047" spans="1:9" x14ac:dyDescent="0.25">
      <c r="A2047" t="str">
        <f>"42018"</f>
        <v>42018</v>
      </c>
      <c r="B2047" t="s">
        <v>11</v>
      </c>
      <c r="C2047" t="s">
        <v>855</v>
      </c>
      <c r="D2047" t="s">
        <v>13</v>
      </c>
      <c r="E2047" t="s">
        <v>14</v>
      </c>
      <c r="F2047" t="s">
        <v>15</v>
      </c>
      <c r="G2047" t="s">
        <v>15</v>
      </c>
      <c r="H2047" t="s">
        <v>15</v>
      </c>
      <c r="I2047" s="1">
        <v>43646800</v>
      </c>
    </row>
    <row r="2048" spans="1:9" x14ac:dyDescent="0.25">
      <c r="A2048" t="str">
        <f>"42019"</f>
        <v>42019</v>
      </c>
      <c r="B2048" t="s">
        <v>11</v>
      </c>
      <c r="C2048" t="s">
        <v>856</v>
      </c>
      <c r="D2048" t="s">
        <v>13</v>
      </c>
      <c r="E2048" t="s">
        <v>14</v>
      </c>
      <c r="F2048" t="s">
        <v>15</v>
      </c>
      <c r="G2048" t="s">
        <v>15</v>
      </c>
      <c r="H2048" t="s">
        <v>15</v>
      </c>
      <c r="I2048" s="1">
        <v>240859900</v>
      </c>
    </row>
    <row r="2049" spans="1:9" x14ac:dyDescent="0.25">
      <c r="A2049" t="str">
        <f>"42020"</f>
        <v>42020</v>
      </c>
      <c r="B2049" t="s">
        <v>11</v>
      </c>
      <c r="C2049" t="s">
        <v>857</v>
      </c>
      <c r="D2049" t="s">
        <v>13</v>
      </c>
      <c r="E2049" t="s">
        <v>14</v>
      </c>
      <c r="F2049" t="s">
        <v>15</v>
      </c>
      <c r="G2049" t="s">
        <v>15</v>
      </c>
      <c r="H2049" t="s">
        <v>15</v>
      </c>
      <c r="I2049" s="1">
        <v>60178600</v>
      </c>
    </row>
    <row r="2050" spans="1:9" x14ac:dyDescent="0.25">
      <c r="A2050" t="str">
        <f>"42022"</f>
        <v>42022</v>
      </c>
      <c r="B2050" t="s">
        <v>11</v>
      </c>
      <c r="C2050" t="s">
        <v>858</v>
      </c>
      <c r="D2050" t="s">
        <v>13</v>
      </c>
      <c r="E2050" t="s">
        <v>14</v>
      </c>
      <c r="F2050" t="s">
        <v>15</v>
      </c>
      <c r="G2050" t="s">
        <v>15</v>
      </c>
      <c r="H2050" t="s">
        <v>15</v>
      </c>
      <c r="I2050" s="1">
        <v>88157100</v>
      </c>
    </row>
    <row r="2051" spans="1:9" x14ac:dyDescent="0.25">
      <c r="A2051" t="str">
        <f>"42024"</f>
        <v>42024</v>
      </c>
      <c r="B2051" t="s">
        <v>11</v>
      </c>
      <c r="C2051" t="s">
        <v>859</v>
      </c>
      <c r="D2051" t="s">
        <v>13</v>
      </c>
      <c r="E2051" t="s">
        <v>14</v>
      </c>
      <c r="F2051" t="s">
        <v>15</v>
      </c>
      <c r="G2051" t="s">
        <v>15</v>
      </c>
      <c r="H2051" t="s">
        <v>15</v>
      </c>
      <c r="I2051" s="1">
        <v>527591700</v>
      </c>
    </row>
    <row r="2052" spans="1:9" x14ac:dyDescent="0.25">
      <c r="A2052" t="str">
        <f>"42026"</f>
        <v>42026</v>
      </c>
      <c r="B2052" t="s">
        <v>11</v>
      </c>
      <c r="C2052" t="s">
        <v>860</v>
      </c>
      <c r="D2052" t="s">
        <v>13</v>
      </c>
      <c r="E2052" t="s">
        <v>14</v>
      </c>
      <c r="F2052" t="s">
        <v>15</v>
      </c>
      <c r="G2052" t="s">
        <v>15</v>
      </c>
      <c r="H2052" t="s">
        <v>15</v>
      </c>
      <c r="I2052" s="1">
        <v>57305400</v>
      </c>
    </row>
    <row r="2053" spans="1:9" x14ac:dyDescent="0.25">
      <c r="A2053" t="str">
        <f>"42028"</f>
        <v>42028</v>
      </c>
      <c r="B2053" t="s">
        <v>11</v>
      </c>
      <c r="C2053" t="s">
        <v>861</v>
      </c>
      <c r="D2053" t="s">
        <v>13</v>
      </c>
      <c r="E2053" t="s">
        <v>14</v>
      </c>
      <c r="F2053" t="s">
        <v>15</v>
      </c>
      <c r="G2053" t="s">
        <v>15</v>
      </c>
      <c r="H2053" t="s">
        <v>15</v>
      </c>
      <c r="I2053" s="1">
        <v>93061000</v>
      </c>
    </row>
    <row r="2054" spans="1:9" x14ac:dyDescent="0.25">
      <c r="A2054" t="str">
        <f>"42029"</f>
        <v>42029</v>
      </c>
      <c r="B2054" t="s">
        <v>11</v>
      </c>
      <c r="C2054" t="s">
        <v>862</v>
      </c>
      <c r="D2054" t="s">
        <v>13</v>
      </c>
      <c r="E2054" t="s">
        <v>14</v>
      </c>
      <c r="F2054" t="s">
        <v>15</v>
      </c>
      <c r="G2054" t="s">
        <v>15</v>
      </c>
      <c r="H2054" t="s">
        <v>15</v>
      </c>
      <c r="I2054" s="1">
        <v>162243600</v>
      </c>
    </row>
    <row r="2055" spans="1:9" x14ac:dyDescent="0.25">
      <c r="A2055" t="str">
        <f>"42030"</f>
        <v>42030</v>
      </c>
      <c r="B2055" t="s">
        <v>11</v>
      </c>
      <c r="C2055" t="s">
        <v>863</v>
      </c>
      <c r="D2055" t="s">
        <v>13</v>
      </c>
      <c r="E2055" t="s">
        <v>14</v>
      </c>
      <c r="F2055" t="s">
        <v>15</v>
      </c>
      <c r="G2055" t="s">
        <v>15</v>
      </c>
      <c r="H2055" t="s">
        <v>15</v>
      </c>
      <c r="I2055" s="1">
        <v>118301400</v>
      </c>
    </row>
    <row r="2056" spans="1:9" x14ac:dyDescent="0.25">
      <c r="A2056" t="str">
        <f>"42032"</f>
        <v>42032</v>
      </c>
      <c r="B2056" t="s">
        <v>11</v>
      </c>
      <c r="C2056" t="s">
        <v>864</v>
      </c>
      <c r="D2056" t="s">
        <v>13</v>
      </c>
      <c r="E2056" t="s">
        <v>14</v>
      </c>
      <c r="F2056" t="s">
        <v>15</v>
      </c>
      <c r="G2056" t="s">
        <v>15</v>
      </c>
      <c r="H2056" t="s">
        <v>15</v>
      </c>
      <c r="I2056" s="1">
        <v>111074400</v>
      </c>
    </row>
    <row r="2057" spans="1:9" x14ac:dyDescent="0.25">
      <c r="A2057" t="str">
        <f>"42034"</f>
        <v>42034</v>
      </c>
      <c r="B2057" t="s">
        <v>11</v>
      </c>
      <c r="C2057" t="s">
        <v>865</v>
      </c>
      <c r="D2057" t="s">
        <v>13</v>
      </c>
      <c r="E2057" t="s">
        <v>14</v>
      </c>
      <c r="F2057" t="s">
        <v>15</v>
      </c>
      <c r="G2057" t="s">
        <v>15</v>
      </c>
      <c r="H2057" t="s">
        <v>15</v>
      </c>
      <c r="I2057" s="1">
        <v>130159900</v>
      </c>
    </row>
    <row r="2058" spans="1:9" x14ac:dyDescent="0.25">
      <c r="A2058" t="str">
        <f>"42036"</f>
        <v>42036</v>
      </c>
      <c r="B2058" t="s">
        <v>11</v>
      </c>
      <c r="C2058" t="s">
        <v>866</v>
      </c>
      <c r="D2058" t="s">
        <v>13</v>
      </c>
      <c r="E2058" t="s">
        <v>14</v>
      </c>
      <c r="F2058" t="s">
        <v>15</v>
      </c>
      <c r="G2058" t="s">
        <v>15</v>
      </c>
      <c r="H2058" t="s">
        <v>15</v>
      </c>
      <c r="I2058" s="1">
        <v>254460500</v>
      </c>
    </row>
    <row r="2059" spans="1:9" x14ac:dyDescent="0.25">
      <c r="A2059" t="str">
        <f>"42038"</f>
        <v>42038</v>
      </c>
      <c r="B2059" t="s">
        <v>11</v>
      </c>
      <c r="C2059" t="s">
        <v>867</v>
      </c>
      <c r="D2059" t="s">
        <v>13</v>
      </c>
      <c r="E2059" t="s">
        <v>14</v>
      </c>
      <c r="F2059" t="s">
        <v>15</v>
      </c>
      <c r="G2059" t="s">
        <v>15</v>
      </c>
      <c r="H2059" t="s">
        <v>15</v>
      </c>
      <c r="I2059" s="1">
        <v>115372800</v>
      </c>
    </row>
    <row r="2060" spans="1:9" x14ac:dyDescent="0.25">
      <c r="A2060" t="str">
        <f>"42040"</f>
        <v>42040</v>
      </c>
      <c r="B2060" t="s">
        <v>11</v>
      </c>
      <c r="C2060" t="s">
        <v>868</v>
      </c>
      <c r="D2060" t="s">
        <v>13</v>
      </c>
      <c r="E2060" t="s">
        <v>14</v>
      </c>
      <c r="F2060" t="s">
        <v>15</v>
      </c>
      <c r="G2060" t="s">
        <v>15</v>
      </c>
      <c r="H2060" t="s">
        <v>15</v>
      </c>
      <c r="I2060" s="1">
        <v>134803600</v>
      </c>
    </row>
    <row r="2061" spans="1:9" x14ac:dyDescent="0.25">
      <c r="A2061" t="str">
        <f>"42042"</f>
        <v>42042</v>
      </c>
      <c r="B2061" t="s">
        <v>11</v>
      </c>
      <c r="C2061" t="s">
        <v>869</v>
      </c>
      <c r="D2061" t="s">
        <v>13</v>
      </c>
      <c r="E2061" t="s">
        <v>14</v>
      </c>
      <c r="F2061" t="s">
        <v>15</v>
      </c>
      <c r="G2061" t="s">
        <v>15</v>
      </c>
      <c r="H2061" t="s">
        <v>15</v>
      </c>
      <c r="I2061" s="1">
        <v>317519900</v>
      </c>
    </row>
    <row r="2062" spans="1:9" x14ac:dyDescent="0.25">
      <c r="A2062" t="str">
        <f>"42044"</f>
        <v>42044</v>
      </c>
      <c r="B2062" t="s">
        <v>11</v>
      </c>
      <c r="C2062" t="s">
        <v>870</v>
      </c>
      <c r="D2062" t="s">
        <v>13</v>
      </c>
      <c r="E2062" t="s">
        <v>14</v>
      </c>
      <c r="F2062" t="s">
        <v>15</v>
      </c>
      <c r="G2062" t="s">
        <v>15</v>
      </c>
      <c r="H2062" t="s">
        <v>15</v>
      </c>
      <c r="I2062" s="1">
        <v>96316800</v>
      </c>
    </row>
    <row r="2063" spans="1:9" x14ac:dyDescent="0.25">
      <c r="A2063" t="s">
        <v>32</v>
      </c>
      <c r="B2063" t="s">
        <v>33</v>
      </c>
      <c r="C2063" t="s">
        <v>34</v>
      </c>
      <c r="D2063" t="s">
        <v>13</v>
      </c>
      <c r="E2063" t="s">
        <v>14</v>
      </c>
      <c r="F2063" t="s">
        <v>15</v>
      </c>
      <c r="G2063" t="s">
        <v>15</v>
      </c>
      <c r="H2063" t="s">
        <v>15</v>
      </c>
      <c r="I2063" s="1">
        <v>3585316700</v>
      </c>
    </row>
    <row r="2064" spans="1:9" x14ac:dyDescent="0.25">
      <c r="A2064" t="str">
        <f>"42146"</f>
        <v>42146</v>
      </c>
      <c r="B2064" t="s">
        <v>35</v>
      </c>
      <c r="C2064" t="s">
        <v>857</v>
      </c>
      <c r="D2064" t="s">
        <v>13</v>
      </c>
      <c r="E2064" t="s">
        <v>14</v>
      </c>
      <c r="F2064" t="s">
        <v>15</v>
      </c>
      <c r="G2064" t="s">
        <v>15</v>
      </c>
      <c r="H2064" t="s">
        <v>15</v>
      </c>
      <c r="I2064" s="1">
        <v>32352700</v>
      </c>
    </row>
    <row r="2065" spans="1:9" x14ac:dyDescent="0.25">
      <c r="A2065" t="str">
        <f>"42171"</f>
        <v>42171</v>
      </c>
      <c r="B2065" t="s">
        <v>35</v>
      </c>
      <c r="C2065" t="s">
        <v>128</v>
      </c>
      <c r="D2065" t="s">
        <v>13</v>
      </c>
      <c r="E2065" t="s">
        <v>14</v>
      </c>
      <c r="F2065" t="s">
        <v>15</v>
      </c>
      <c r="G2065" t="s">
        <v>15</v>
      </c>
      <c r="H2065" t="s">
        <v>15</v>
      </c>
      <c r="I2065" s="1">
        <v>613500</v>
      </c>
    </row>
    <row r="2066" spans="1:9" x14ac:dyDescent="0.25">
      <c r="A2066" t="str">
        <f>"42181"</f>
        <v>42181</v>
      </c>
      <c r="B2066" t="s">
        <v>35</v>
      </c>
      <c r="C2066" t="s">
        <v>871</v>
      </c>
      <c r="D2066" t="str">
        <f>"001"</f>
        <v>001</v>
      </c>
      <c r="E2066">
        <v>2000</v>
      </c>
      <c r="F2066">
        <v>1449235</v>
      </c>
      <c r="G2066">
        <v>2351700</v>
      </c>
      <c r="H2066">
        <v>902465</v>
      </c>
    </row>
    <row r="2067" spans="1:9" x14ac:dyDescent="0.25">
      <c r="A2067" t="str">
        <f>"42181"</f>
        <v>42181</v>
      </c>
      <c r="B2067" t="s">
        <v>35</v>
      </c>
      <c r="C2067" t="s">
        <v>871</v>
      </c>
      <c r="D2067" t="s">
        <v>13</v>
      </c>
      <c r="E2067" t="s">
        <v>14</v>
      </c>
      <c r="F2067" t="s">
        <v>15</v>
      </c>
      <c r="G2067" t="s">
        <v>15</v>
      </c>
      <c r="H2067" t="s">
        <v>15</v>
      </c>
      <c r="I2067" s="1">
        <v>21042835</v>
      </c>
    </row>
    <row r="2068" spans="1:9" x14ac:dyDescent="0.25">
      <c r="A2068" t="s">
        <v>32</v>
      </c>
      <c r="B2068" t="s">
        <v>37</v>
      </c>
      <c r="C2068" t="s">
        <v>34</v>
      </c>
      <c r="D2068" t="s">
        <v>13</v>
      </c>
      <c r="E2068" t="s">
        <v>14</v>
      </c>
      <c r="F2068" t="s">
        <v>15</v>
      </c>
      <c r="G2068" t="s">
        <v>15</v>
      </c>
      <c r="H2068" t="s">
        <v>15</v>
      </c>
      <c r="I2068" s="1">
        <v>54009035</v>
      </c>
    </row>
    <row r="2069" spans="1:9" x14ac:dyDescent="0.25">
      <c r="A2069" t="str">
        <f>"42231"</f>
        <v>42231</v>
      </c>
      <c r="B2069" t="s">
        <v>38</v>
      </c>
      <c r="C2069" t="s">
        <v>854</v>
      </c>
      <c r="D2069" t="str">
        <f>"002"</f>
        <v>002</v>
      </c>
      <c r="E2069">
        <v>1993</v>
      </c>
      <c r="F2069">
        <v>47700</v>
      </c>
      <c r="G2069">
        <v>1360100</v>
      </c>
      <c r="H2069">
        <v>1312400</v>
      </c>
    </row>
    <row r="2070" spans="1:9" x14ac:dyDescent="0.25">
      <c r="A2070" t="str">
        <f>"42231"</f>
        <v>42231</v>
      </c>
      <c r="B2070" t="s">
        <v>38</v>
      </c>
      <c r="C2070" t="s">
        <v>854</v>
      </c>
      <c r="D2070" t="str">
        <f>"003"</f>
        <v>003</v>
      </c>
      <c r="E2070">
        <v>2000</v>
      </c>
      <c r="F2070">
        <v>7370500</v>
      </c>
      <c r="G2070">
        <v>10460400</v>
      </c>
      <c r="H2070">
        <v>3089900</v>
      </c>
    </row>
    <row r="2071" spans="1:9" x14ac:dyDescent="0.25">
      <c r="A2071" t="str">
        <f>"42231"</f>
        <v>42231</v>
      </c>
      <c r="B2071" t="s">
        <v>38</v>
      </c>
      <c r="C2071" t="s">
        <v>854</v>
      </c>
      <c r="D2071" t="s">
        <v>13</v>
      </c>
      <c r="E2071" t="s">
        <v>14</v>
      </c>
      <c r="F2071" t="s">
        <v>15</v>
      </c>
      <c r="G2071" t="s">
        <v>15</v>
      </c>
      <c r="H2071" t="s">
        <v>15</v>
      </c>
      <c r="I2071" s="1">
        <v>55892800</v>
      </c>
    </row>
    <row r="2072" spans="1:9" x14ac:dyDescent="0.25">
      <c r="A2072" t="str">
        <f>"42265"</f>
        <v>42265</v>
      </c>
      <c r="B2072" t="s">
        <v>38</v>
      </c>
      <c r="C2072" t="s">
        <v>863</v>
      </c>
      <c r="D2072" t="str">
        <f>"003"</f>
        <v>003</v>
      </c>
      <c r="E2072">
        <v>2007</v>
      </c>
      <c r="F2072">
        <v>13416200</v>
      </c>
      <c r="G2072">
        <v>14412100</v>
      </c>
      <c r="H2072">
        <v>995900</v>
      </c>
    </row>
    <row r="2073" spans="1:9" x14ac:dyDescent="0.25">
      <c r="A2073" t="str">
        <f>"42265"</f>
        <v>42265</v>
      </c>
      <c r="B2073" t="s">
        <v>38</v>
      </c>
      <c r="C2073" t="s">
        <v>863</v>
      </c>
      <c r="D2073" t="str">
        <f>"004"</f>
        <v>004</v>
      </c>
      <c r="E2073">
        <v>2010</v>
      </c>
      <c r="F2073">
        <v>1428600</v>
      </c>
      <c r="G2073">
        <v>9382800</v>
      </c>
      <c r="H2073">
        <v>7954200</v>
      </c>
    </row>
    <row r="2074" spans="1:9" x14ac:dyDescent="0.25">
      <c r="A2074" t="str">
        <f>"42265"</f>
        <v>42265</v>
      </c>
      <c r="B2074" t="s">
        <v>38</v>
      </c>
      <c r="C2074" t="s">
        <v>863</v>
      </c>
      <c r="D2074" t="s">
        <v>13</v>
      </c>
      <c r="E2074" t="s">
        <v>14</v>
      </c>
      <c r="F2074" t="s">
        <v>15</v>
      </c>
      <c r="G2074" t="s">
        <v>15</v>
      </c>
      <c r="H2074" t="s">
        <v>15</v>
      </c>
      <c r="I2074" s="1">
        <v>218090900</v>
      </c>
    </row>
    <row r="2075" spans="1:9" x14ac:dyDescent="0.25">
      <c r="A2075" t="str">
        <f>"42266"</f>
        <v>42266</v>
      </c>
      <c r="B2075" t="s">
        <v>38</v>
      </c>
      <c r="C2075" t="s">
        <v>864</v>
      </c>
      <c r="D2075" t="s">
        <v>13</v>
      </c>
      <c r="E2075" t="s">
        <v>14</v>
      </c>
      <c r="F2075" t="s">
        <v>15</v>
      </c>
      <c r="G2075" t="s">
        <v>15</v>
      </c>
      <c r="H2075" t="s">
        <v>15</v>
      </c>
      <c r="I2075" s="1">
        <v>174673800</v>
      </c>
    </row>
    <row r="2076" spans="1:9" x14ac:dyDescent="0.25">
      <c r="A2076" t="s">
        <v>32</v>
      </c>
      <c r="B2076" t="s">
        <v>40</v>
      </c>
      <c r="C2076" t="s">
        <v>34</v>
      </c>
      <c r="D2076" t="s">
        <v>13</v>
      </c>
      <c r="E2076" t="s">
        <v>14</v>
      </c>
      <c r="F2076" t="s">
        <v>15</v>
      </c>
      <c r="G2076" t="s">
        <v>15</v>
      </c>
      <c r="H2076" t="s">
        <v>15</v>
      </c>
      <c r="I2076" s="1">
        <v>448657500</v>
      </c>
    </row>
    <row r="2077" spans="1:9" x14ac:dyDescent="0.25">
      <c r="A2077" t="s">
        <v>32</v>
      </c>
      <c r="B2077" t="s">
        <v>41</v>
      </c>
      <c r="C2077" t="s">
        <v>863</v>
      </c>
      <c r="D2077" t="s">
        <v>13</v>
      </c>
      <c r="E2077" t="s">
        <v>14</v>
      </c>
      <c r="F2077" t="s">
        <v>15</v>
      </c>
      <c r="G2077" t="s">
        <v>15</v>
      </c>
      <c r="H2077" t="s">
        <v>15</v>
      </c>
      <c r="I2077" s="1">
        <v>4087983235</v>
      </c>
    </row>
    <row r="2078" spans="1:9" x14ac:dyDescent="0.25">
      <c r="A2078" t="str">
        <f>"43002"</f>
        <v>43002</v>
      </c>
      <c r="B2078" t="s">
        <v>11</v>
      </c>
      <c r="C2078" t="s">
        <v>872</v>
      </c>
      <c r="D2078" t="s">
        <v>13</v>
      </c>
      <c r="E2078" t="s">
        <v>14</v>
      </c>
      <c r="F2078" t="s">
        <v>15</v>
      </c>
      <c r="G2078" t="s">
        <v>15</v>
      </c>
      <c r="H2078" t="s">
        <v>15</v>
      </c>
      <c r="I2078" s="1">
        <v>249056600</v>
      </c>
    </row>
    <row r="2079" spans="1:9" x14ac:dyDescent="0.25">
      <c r="A2079" t="str">
        <f>"43004"</f>
        <v>43004</v>
      </c>
      <c r="B2079" t="s">
        <v>11</v>
      </c>
      <c r="C2079" t="s">
        <v>873</v>
      </c>
      <c r="D2079" t="s">
        <v>13</v>
      </c>
      <c r="E2079" t="s">
        <v>14</v>
      </c>
      <c r="F2079" t="s">
        <v>15</v>
      </c>
      <c r="G2079" t="s">
        <v>15</v>
      </c>
      <c r="H2079" t="s">
        <v>15</v>
      </c>
      <c r="I2079" s="1">
        <v>258848900</v>
      </c>
    </row>
    <row r="2080" spans="1:9" x14ac:dyDescent="0.25">
      <c r="A2080" t="str">
        <f>"43006"</f>
        <v>43006</v>
      </c>
      <c r="B2080" t="s">
        <v>11</v>
      </c>
      <c r="C2080" t="s">
        <v>874</v>
      </c>
      <c r="D2080" t="s">
        <v>13</v>
      </c>
      <c r="E2080" t="s">
        <v>14</v>
      </c>
      <c r="F2080" t="s">
        <v>15</v>
      </c>
      <c r="G2080" t="s">
        <v>15</v>
      </c>
      <c r="H2080" t="s">
        <v>15</v>
      </c>
      <c r="I2080" s="1">
        <v>92734600</v>
      </c>
    </row>
    <row r="2081" spans="1:9" x14ac:dyDescent="0.25">
      <c r="A2081" t="str">
        <f>"43008"</f>
        <v>43008</v>
      </c>
      <c r="B2081" t="s">
        <v>11</v>
      </c>
      <c r="C2081" t="s">
        <v>875</v>
      </c>
      <c r="D2081" t="s">
        <v>13</v>
      </c>
      <c r="E2081" t="s">
        <v>14</v>
      </c>
      <c r="F2081" t="s">
        <v>15</v>
      </c>
      <c r="G2081" t="s">
        <v>15</v>
      </c>
      <c r="H2081" t="s">
        <v>15</v>
      </c>
      <c r="I2081" s="1">
        <v>381054500</v>
      </c>
    </row>
    <row r="2082" spans="1:9" x14ac:dyDescent="0.25">
      <c r="A2082" t="str">
        <f>"43010"</f>
        <v>43010</v>
      </c>
      <c r="B2082" t="s">
        <v>11</v>
      </c>
      <c r="C2082" t="s">
        <v>876</v>
      </c>
      <c r="D2082" t="s">
        <v>13</v>
      </c>
      <c r="E2082" t="s">
        <v>14</v>
      </c>
      <c r="F2082" t="s">
        <v>15</v>
      </c>
      <c r="G2082" t="s">
        <v>15</v>
      </c>
      <c r="H2082" t="s">
        <v>15</v>
      </c>
      <c r="I2082" s="1">
        <v>260328500</v>
      </c>
    </row>
    <row r="2083" spans="1:9" x14ac:dyDescent="0.25">
      <c r="A2083" t="str">
        <f>"43012"</f>
        <v>43012</v>
      </c>
      <c r="B2083" t="s">
        <v>11</v>
      </c>
      <c r="C2083" t="s">
        <v>877</v>
      </c>
      <c r="D2083" t="s">
        <v>13</v>
      </c>
      <c r="E2083" t="s">
        <v>14</v>
      </c>
      <c r="F2083" t="s">
        <v>15</v>
      </c>
      <c r="G2083" t="s">
        <v>15</v>
      </c>
      <c r="H2083" t="s">
        <v>15</v>
      </c>
      <c r="I2083" s="1">
        <v>72862600</v>
      </c>
    </row>
    <row r="2084" spans="1:9" x14ac:dyDescent="0.25">
      <c r="A2084" t="str">
        <f>"43014"</f>
        <v>43014</v>
      </c>
      <c r="B2084" t="s">
        <v>11</v>
      </c>
      <c r="C2084" t="s">
        <v>878</v>
      </c>
      <c r="D2084" t="s">
        <v>13</v>
      </c>
      <c r="E2084" t="s">
        <v>14</v>
      </c>
      <c r="F2084" t="s">
        <v>15</v>
      </c>
      <c r="G2084" t="s">
        <v>15</v>
      </c>
      <c r="H2084" t="s">
        <v>15</v>
      </c>
      <c r="I2084" s="1">
        <v>34000300</v>
      </c>
    </row>
    <row r="2085" spans="1:9" x14ac:dyDescent="0.25">
      <c r="A2085" t="str">
        <f>"43016"</f>
        <v>43016</v>
      </c>
      <c r="B2085" t="s">
        <v>11</v>
      </c>
      <c r="C2085" t="s">
        <v>879</v>
      </c>
      <c r="D2085" t="s">
        <v>13</v>
      </c>
      <c r="E2085" t="s">
        <v>14</v>
      </c>
      <c r="F2085" t="s">
        <v>15</v>
      </c>
      <c r="G2085" t="s">
        <v>15</v>
      </c>
      <c r="H2085" t="s">
        <v>15</v>
      </c>
      <c r="I2085" s="1">
        <v>1715301200</v>
      </c>
    </row>
    <row r="2086" spans="1:9" x14ac:dyDescent="0.25">
      <c r="A2086" t="str">
        <f>"43018"</f>
        <v>43018</v>
      </c>
      <c r="B2086" t="s">
        <v>11</v>
      </c>
      <c r="C2086" t="s">
        <v>880</v>
      </c>
      <c r="D2086" t="s">
        <v>13</v>
      </c>
      <c r="E2086" t="s">
        <v>14</v>
      </c>
      <c r="F2086" t="s">
        <v>15</v>
      </c>
      <c r="G2086" t="s">
        <v>15</v>
      </c>
      <c r="H2086" t="s">
        <v>15</v>
      </c>
      <c r="I2086" s="1">
        <v>27713500</v>
      </c>
    </row>
    <row r="2087" spans="1:9" x14ac:dyDescent="0.25">
      <c r="A2087" t="str">
        <f>"43020"</f>
        <v>43020</v>
      </c>
      <c r="B2087" t="s">
        <v>11</v>
      </c>
      <c r="C2087" t="s">
        <v>881</v>
      </c>
      <c r="D2087" t="s">
        <v>13</v>
      </c>
      <c r="E2087" t="s">
        <v>14</v>
      </c>
      <c r="F2087" t="s">
        <v>15</v>
      </c>
      <c r="G2087" t="s">
        <v>15</v>
      </c>
      <c r="H2087" t="s">
        <v>15</v>
      </c>
      <c r="I2087" s="1">
        <v>539156600</v>
      </c>
    </row>
    <row r="2088" spans="1:9" x14ac:dyDescent="0.25">
      <c r="A2088" t="str">
        <f>"43022"</f>
        <v>43022</v>
      </c>
      <c r="B2088" t="s">
        <v>11</v>
      </c>
      <c r="C2088" t="s">
        <v>882</v>
      </c>
      <c r="D2088" t="s">
        <v>13</v>
      </c>
      <c r="E2088" t="s">
        <v>14</v>
      </c>
      <c r="F2088" t="s">
        <v>15</v>
      </c>
      <c r="G2088" t="s">
        <v>15</v>
      </c>
      <c r="H2088" t="s">
        <v>15</v>
      </c>
      <c r="I2088" s="1">
        <v>248348200</v>
      </c>
    </row>
    <row r="2089" spans="1:9" x14ac:dyDescent="0.25">
      <c r="A2089" t="str">
        <f>"43024"</f>
        <v>43024</v>
      </c>
      <c r="B2089" t="s">
        <v>11</v>
      </c>
      <c r="C2089" t="s">
        <v>883</v>
      </c>
      <c r="D2089" t="s">
        <v>13</v>
      </c>
      <c r="E2089" t="s">
        <v>14</v>
      </c>
      <c r="F2089" t="s">
        <v>15</v>
      </c>
      <c r="G2089" t="s">
        <v>15</v>
      </c>
      <c r="H2089" t="s">
        <v>15</v>
      </c>
      <c r="I2089" s="1">
        <v>312403600</v>
      </c>
    </row>
    <row r="2090" spans="1:9" x14ac:dyDescent="0.25">
      <c r="A2090" t="str">
        <f>"43026"</f>
        <v>43026</v>
      </c>
      <c r="B2090" t="s">
        <v>11</v>
      </c>
      <c r="C2090" t="s">
        <v>884</v>
      </c>
      <c r="D2090" t="s">
        <v>13</v>
      </c>
      <c r="E2090" t="s">
        <v>14</v>
      </c>
      <c r="F2090" t="s">
        <v>15</v>
      </c>
      <c r="G2090" t="s">
        <v>15</v>
      </c>
      <c r="H2090" t="s">
        <v>15</v>
      </c>
      <c r="I2090" s="1">
        <v>16563100</v>
      </c>
    </row>
    <row r="2091" spans="1:9" x14ac:dyDescent="0.25">
      <c r="A2091" t="str">
        <f>"43028"</f>
        <v>43028</v>
      </c>
      <c r="B2091" t="s">
        <v>11</v>
      </c>
      <c r="C2091" t="s">
        <v>885</v>
      </c>
      <c r="D2091" t="s">
        <v>13</v>
      </c>
      <c r="E2091" t="s">
        <v>14</v>
      </c>
      <c r="F2091" t="s">
        <v>15</v>
      </c>
      <c r="G2091" t="s">
        <v>15</v>
      </c>
      <c r="H2091" t="s">
        <v>15</v>
      </c>
      <c r="I2091" s="1">
        <v>313368400</v>
      </c>
    </row>
    <row r="2092" spans="1:9" x14ac:dyDescent="0.25">
      <c r="A2092" t="str">
        <f>"43030"</f>
        <v>43030</v>
      </c>
      <c r="B2092" t="s">
        <v>11</v>
      </c>
      <c r="C2092" t="s">
        <v>886</v>
      </c>
      <c r="D2092" t="s">
        <v>13</v>
      </c>
      <c r="E2092" t="s">
        <v>14</v>
      </c>
      <c r="F2092" t="s">
        <v>15</v>
      </c>
      <c r="G2092" t="s">
        <v>15</v>
      </c>
      <c r="H2092" t="s">
        <v>15</v>
      </c>
      <c r="I2092" s="1">
        <v>125517000</v>
      </c>
    </row>
    <row r="2093" spans="1:9" x14ac:dyDescent="0.25">
      <c r="A2093" t="str">
        <f>"43032"</f>
        <v>43032</v>
      </c>
      <c r="B2093" t="s">
        <v>11</v>
      </c>
      <c r="C2093" t="s">
        <v>887</v>
      </c>
      <c r="D2093" t="s">
        <v>13</v>
      </c>
      <c r="E2093" t="s">
        <v>14</v>
      </c>
      <c r="F2093" t="s">
        <v>15</v>
      </c>
      <c r="G2093" t="s">
        <v>15</v>
      </c>
      <c r="H2093" t="s">
        <v>15</v>
      </c>
      <c r="I2093" s="1">
        <v>81742400</v>
      </c>
    </row>
    <row r="2094" spans="1:9" x14ac:dyDescent="0.25">
      <c r="A2094" t="str">
        <f>"43034"</f>
        <v>43034</v>
      </c>
      <c r="B2094" t="s">
        <v>11</v>
      </c>
      <c r="C2094" t="s">
        <v>888</v>
      </c>
      <c r="D2094" t="s">
        <v>13</v>
      </c>
      <c r="E2094" t="s">
        <v>14</v>
      </c>
      <c r="F2094" t="s">
        <v>15</v>
      </c>
      <c r="G2094" t="s">
        <v>15</v>
      </c>
      <c r="H2094" t="s">
        <v>15</v>
      </c>
      <c r="I2094" s="1">
        <v>388267700</v>
      </c>
    </row>
    <row r="2095" spans="1:9" x14ac:dyDescent="0.25">
      <c r="A2095" t="str">
        <f>"43036"</f>
        <v>43036</v>
      </c>
      <c r="B2095" t="s">
        <v>11</v>
      </c>
      <c r="C2095" t="s">
        <v>889</v>
      </c>
      <c r="D2095" t="s">
        <v>13</v>
      </c>
      <c r="E2095" t="s">
        <v>14</v>
      </c>
      <c r="F2095" t="s">
        <v>15</v>
      </c>
      <c r="G2095" t="s">
        <v>15</v>
      </c>
      <c r="H2095" t="s">
        <v>15</v>
      </c>
      <c r="I2095" s="1">
        <v>958747900</v>
      </c>
    </row>
    <row r="2096" spans="1:9" x14ac:dyDescent="0.25">
      <c r="A2096" t="str">
        <f>"43038"</f>
        <v>43038</v>
      </c>
      <c r="B2096" t="s">
        <v>11</v>
      </c>
      <c r="C2096" t="s">
        <v>890</v>
      </c>
      <c r="D2096" t="s">
        <v>13</v>
      </c>
      <c r="E2096" t="s">
        <v>14</v>
      </c>
      <c r="F2096" t="s">
        <v>15</v>
      </c>
      <c r="G2096" t="s">
        <v>15</v>
      </c>
      <c r="H2096" t="s">
        <v>15</v>
      </c>
      <c r="I2096" s="1">
        <v>167016500</v>
      </c>
    </row>
    <row r="2097" spans="1:9" x14ac:dyDescent="0.25">
      <c r="A2097" t="str">
        <f>"43040"</f>
        <v>43040</v>
      </c>
      <c r="B2097" t="s">
        <v>11</v>
      </c>
      <c r="C2097" t="s">
        <v>891</v>
      </c>
      <c r="D2097" t="s">
        <v>13</v>
      </c>
      <c r="E2097" t="s">
        <v>14</v>
      </c>
      <c r="F2097" t="s">
        <v>15</v>
      </c>
      <c r="G2097" t="s">
        <v>15</v>
      </c>
      <c r="H2097" t="s">
        <v>15</v>
      </c>
      <c r="I2097" s="1">
        <v>373662100</v>
      </c>
    </row>
    <row r="2098" spans="1:9" x14ac:dyDescent="0.25">
      <c r="A2098" t="s">
        <v>32</v>
      </c>
      <c r="B2098" t="s">
        <v>33</v>
      </c>
      <c r="C2098" t="s">
        <v>34</v>
      </c>
      <c r="D2098" t="s">
        <v>13</v>
      </c>
      <c r="E2098" t="s">
        <v>14</v>
      </c>
      <c r="F2098" t="s">
        <v>15</v>
      </c>
      <c r="G2098" t="s">
        <v>15</v>
      </c>
      <c r="H2098" t="s">
        <v>15</v>
      </c>
      <c r="I2098" s="1">
        <v>6616694200</v>
      </c>
    </row>
    <row r="2099" spans="1:9" x14ac:dyDescent="0.25">
      <c r="A2099" t="str">
        <f t="shared" ref="A2099:A2105" si="48">"43276"</f>
        <v>43276</v>
      </c>
      <c r="B2099" t="s">
        <v>38</v>
      </c>
      <c r="C2099" t="s">
        <v>892</v>
      </c>
      <c r="D2099" t="str">
        <f>"001E"</f>
        <v>001E</v>
      </c>
      <c r="E2099">
        <v>2005</v>
      </c>
      <c r="F2099">
        <v>1147700</v>
      </c>
      <c r="G2099">
        <v>5890600</v>
      </c>
      <c r="H2099">
        <v>4742900</v>
      </c>
    </row>
    <row r="2100" spans="1:9" x14ac:dyDescent="0.25">
      <c r="A2100" t="str">
        <f t="shared" si="48"/>
        <v>43276</v>
      </c>
      <c r="B2100" t="s">
        <v>38</v>
      </c>
      <c r="C2100" t="s">
        <v>892</v>
      </c>
      <c r="D2100" t="str">
        <f>"005"</f>
        <v>005</v>
      </c>
      <c r="E2100">
        <v>2000</v>
      </c>
      <c r="F2100">
        <v>966800</v>
      </c>
      <c r="G2100">
        <v>1583900</v>
      </c>
      <c r="H2100">
        <v>617100</v>
      </c>
    </row>
    <row r="2101" spans="1:9" x14ac:dyDescent="0.25">
      <c r="A2101" t="str">
        <f t="shared" si="48"/>
        <v>43276</v>
      </c>
      <c r="B2101" t="s">
        <v>38</v>
      </c>
      <c r="C2101" t="s">
        <v>892</v>
      </c>
      <c r="D2101" t="str">
        <f>"006"</f>
        <v>006</v>
      </c>
      <c r="E2101">
        <v>2002</v>
      </c>
      <c r="F2101">
        <v>10983800</v>
      </c>
      <c r="G2101">
        <v>20078900</v>
      </c>
      <c r="H2101">
        <v>9095100</v>
      </c>
    </row>
    <row r="2102" spans="1:9" x14ac:dyDescent="0.25">
      <c r="A2102" t="str">
        <f t="shared" si="48"/>
        <v>43276</v>
      </c>
      <c r="B2102" t="s">
        <v>38</v>
      </c>
      <c r="C2102" t="s">
        <v>892</v>
      </c>
      <c r="D2102" t="str">
        <f>"008"</f>
        <v>008</v>
      </c>
      <c r="E2102">
        <v>2010</v>
      </c>
      <c r="F2102">
        <v>49192200</v>
      </c>
      <c r="G2102">
        <v>45877200</v>
      </c>
      <c r="H2102">
        <v>0</v>
      </c>
    </row>
    <row r="2103" spans="1:9" x14ac:dyDescent="0.25">
      <c r="A2103" t="str">
        <f t="shared" si="48"/>
        <v>43276</v>
      </c>
      <c r="B2103" t="s">
        <v>38</v>
      </c>
      <c r="C2103" t="s">
        <v>892</v>
      </c>
      <c r="D2103" t="str">
        <f>"009"</f>
        <v>009</v>
      </c>
      <c r="E2103">
        <v>2012</v>
      </c>
      <c r="F2103">
        <v>4900</v>
      </c>
      <c r="G2103">
        <v>24461200</v>
      </c>
      <c r="H2103">
        <v>24456300</v>
      </c>
    </row>
    <row r="2104" spans="1:9" x14ac:dyDescent="0.25">
      <c r="A2104" t="str">
        <f t="shared" si="48"/>
        <v>43276</v>
      </c>
      <c r="B2104" t="s">
        <v>38</v>
      </c>
      <c r="C2104" t="s">
        <v>892</v>
      </c>
      <c r="D2104" t="str">
        <f>"010"</f>
        <v>010</v>
      </c>
      <c r="E2104">
        <v>2013</v>
      </c>
      <c r="F2104">
        <v>5791100</v>
      </c>
      <c r="G2104">
        <v>10493800</v>
      </c>
      <c r="H2104">
        <v>4702700</v>
      </c>
    </row>
    <row r="2105" spans="1:9" x14ac:dyDescent="0.25">
      <c r="A2105" t="str">
        <f t="shared" si="48"/>
        <v>43276</v>
      </c>
      <c r="B2105" t="s">
        <v>38</v>
      </c>
      <c r="C2105" t="s">
        <v>892</v>
      </c>
      <c r="D2105" t="s">
        <v>13</v>
      </c>
      <c r="E2105" t="s">
        <v>14</v>
      </c>
      <c r="F2105" t="s">
        <v>15</v>
      </c>
      <c r="G2105" t="s">
        <v>15</v>
      </c>
      <c r="H2105" t="s">
        <v>15</v>
      </c>
      <c r="I2105" s="1">
        <v>566126500</v>
      </c>
    </row>
    <row r="2106" spans="1:9" x14ac:dyDescent="0.25">
      <c r="A2106" t="s">
        <v>32</v>
      </c>
      <c r="B2106" t="s">
        <v>40</v>
      </c>
      <c r="C2106" t="s">
        <v>34</v>
      </c>
      <c r="D2106" t="s">
        <v>13</v>
      </c>
      <c r="E2106" t="s">
        <v>14</v>
      </c>
      <c r="F2106" t="s">
        <v>15</v>
      </c>
      <c r="G2106" t="s">
        <v>15</v>
      </c>
      <c r="H2106" t="s">
        <v>15</v>
      </c>
      <c r="I2106" s="1">
        <v>566126500</v>
      </c>
    </row>
    <row r="2107" spans="1:9" x14ac:dyDescent="0.25">
      <c r="A2107" t="s">
        <v>32</v>
      </c>
      <c r="B2107" t="s">
        <v>41</v>
      </c>
      <c r="C2107" t="s">
        <v>893</v>
      </c>
      <c r="D2107" t="s">
        <v>13</v>
      </c>
      <c r="E2107" t="s">
        <v>14</v>
      </c>
      <c r="F2107" t="s">
        <v>15</v>
      </c>
      <c r="G2107" t="s">
        <v>15</v>
      </c>
      <c r="H2107" t="s">
        <v>15</v>
      </c>
      <c r="I2107" s="1">
        <v>7182820700</v>
      </c>
    </row>
    <row r="2108" spans="1:9" x14ac:dyDescent="0.25">
      <c r="A2108" t="str">
        <f>"44002"</f>
        <v>44002</v>
      </c>
      <c r="B2108" t="s">
        <v>11</v>
      </c>
      <c r="C2108" t="s">
        <v>894</v>
      </c>
      <c r="D2108" t="s">
        <v>13</v>
      </c>
      <c r="E2108" t="s">
        <v>14</v>
      </c>
      <c r="F2108" t="s">
        <v>15</v>
      </c>
      <c r="G2108" t="s">
        <v>15</v>
      </c>
      <c r="H2108" t="s">
        <v>15</v>
      </c>
      <c r="I2108" s="1">
        <v>107853300</v>
      </c>
    </row>
    <row r="2109" spans="1:9" x14ac:dyDescent="0.25">
      <c r="A2109" t="str">
        <f>"44004"</f>
        <v>44004</v>
      </c>
      <c r="B2109" t="s">
        <v>11</v>
      </c>
      <c r="C2109" t="s">
        <v>895</v>
      </c>
      <c r="D2109" t="s">
        <v>13</v>
      </c>
      <c r="E2109" t="s">
        <v>14</v>
      </c>
      <c r="F2109" t="s">
        <v>15</v>
      </c>
      <c r="G2109" t="s">
        <v>15</v>
      </c>
      <c r="H2109" t="s">
        <v>15</v>
      </c>
      <c r="I2109" s="1">
        <v>102015300</v>
      </c>
    </row>
    <row r="2110" spans="1:9" x14ac:dyDescent="0.25">
      <c r="A2110" t="str">
        <f>"44006"</f>
        <v>44006</v>
      </c>
      <c r="B2110" t="s">
        <v>11</v>
      </c>
      <c r="C2110" t="s">
        <v>896</v>
      </c>
      <c r="D2110" t="s">
        <v>13</v>
      </c>
      <c r="E2110" t="s">
        <v>14</v>
      </c>
      <c r="F2110" t="s">
        <v>15</v>
      </c>
      <c r="G2110" t="s">
        <v>15</v>
      </c>
      <c r="H2110" t="s">
        <v>15</v>
      </c>
      <c r="I2110" s="1">
        <v>723121600</v>
      </c>
    </row>
    <row r="2111" spans="1:9" x14ac:dyDescent="0.25">
      <c r="A2111" t="str">
        <f>"44008"</f>
        <v>44008</v>
      </c>
      <c r="B2111" t="s">
        <v>11</v>
      </c>
      <c r="C2111" t="s">
        <v>897</v>
      </c>
      <c r="D2111" t="s">
        <v>13</v>
      </c>
      <c r="E2111" t="s">
        <v>14</v>
      </c>
      <c r="F2111" t="s">
        <v>15</v>
      </c>
      <c r="G2111" t="s">
        <v>15</v>
      </c>
      <c r="H2111" t="s">
        <v>15</v>
      </c>
      <c r="I2111" s="1">
        <v>390582600</v>
      </c>
    </row>
    <row r="2112" spans="1:9" x14ac:dyDescent="0.25">
      <c r="A2112" t="str">
        <f>"44010"</f>
        <v>44010</v>
      </c>
      <c r="B2112" t="s">
        <v>11</v>
      </c>
      <c r="C2112" t="s">
        <v>898</v>
      </c>
      <c r="D2112" t="s">
        <v>13</v>
      </c>
      <c r="E2112" t="s">
        <v>14</v>
      </c>
      <c r="F2112" t="s">
        <v>15</v>
      </c>
      <c r="G2112" t="s">
        <v>15</v>
      </c>
      <c r="H2112" t="s">
        <v>15</v>
      </c>
      <c r="I2112" s="1">
        <v>94874500</v>
      </c>
    </row>
    <row r="2113" spans="1:9" x14ac:dyDescent="0.25">
      <c r="A2113" t="str">
        <f>"44012"</f>
        <v>44012</v>
      </c>
      <c r="B2113" t="s">
        <v>11</v>
      </c>
      <c r="C2113" t="s">
        <v>899</v>
      </c>
      <c r="D2113" t="s">
        <v>13</v>
      </c>
      <c r="E2113" t="s">
        <v>14</v>
      </c>
      <c r="F2113" t="s">
        <v>15</v>
      </c>
      <c r="G2113" t="s">
        <v>15</v>
      </c>
      <c r="H2113" t="s">
        <v>15</v>
      </c>
      <c r="I2113" s="1">
        <v>271240400</v>
      </c>
    </row>
    <row r="2114" spans="1:9" x14ac:dyDescent="0.25">
      <c r="A2114" t="str">
        <f>"44014"</f>
        <v>44014</v>
      </c>
      <c r="B2114" t="s">
        <v>11</v>
      </c>
      <c r="C2114" t="s">
        <v>900</v>
      </c>
      <c r="D2114" t="s">
        <v>13</v>
      </c>
      <c r="E2114" t="s">
        <v>14</v>
      </c>
      <c r="F2114" t="s">
        <v>15</v>
      </c>
      <c r="G2114" t="s">
        <v>15</v>
      </c>
      <c r="H2114" t="s">
        <v>15</v>
      </c>
      <c r="I2114" s="1">
        <v>44877400</v>
      </c>
    </row>
    <row r="2115" spans="1:9" x14ac:dyDescent="0.25">
      <c r="A2115" t="str">
        <f>"44016"</f>
        <v>44016</v>
      </c>
      <c r="B2115" t="s">
        <v>11</v>
      </c>
      <c r="C2115" t="s">
        <v>901</v>
      </c>
      <c r="D2115" t="s">
        <v>13</v>
      </c>
      <c r="E2115" t="s">
        <v>14</v>
      </c>
      <c r="F2115" t="s">
        <v>15</v>
      </c>
      <c r="G2115" t="s">
        <v>15</v>
      </c>
      <c r="H2115" t="s">
        <v>15</v>
      </c>
      <c r="I2115" s="1">
        <v>285141700</v>
      </c>
    </row>
    <row r="2116" spans="1:9" x14ac:dyDescent="0.25">
      <c r="A2116" t="str">
        <f>"44018"</f>
        <v>44018</v>
      </c>
      <c r="B2116" t="s">
        <v>11</v>
      </c>
      <c r="C2116" t="s">
        <v>485</v>
      </c>
      <c r="D2116" t="str">
        <f>"001A"</f>
        <v>001A</v>
      </c>
      <c r="E2116">
        <v>2016</v>
      </c>
      <c r="F2116">
        <v>1993600</v>
      </c>
      <c r="G2116">
        <v>3234700</v>
      </c>
      <c r="H2116">
        <v>1241100</v>
      </c>
    </row>
    <row r="2117" spans="1:9" x14ac:dyDescent="0.25">
      <c r="A2117" t="str">
        <f>"44018"</f>
        <v>44018</v>
      </c>
      <c r="B2117" t="s">
        <v>11</v>
      </c>
      <c r="C2117" t="s">
        <v>485</v>
      </c>
      <c r="D2117" t="str">
        <f>"002A"</f>
        <v>002A</v>
      </c>
      <c r="E2117">
        <v>2017</v>
      </c>
      <c r="F2117">
        <v>11728400</v>
      </c>
      <c r="G2117">
        <v>12729900</v>
      </c>
      <c r="H2117">
        <v>1001500</v>
      </c>
    </row>
    <row r="2118" spans="1:9" x14ac:dyDescent="0.25">
      <c r="A2118" t="str">
        <f>"44018"</f>
        <v>44018</v>
      </c>
      <c r="B2118" t="s">
        <v>11</v>
      </c>
      <c r="C2118" t="s">
        <v>485</v>
      </c>
      <c r="D2118" t="s">
        <v>13</v>
      </c>
      <c r="E2118" t="s">
        <v>14</v>
      </c>
      <c r="F2118" t="s">
        <v>15</v>
      </c>
      <c r="G2118" t="s">
        <v>15</v>
      </c>
      <c r="H2118" t="s">
        <v>15</v>
      </c>
      <c r="I2118" s="1">
        <v>540401000</v>
      </c>
    </row>
    <row r="2119" spans="1:9" x14ac:dyDescent="0.25">
      <c r="A2119" t="str">
        <f>"44020"</f>
        <v>44020</v>
      </c>
      <c r="B2119" t="s">
        <v>11</v>
      </c>
      <c r="C2119" t="s">
        <v>902</v>
      </c>
      <c r="D2119" t="str">
        <f>"001A"</f>
        <v>001A</v>
      </c>
      <c r="E2119">
        <v>2015</v>
      </c>
      <c r="F2119">
        <v>7700</v>
      </c>
      <c r="G2119">
        <v>17538700</v>
      </c>
      <c r="H2119">
        <v>17531000</v>
      </c>
    </row>
    <row r="2120" spans="1:9" x14ac:dyDescent="0.25">
      <c r="A2120" t="str">
        <f>"44020"</f>
        <v>44020</v>
      </c>
      <c r="B2120" t="s">
        <v>11</v>
      </c>
      <c r="C2120" t="s">
        <v>902</v>
      </c>
      <c r="D2120" t="str">
        <f>"002A"</f>
        <v>002A</v>
      </c>
      <c r="E2120">
        <v>2016</v>
      </c>
      <c r="F2120">
        <v>17214400</v>
      </c>
      <c r="G2120">
        <v>54686600</v>
      </c>
      <c r="H2120">
        <v>37472200</v>
      </c>
    </row>
    <row r="2121" spans="1:9" x14ac:dyDescent="0.25">
      <c r="A2121" t="str">
        <f>"44020"</f>
        <v>44020</v>
      </c>
      <c r="B2121" t="s">
        <v>11</v>
      </c>
      <c r="C2121" t="s">
        <v>902</v>
      </c>
      <c r="D2121" t="str">
        <f>"003A"</f>
        <v>003A</v>
      </c>
      <c r="E2121">
        <v>2017</v>
      </c>
      <c r="F2121">
        <v>14733400</v>
      </c>
      <c r="G2121">
        <v>20426900</v>
      </c>
      <c r="H2121">
        <v>5693500</v>
      </c>
    </row>
    <row r="2122" spans="1:9" x14ac:dyDescent="0.25">
      <c r="A2122" t="str">
        <f>"44020"</f>
        <v>44020</v>
      </c>
      <c r="B2122" t="s">
        <v>11</v>
      </c>
      <c r="C2122" t="s">
        <v>902</v>
      </c>
      <c r="D2122" t="str">
        <f>"004A"</f>
        <v>004A</v>
      </c>
      <c r="E2122">
        <v>2018</v>
      </c>
      <c r="F2122">
        <v>3676100</v>
      </c>
      <c r="G2122">
        <v>7131700</v>
      </c>
      <c r="H2122">
        <v>3455600</v>
      </c>
    </row>
    <row r="2123" spans="1:9" x14ac:dyDescent="0.25">
      <c r="A2123" t="str">
        <f>"44020"</f>
        <v>44020</v>
      </c>
      <c r="B2123" t="s">
        <v>11</v>
      </c>
      <c r="C2123" t="s">
        <v>902</v>
      </c>
      <c r="D2123" t="s">
        <v>13</v>
      </c>
      <c r="E2123" t="s">
        <v>14</v>
      </c>
      <c r="F2123" t="s">
        <v>15</v>
      </c>
      <c r="G2123" t="s">
        <v>15</v>
      </c>
      <c r="H2123" t="s">
        <v>15</v>
      </c>
      <c r="I2123" s="1">
        <v>2736586300</v>
      </c>
    </row>
    <row r="2124" spans="1:9" x14ac:dyDescent="0.25">
      <c r="A2124" t="str">
        <f>"44022"</f>
        <v>44022</v>
      </c>
      <c r="B2124" t="s">
        <v>11</v>
      </c>
      <c r="C2124" t="s">
        <v>903</v>
      </c>
      <c r="D2124" t="str">
        <f>"001A"</f>
        <v>001A</v>
      </c>
      <c r="E2124">
        <v>2017</v>
      </c>
      <c r="F2124">
        <v>11510500</v>
      </c>
      <c r="G2124">
        <v>14274000</v>
      </c>
      <c r="H2124">
        <v>2763500</v>
      </c>
    </row>
    <row r="2125" spans="1:9" x14ac:dyDescent="0.25">
      <c r="A2125" t="str">
        <f>"44022"</f>
        <v>44022</v>
      </c>
      <c r="B2125" t="s">
        <v>11</v>
      </c>
      <c r="C2125" t="s">
        <v>903</v>
      </c>
      <c r="D2125" t="s">
        <v>13</v>
      </c>
      <c r="E2125" t="s">
        <v>14</v>
      </c>
      <c r="F2125" t="s">
        <v>15</v>
      </c>
      <c r="G2125" t="s">
        <v>15</v>
      </c>
      <c r="H2125" t="s">
        <v>15</v>
      </c>
      <c r="I2125" s="1">
        <v>1431671100</v>
      </c>
    </row>
    <row r="2126" spans="1:9" x14ac:dyDescent="0.25">
      <c r="A2126" t="str">
        <f>"44024"</f>
        <v>44024</v>
      </c>
      <c r="B2126" t="s">
        <v>11</v>
      </c>
      <c r="C2126" t="s">
        <v>904</v>
      </c>
      <c r="D2126" t="s">
        <v>13</v>
      </c>
      <c r="E2126" t="s">
        <v>14</v>
      </c>
      <c r="F2126" t="s">
        <v>15</v>
      </c>
      <c r="G2126" t="s">
        <v>15</v>
      </c>
      <c r="H2126" t="s">
        <v>15</v>
      </c>
      <c r="I2126" s="1">
        <v>129777900</v>
      </c>
    </row>
    <row r="2127" spans="1:9" x14ac:dyDescent="0.25">
      <c r="A2127" t="str">
        <f>"44026"</f>
        <v>44026</v>
      </c>
      <c r="B2127" t="s">
        <v>11</v>
      </c>
      <c r="C2127" t="s">
        <v>184</v>
      </c>
      <c r="D2127" t="s">
        <v>13</v>
      </c>
      <c r="E2127" t="s">
        <v>14</v>
      </c>
      <c r="F2127" t="s">
        <v>15</v>
      </c>
      <c r="G2127" t="s">
        <v>15</v>
      </c>
      <c r="H2127" t="s">
        <v>15</v>
      </c>
      <c r="I2127" s="1">
        <v>148946600</v>
      </c>
    </row>
    <row r="2128" spans="1:9" x14ac:dyDescent="0.25">
      <c r="A2128" t="str">
        <f>"44028"</f>
        <v>44028</v>
      </c>
      <c r="B2128" t="s">
        <v>11</v>
      </c>
      <c r="C2128" t="s">
        <v>504</v>
      </c>
      <c r="D2128" t="s">
        <v>13</v>
      </c>
      <c r="E2128" t="s">
        <v>14</v>
      </c>
      <c r="F2128" t="s">
        <v>15</v>
      </c>
      <c r="G2128" t="s">
        <v>15</v>
      </c>
      <c r="H2128" t="s">
        <v>15</v>
      </c>
      <c r="I2128" s="1">
        <v>72693400</v>
      </c>
    </row>
    <row r="2129" spans="1:9" x14ac:dyDescent="0.25">
      <c r="A2129" t="str">
        <f>"44030"</f>
        <v>44030</v>
      </c>
      <c r="B2129" t="s">
        <v>11</v>
      </c>
      <c r="C2129" t="s">
        <v>778</v>
      </c>
      <c r="D2129" t="s">
        <v>13</v>
      </c>
      <c r="E2129" t="s">
        <v>14</v>
      </c>
      <c r="F2129" t="s">
        <v>15</v>
      </c>
      <c r="G2129" t="s">
        <v>15</v>
      </c>
      <c r="H2129" t="s">
        <v>15</v>
      </c>
      <c r="I2129" s="1">
        <v>73872200</v>
      </c>
    </row>
    <row r="2130" spans="1:9" x14ac:dyDescent="0.25">
      <c r="A2130" t="str">
        <f>"44032"</f>
        <v>44032</v>
      </c>
      <c r="B2130" t="s">
        <v>11</v>
      </c>
      <c r="C2130" t="s">
        <v>905</v>
      </c>
      <c r="D2130" t="s">
        <v>13</v>
      </c>
      <c r="E2130" t="s">
        <v>14</v>
      </c>
      <c r="F2130" t="s">
        <v>15</v>
      </c>
      <c r="G2130" t="s">
        <v>15</v>
      </c>
      <c r="H2130" t="s">
        <v>15</v>
      </c>
      <c r="I2130" s="1">
        <v>48336700</v>
      </c>
    </row>
    <row r="2131" spans="1:9" x14ac:dyDescent="0.25">
      <c r="A2131" t="str">
        <f>"44034"</f>
        <v>44034</v>
      </c>
      <c r="B2131" t="s">
        <v>11</v>
      </c>
      <c r="C2131" t="s">
        <v>893</v>
      </c>
      <c r="D2131" t="s">
        <v>13</v>
      </c>
      <c r="E2131" t="s">
        <v>14</v>
      </c>
      <c r="F2131" t="s">
        <v>15</v>
      </c>
      <c r="G2131" t="s">
        <v>15</v>
      </c>
      <c r="H2131" t="s">
        <v>15</v>
      </c>
      <c r="I2131" s="1">
        <v>226360100</v>
      </c>
    </row>
    <row r="2132" spans="1:9" x14ac:dyDescent="0.25">
      <c r="A2132" t="str">
        <f>"44036"</f>
        <v>44036</v>
      </c>
      <c r="B2132" t="s">
        <v>11</v>
      </c>
      <c r="C2132" t="s">
        <v>906</v>
      </c>
      <c r="D2132" t="s">
        <v>13</v>
      </c>
      <c r="E2132" t="s">
        <v>14</v>
      </c>
      <c r="F2132" t="s">
        <v>15</v>
      </c>
      <c r="G2132" t="s">
        <v>15</v>
      </c>
      <c r="H2132" t="s">
        <v>15</v>
      </c>
      <c r="I2132" s="1">
        <v>104037700</v>
      </c>
    </row>
    <row r="2133" spans="1:9" x14ac:dyDescent="0.25">
      <c r="A2133" t="str">
        <f>"44038"</f>
        <v>44038</v>
      </c>
      <c r="B2133" t="s">
        <v>11</v>
      </c>
      <c r="C2133" t="s">
        <v>444</v>
      </c>
      <c r="D2133" t="s">
        <v>13</v>
      </c>
      <c r="E2133" t="s">
        <v>14</v>
      </c>
      <c r="F2133" t="s">
        <v>15</v>
      </c>
      <c r="G2133" t="s">
        <v>15</v>
      </c>
      <c r="H2133" t="s">
        <v>15</v>
      </c>
      <c r="I2133" s="1">
        <v>103755900</v>
      </c>
    </row>
    <row r="2134" spans="1:9" x14ac:dyDescent="0.25">
      <c r="A2134" t="str">
        <f>"44040"</f>
        <v>44040</v>
      </c>
      <c r="B2134" t="s">
        <v>11</v>
      </c>
      <c r="C2134" t="s">
        <v>907</v>
      </c>
      <c r="D2134" t="s">
        <v>13</v>
      </c>
      <c r="E2134" t="s">
        <v>14</v>
      </c>
      <c r="F2134" t="s">
        <v>15</v>
      </c>
      <c r="G2134" t="s">
        <v>15</v>
      </c>
      <c r="H2134" t="s">
        <v>15</v>
      </c>
      <c r="I2134" s="1">
        <v>182974900</v>
      </c>
    </row>
    <row r="2135" spans="1:9" x14ac:dyDescent="0.25">
      <c r="A2135" t="s">
        <v>32</v>
      </c>
      <c r="B2135" t="s">
        <v>33</v>
      </c>
      <c r="C2135" t="s">
        <v>34</v>
      </c>
      <c r="D2135" t="s">
        <v>13</v>
      </c>
      <c r="E2135" t="s">
        <v>14</v>
      </c>
      <c r="F2135" t="s">
        <v>15</v>
      </c>
      <c r="G2135" t="s">
        <v>15</v>
      </c>
      <c r="H2135" t="s">
        <v>15</v>
      </c>
      <c r="I2135" s="1">
        <v>7819120600</v>
      </c>
    </row>
    <row r="2136" spans="1:9" x14ac:dyDescent="0.25">
      <c r="A2136" t="str">
        <f>"44106"</f>
        <v>44106</v>
      </c>
      <c r="B2136" t="s">
        <v>35</v>
      </c>
      <c r="C2136" t="s">
        <v>908</v>
      </c>
      <c r="D2136" t="s">
        <v>13</v>
      </c>
      <c r="E2136" t="s">
        <v>14</v>
      </c>
      <c r="F2136" t="s">
        <v>15</v>
      </c>
      <c r="G2136" t="s">
        <v>15</v>
      </c>
      <c r="H2136" t="s">
        <v>15</v>
      </c>
      <c r="I2136" s="1">
        <v>17490900</v>
      </c>
    </row>
    <row r="2137" spans="1:9" x14ac:dyDescent="0.25">
      <c r="A2137" t="str">
        <f>"44107"</f>
        <v>44107</v>
      </c>
      <c r="B2137" t="s">
        <v>35</v>
      </c>
      <c r="C2137" t="s">
        <v>894</v>
      </c>
      <c r="D2137" t="str">
        <f>"002"</f>
        <v>002</v>
      </c>
      <c r="E2137">
        <v>1993</v>
      </c>
      <c r="F2137">
        <v>2112700</v>
      </c>
      <c r="G2137">
        <v>18231500</v>
      </c>
      <c r="H2137">
        <v>16118800</v>
      </c>
    </row>
    <row r="2138" spans="1:9" x14ac:dyDescent="0.25">
      <c r="A2138" t="str">
        <f>"44107"</f>
        <v>44107</v>
      </c>
      <c r="B2138" t="s">
        <v>35</v>
      </c>
      <c r="C2138" t="s">
        <v>894</v>
      </c>
      <c r="D2138" t="s">
        <v>13</v>
      </c>
      <c r="E2138" t="s">
        <v>14</v>
      </c>
      <c r="F2138" t="s">
        <v>15</v>
      </c>
      <c r="G2138" t="s">
        <v>15</v>
      </c>
      <c r="H2138" t="s">
        <v>15</v>
      </c>
      <c r="I2138" s="1">
        <v>55594500</v>
      </c>
    </row>
    <row r="2139" spans="1:9" x14ac:dyDescent="0.25">
      <c r="A2139" t="str">
        <f>"44111"</f>
        <v>44111</v>
      </c>
      <c r="B2139" t="s">
        <v>35</v>
      </c>
      <c r="C2139" t="s">
        <v>909</v>
      </c>
      <c r="D2139" t="str">
        <f>"002"</f>
        <v>002</v>
      </c>
      <c r="E2139">
        <v>2015</v>
      </c>
      <c r="F2139">
        <v>15736800</v>
      </c>
      <c r="G2139">
        <v>12879600</v>
      </c>
      <c r="H2139">
        <v>0</v>
      </c>
    </row>
    <row r="2140" spans="1:9" x14ac:dyDescent="0.25">
      <c r="A2140" t="str">
        <f>"44111"</f>
        <v>44111</v>
      </c>
      <c r="B2140" t="s">
        <v>35</v>
      </c>
      <c r="C2140" t="s">
        <v>909</v>
      </c>
      <c r="D2140" t="s">
        <v>13</v>
      </c>
      <c r="E2140" t="s">
        <v>14</v>
      </c>
      <c r="F2140" t="s">
        <v>15</v>
      </c>
      <c r="G2140" t="s">
        <v>15</v>
      </c>
      <c r="H2140" t="s">
        <v>15</v>
      </c>
      <c r="I2140" s="1">
        <v>321121600</v>
      </c>
    </row>
    <row r="2141" spans="1:9" x14ac:dyDescent="0.25">
      <c r="A2141" t="str">
        <f>"44131"</f>
        <v>44131</v>
      </c>
      <c r="B2141" t="s">
        <v>35</v>
      </c>
      <c r="C2141" t="s">
        <v>175</v>
      </c>
      <c r="D2141" t="s">
        <v>13</v>
      </c>
      <c r="E2141" t="s">
        <v>14</v>
      </c>
      <c r="F2141" t="s">
        <v>15</v>
      </c>
      <c r="G2141" t="s">
        <v>15</v>
      </c>
      <c r="H2141" t="s">
        <v>15</v>
      </c>
      <c r="I2141" s="1">
        <v>0</v>
      </c>
    </row>
    <row r="2142" spans="1:9" x14ac:dyDescent="0.25">
      <c r="A2142" t="str">
        <f>"44136"</f>
        <v>44136</v>
      </c>
      <c r="B2142" t="s">
        <v>35</v>
      </c>
      <c r="C2142" t="s">
        <v>910</v>
      </c>
      <c r="D2142" t="str">
        <f>"003"</f>
        <v>003</v>
      </c>
      <c r="E2142">
        <v>2013</v>
      </c>
      <c r="F2142">
        <v>487700</v>
      </c>
      <c r="G2142">
        <v>6651900</v>
      </c>
      <c r="H2142">
        <v>6164200</v>
      </c>
    </row>
    <row r="2143" spans="1:9" x14ac:dyDescent="0.25">
      <c r="A2143" t="str">
        <f>"44136"</f>
        <v>44136</v>
      </c>
      <c r="B2143" t="s">
        <v>35</v>
      </c>
      <c r="C2143" t="s">
        <v>910</v>
      </c>
      <c r="D2143" t="str">
        <f>"004"</f>
        <v>004</v>
      </c>
      <c r="E2143">
        <v>2017</v>
      </c>
      <c r="F2143">
        <v>510300</v>
      </c>
      <c r="G2143">
        <v>1803500</v>
      </c>
      <c r="H2143">
        <v>1293200</v>
      </c>
    </row>
    <row r="2144" spans="1:9" x14ac:dyDescent="0.25">
      <c r="A2144" t="str">
        <f>"44136"</f>
        <v>44136</v>
      </c>
      <c r="B2144" t="s">
        <v>35</v>
      </c>
      <c r="C2144" t="s">
        <v>910</v>
      </c>
      <c r="D2144" t="str">
        <f>"005"</f>
        <v>005</v>
      </c>
      <c r="E2144">
        <v>2017</v>
      </c>
      <c r="F2144">
        <v>522700</v>
      </c>
      <c r="G2144">
        <v>518400</v>
      </c>
      <c r="H2144">
        <v>0</v>
      </c>
    </row>
    <row r="2145" spans="1:9" x14ac:dyDescent="0.25">
      <c r="A2145" t="str">
        <f>"44136"</f>
        <v>44136</v>
      </c>
      <c r="B2145" t="s">
        <v>35</v>
      </c>
      <c r="C2145" t="s">
        <v>910</v>
      </c>
      <c r="D2145" t="s">
        <v>13</v>
      </c>
      <c r="E2145" t="s">
        <v>14</v>
      </c>
      <c r="F2145" t="s">
        <v>15</v>
      </c>
      <c r="G2145" t="s">
        <v>15</v>
      </c>
      <c r="H2145" t="s">
        <v>15</v>
      </c>
      <c r="I2145" s="1">
        <v>211224500</v>
      </c>
    </row>
    <row r="2146" spans="1:9" x14ac:dyDescent="0.25">
      <c r="A2146" t="str">
        <f>"44137"</f>
        <v>44137</v>
      </c>
      <c r="B2146" t="s">
        <v>35</v>
      </c>
      <c r="C2146" t="s">
        <v>127</v>
      </c>
      <c r="D2146" t="s">
        <v>13</v>
      </c>
      <c r="E2146" t="s">
        <v>14</v>
      </c>
      <c r="F2146" t="s">
        <v>15</v>
      </c>
      <c r="G2146" t="s">
        <v>15</v>
      </c>
      <c r="H2146" t="s">
        <v>15</v>
      </c>
      <c r="I2146" s="1">
        <v>28000</v>
      </c>
    </row>
    <row r="2147" spans="1:9" x14ac:dyDescent="0.25">
      <c r="A2147" t="str">
        <f>"44141"</f>
        <v>44141</v>
      </c>
      <c r="B2147" t="s">
        <v>35</v>
      </c>
      <c r="C2147" t="s">
        <v>911</v>
      </c>
      <c r="D2147" t="str">
        <f>"004"</f>
        <v>004</v>
      </c>
      <c r="E2147">
        <v>2005</v>
      </c>
      <c r="F2147">
        <v>778200</v>
      </c>
      <c r="G2147">
        <v>10763000</v>
      </c>
      <c r="H2147">
        <v>9984800</v>
      </c>
    </row>
    <row r="2148" spans="1:9" x14ac:dyDescent="0.25">
      <c r="A2148" t="str">
        <f>"44141"</f>
        <v>44141</v>
      </c>
      <c r="B2148" t="s">
        <v>35</v>
      </c>
      <c r="C2148" t="s">
        <v>911</v>
      </c>
      <c r="D2148" t="str">
        <f>"005"</f>
        <v>005</v>
      </c>
      <c r="E2148">
        <v>2008</v>
      </c>
      <c r="F2148">
        <v>11345100</v>
      </c>
      <c r="G2148">
        <v>46716300</v>
      </c>
      <c r="H2148">
        <v>35371200</v>
      </c>
    </row>
    <row r="2149" spans="1:9" x14ac:dyDescent="0.25">
      <c r="A2149" t="str">
        <f>"44141"</f>
        <v>44141</v>
      </c>
      <c r="B2149" t="s">
        <v>35</v>
      </c>
      <c r="C2149" t="s">
        <v>911</v>
      </c>
      <c r="D2149" t="str">
        <f>"006"</f>
        <v>006</v>
      </c>
      <c r="E2149">
        <v>2016</v>
      </c>
      <c r="F2149">
        <v>13918500</v>
      </c>
      <c r="G2149">
        <v>22246500</v>
      </c>
      <c r="H2149">
        <v>8328000</v>
      </c>
    </row>
    <row r="2150" spans="1:9" x14ac:dyDescent="0.25">
      <c r="A2150" t="str">
        <f>"44141"</f>
        <v>44141</v>
      </c>
      <c r="B2150" t="s">
        <v>35</v>
      </c>
      <c r="C2150" t="s">
        <v>911</v>
      </c>
      <c r="D2150" t="s">
        <v>13</v>
      </c>
      <c r="E2150" t="s">
        <v>14</v>
      </c>
      <c r="F2150" t="s">
        <v>15</v>
      </c>
      <c r="G2150" t="s">
        <v>15</v>
      </c>
      <c r="H2150" t="s">
        <v>15</v>
      </c>
      <c r="I2150" s="1">
        <v>508129100</v>
      </c>
    </row>
    <row r="2151" spans="1:9" x14ac:dyDescent="0.25">
      <c r="A2151" t="str">
        <f t="shared" ref="A2151:A2156" si="49">"44146"</f>
        <v>44146</v>
      </c>
      <c r="B2151" t="s">
        <v>35</v>
      </c>
      <c r="C2151" t="s">
        <v>912</v>
      </c>
      <c r="D2151" t="str">
        <f>"004"</f>
        <v>004</v>
      </c>
      <c r="E2151">
        <v>2007</v>
      </c>
      <c r="F2151">
        <v>3413400</v>
      </c>
      <c r="G2151">
        <v>72068100</v>
      </c>
      <c r="H2151">
        <v>68654700</v>
      </c>
    </row>
    <row r="2152" spans="1:9" x14ac:dyDescent="0.25">
      <c r="A2152" t="str">
        <f t="shared" si="49"/>
        <v>44146</v>
      </c>
      <c r="B2152" t="s">
        <v>35</v>
      </c>
      <c r="C2152" t="s">
        <v>912</v>
      </c>
      <c r="D2152" t="str">
        <f>"005"</f>
        <v>005</v>
      </c>
      <c r="E2152">
        <v>2013</v>
      </c>
      <c r="F2152">
        <v>11735700</v>
      </c>
      <c r="G2152">
        <v>30677400</v>
      </c>
      <c r="H2152">
        <v>18941700</v>
      </c>
    </row>
    <row r="2153" spans="1:9" x14ac:dyDescent="0.25">
      <c r="A2153" t="str">
        <f t="shared" si="49"/>
        <v>44146</v>
      </c>
      <c r="B2153" t="s">
        <v>35</v>
      </c>
      <c r="C2153" t="s">
        <v>912</v>
      </c>
      <c r="D2153" t="str">
        <f>"006"</f>
        <v>006</v>
      </c>
      <c r="E2153">
        <v>2016</v>
      </c>
      <c r="F2153">
        <v>2075700</v>
      </c>
      <c r="G2153">
        <v>51194400</v>
      </c>
      <c r="H2153">
        <v>49118700</v>
      </c>
    </row>
    <row r="2154" spans="1:9" x14ac:dyDescent="0.25">
      <c r="A2154" t="str">
        <f t="shared" si="49"/>
        <v>44146</v>
      </c>
      <c r="B2154" t="s">
        <v>35</v>
      </c>
      <c r="C2154" t="s">
        <v>912</v>
      </c>
      <c r="D2154" t="str">
        <f>"007"</f>
        <v>007</v>
      </c>
      <c r="E2154">
        <v>2018</v>
      </c>
      <c r="F2154">
        <v>3436200</v>
      </c>
      <c r="G2154">
        <v>8064200</v>
      </c>
      <c r="H2154">
        <v>4628000</v>
      </c>
    </row>
    <row r="2155" spans="1:9" x14ac:dyDescent="0.25">
      <c r="A2155" t="str">
        <f t="shared" si="49"/>
        <v>44146</v>
      </c>
      <c r="B2155" t="s">
        <v>35</v>
      </c>
      <c r="C2155" t="s">
        <v>912</v>
      </c>
      <c r="D2155" t="str">
        <f>"008"</f>
        <v>008</v>
      </c>
      <c r="E2155">
        <v>2018</v>
      </c>
      <c r="F2155">
        <v>2624500</v>
      </c>
      <c r="G2155">
        <v>3145400</v>
      </c>
      <c r="H2155">
        <v>520900</v>
      </c>
    </row>
    <row r="2156" spans="1:9" x14ac:dyDescent="0.25">
      <c r="A2156" t="str">
        <f t="shared" si="49"/>
        <v>44146</v>
      </c>
      <c r="B2156" t="s">
        <v>35</v>
      </c>
      <c r="C2156" t="s">
        <v>912</v>
      </c>
      <c r="D2156" t="s">
        <v>13</v>
      </c>
      <c r="E2156" t="s">
        <v>14</v>
      </c>
      <c r="F2156" t="s">
        <v>15</v>
      </c>
      <c r="G2156" t="s">
        <v>15</v>
      </c>
      <c r="H2156" t="s">
        <v>15</v>
      </c>
      <c r="I2156" s="1">
        <v>810301700</v>
      </c>
    </row>
    <row r="2157" spans="1:9" x14ac:dyDescent="0.25">
      <c r="A2157" t="str">
        <f>"44155"</f>
        <v>44155</v>
      </c>
      <c r="B2157" t="s">
        <v>35</v>
      </c>
      <c r="C2157" t="s">
        <v>913</v>
      </c>
      <c r="D2157" t="s">
        <v>13</v>
      </c>
      <c r="E2157" t="s">
        <v>14</v>
      </c>
      <c r="F2157" t="s">
        <v>15</v>
      </c>
      <c r="G2157" t="s">
        <v>15</v>
      </c>
      <c r="H2157" t="s">
        <v>15</v>
      </c>
      <c r="I2157" s="1">
        <v>9047500</v>
      </c>
    </row>
    <row r="2158" spans="1:9" x14ac:dyDescent="0.25">
      <c r="A2158" t="str">
        <f>"44181"</f>
        <v>44181</v>
      </c>
      <c r="B2158" t="s">
        <v>35</v>
      </c>
      <c r="C2158" t="s">
        <v>914</v>
      </c>
      <c r="D2158" t="s">
        <v>13</v>
      </c>
      <c r="E2158" t="s">
        <v>14</v>
      </c>
      <c r="F2158" t="s">
        <v>15</v>
      </c>
      <c r="G2158" t="s">
        <v>15</v>
      </c>
      <c r="H2158" t="s">
        <v>15</v>
      </c>
      <c r="I2158" s="1">
        <v>41853400</v>
      </c>
    </row>
    <row r="2159" spans="1:9" x14ac:dyDescent="0.25">
      <c r="A2159" t="str">
        <f>"44191"</f>
        <v>44191</v>
      </c>
      <c r="B2159" t="s">
        <v>35</v>
      </c>
      <c r="C2159" t="s">
        <v>121</v>
      </c>
      <c r="D2159" t="str">
        <f>"003"</f>
        <v>003</v>
      </c>
      <c r="E2159">
        <v>2015</v>
      </c>
      <c r="F2159">
        <v>1794100</v>
      </c>
      <c r="G2159">
        <v>20505500</v>
      </c>
      <c r="H2159">
        <v>18711400</v>
      </c>
    </row>
    <row r="2160" spans="1:9" x14ac:dyDescent="0.25">
      <c r="A2160" t="str">
        <f>"44191"</f>
        <v>44191</v>
      </c>
      <c r="B2160" t="s">
        <v>35</v>
      </c>
      <c r="C2160" t="s">
        <v>121</v>
      </c>
      <c r="D2160" t="str">
        <f>"004"</f>
        <v>004</v>
      </c>
      <c r="E2160">
        <v>2016</v>
      </c>
      <c r="F2160">
        <v>1087500</v>
      </c>
      <c r="G2160">
        <v>583900</v>
      </c>
      <c r="H2160">
        <v>0</v>
      </c>
    </row>
    <row r="2161" spans="1:9" x14ac:dyDescent="0.25">
      <c r="A2161" t="str">
        <f>"44191"</f>
        <v>44191</v>
      </c>
      <c r="B2161" t="s">
        <v>35</v>
      </c>
      <c r="C2161" t="s">
        <v>121</v>
      </c>
      <c r="D2161" t="s">
        <v>13</v>
      </c>
      <c r="E2161" t="s">
        <v>14</v>
      </c>
      <c r="F2161" t="s">
        <v>15</v>
      </c>
      <c r="G2161" t="s">
        <v>15</v>
      </c>
      <c r="H2161" t="s">
        <v>15</v>
      </c>
      <c r="I2161" s="1">
        <v>28865900</v>
      </c>
    </row>
    <row r="2162" spans="1:9" x14ac:dyDescent="0.25">
      <c r="A2162" t="s">
        <v>32</v>
      </c>
      <c r="B2162" t="s">
        <v>37</v>
      </c>
      <c r="C2162" t="s">
        <v>34</v>
      </c>
      <c r="D2162" t="s">
        <v>13</v>
      </c>
      <c r="E2162" t="s">
        <v>14</v>
      </c>
      <c r="F2162" t="s">
        <v>15</v>
      </c>
      <c r="G2162" t="s">
        <v>15</v>
      </c>
      <c r="H2162" t="s">
        <v>15</v>
      </c>
      <c r="I2162" s="1">
        <v>2003657100</v>
      </c>
    </row>
    <row r="2163" spans="1:9" x14ac:dyDescent="0.25">
      <c r="A2163" t="str">
        <f t="shared" ref="A2163:A2169" si="50">"44201"</f>
        <v>44201</v>
      </c>
      <c r="B2163" t="s">
        <v>38</v>
      </c>
      <c r="C2163" t="s">
        <v>183</v>
      </c>
      <c r="D2163" t="str">
        <f>"003"</f>
        <v>003</v>
      </c>
      <c r="E2163">
        <v>1993</v>
      </c>
      <c r="F2163">
        <v>18940800</v>
      </c>
      <c r="G2163">
        <v>70899500</v>
      </c>
      <c r="H2163">
        <v>51958700</v>
      </c>
    </row>
    <row r="2164" spans="1:9" x14ac:dyDescent="0.25">
      <c r="A2164" t="str">
        <f t="shared" si="50"/>
        <v>44201</v>
      </c>
      <c r="B2164" t="s">
        <v>38</v>
      </c>
      <c r="C2164" t="s">
        <v>183</v>
      </c>
      <c r="D2164" t="str">
        <f>"008"</f>
        <v>008</v>
      </c>
      <c r="E2164">
        <v>2009</v>
      </c>
      <c r="F2164">
        <v>6135100</v>
      </c>
      <c r="G2164">
        <v>56920500</v>
      </c>
      <c r="H2164">
        <v>50785400</v>
      </c>
    </row>
    <row r="2165" spans="1:9" x14ac:dyDescent="0.25">
      <c r="A2165" t="str">
        <f t="shared" si="50"/>
        <v>44201</v>
      </c>
      <c r="B2165" t="s">
        <v>38</v>
      </c>
      <c r="C2165" t="s">
        <v>183</v>
      </c>
      <c r="D2165" t="str">
        <f>"009"</f>
        <v>009</v>
      </c>
      <c r="E2165">
        <v>2013</v>
      </c>
      <c r="F2165">
        <v>21512900</v>
      </c>
      <c r="G2165">
        <v>20537900</v>
      </c>
      <c r="H2165">
        <v>0</v>
      </c>
    </row>
    <row r="2166" spans="1:9" x14ac:dyDescent="0.25">
      <c r="A2166" t="str">
        <f t="shared" si="50"/>
        <v>44201</v>
      </c>
      <c r="B2166" t="s">
        <v>38</v>
      </c>
      <c r="C2166" t="s">
        <v>183</v>
      </c>
      <c r="D2166" t="str">
        <f>"010"</f>
        <v>010</v>
      </c>
      <c r="E2166">
        <v>2013</v>
      </c>
      <c r="F2166">
        <v>24543900</v>
      </c>
      <c r="G2166">
        <v>18183800</v>
      </c>
      <c r="H2166">
        <v>0</v>
      </c>
    </row>
    <row r="2167" spans="1:9" x14ac:dyDescent="0.25">
      <c r="A2167" t="str">
        <f t="shared" si="50"/>
        <v>44201</v>
      </c>
      <c r="B2167" t="s">
        <v>38</v>
      </c>
      <c r="C2167" t="s">
        <v>183</v>
      </c>
      <c r="D2167" t="str">
        <f>"011"</f>
        <v>011</v>
      </c>
      <c r="E2167">
        <v>2017</v>
      </c>
      <c r="F2167">
        <v>83099200</v>
      </c>
      <c r="G2167">
        <v>84702900</v>
      </c>
      <c r="H2167">
        <v>1603700</v>
      </c>
    </row>
    <row r="2168" spans="1:9" x14ac:dyDescent="0.25">
      <c r="A2168" t="str">
        <f t="shared" si="50"/>
        <v>44201</v>
      </c>
      <c r="B2168" t="s">
        <v>38</v>
      </c>
      <c r="C2168" t="s">
        <v>183</v>
      </c>
      <c r="D2168" t="str">
        <f>"012"</f>
        <v>012</v>
      </c>
      <c r="E2168">
        <v>2017</v>
      </c>
      <c r="F2168">
        <v>22974900</v>
      </c>
      <c r="G2168">
        <v>24144800</v>
      </c>
      <c r="H2168">
        <v>1169900</v>
      </c>
    </row>
    <row r="2169" spans="1:9" x14ac:dyDescent="0.25">
      <c r="A2169" t="str">
        <f t="shared" si="50"/>
        <v>44201</v>
      </c>
      <c r="B2169" t="s">
        <v>38</v>
      </c>
      <c r="C2169" t="s">
        <v>183</v>
      </c>
      <c r="D2169" t="s">
        <v>13</v>
      </c>
      <c r="E2169" t="s">
        <v>14</v>
      </c>
      <c r="F2169" t="s">
        <v>15</v>
      </c>
      <c r="G2169" t="s">
        <v>15</v>
      </c>
      <c r="H2169" t="s">
        <v>15</v>
      </c>
      <c r="I2169" s="1">
        <v>4831570300</v>
      </c>
    </row>
    <row r="2170" spans="1:9" x14ac:dyDescent="0.25">
      <c r="A2170" t="str">
        <f t="shared" ref="A2170:A2176" si="51">"44241"</f>
        <v>44241</v>
      </c>
      <c r="B2170" t="s">
        <v>38</v>
      </c>
      <c r="C2170" t="s">
        <v>184</v>
      </c>
      <c r="D2170" t="str">
        <f>"001E"</f>
        <v>001E</v>
      </c>
      <c r="E2170">
        <v>2005</v>
      </c>
      <c r="F2170">
        <v>32800</v>
      </c>
      <c r="G2170">
        <v>4255800</v>
      </c>
      <c r="H2170">
        <v>4223000</v>
      </c>
    </row>
    <row r="2171" spans="1:9" x14ac:dyDescent="0.25">
      <c r="A2171" t="str">
        <f t="shared" si="51"/>
        <v>44241</v>
      </c>
      <c r="B2171" t="s">
        <v>38</v>
      </c>
      <c r="C2171" t="s">
        <v>184</v>
      </c>
      <c r="D2171" t="str">
        <f>"004"</f>
        <v>004</v>
      </c>
      <c r="E2171">
        <v>2000</v>
      </c>
      <c r="F2171">
        <v>16049300</v>
      </c>
      <c r="G2171">
        <v>19731500</v>
      </c>
      <c r="H2171">
        <v>3682200</v>
      </c>
    </row>
    <row r="2172" spans="1:9" x14ac:dyDescent="0.25">
      <c r="A2172" t="str">
        <f t="shared" si="51"/>
        <v>44241</v>
      </c>
      <c r="B2172" t="s">
        <v>38</v>
      </c>
      <c r="C2172" t="s">
        <v>184</v>
      </c>
      <c r="D2172" t="str">
        <f>"005"</f>
        <v>005</v>
      </c>
      <c r="E2172">
        <v>2003</v>
      </c>
      <c r="F2172">
        <v>1077900</v>
      </c>
      <c r="G2172">
        <v>4234800</v>
      </c>
      <c r="H2172">
        <v>3156900</v>
      </c>
    </row>
    <row r="2173" spans="1:9" x14ac:dyDescent="0.25">
      <c r="A2173" t="str">
        <f t="shared" si="51"/>
        <v>44241</v>
      </c>
      <c r="B2173" t="s">
        <v>38</v>
      </c>
      <c r="C2173" t="s">
        <v>184</v>
      </c>
      <c r="D2173" t="str">
        <f>"006"</f>
        <v>006</v>
      </c>
      <c r="E2173">
        <v>2006</v>
      </c>
      <c r="F2173">
        <v>3151700</v>
      </c>
      <c r="G2173">
        <v>42272300</v>
      </c>
      <c r="H2173">
        <v>39120600</v>
      </c>
    </row>
    <row r="2174" spans="1:9" x14ac:dyDescent="0.25">
      <c r="A2174" t="str">
        <f t="shared" si="51"/>
        <v>44241</v>
      </c>
      <c r="B2174" t="s">
        <v>38</v>
      </c>
      <c r="C2174" t="s">
        <v>184</v>
      </c>
      <c r="D2174" t="str">
        <f>"008"</f>
        <v>008</v>
      </c>
      <c r="E2174">
        <v>2013</v>
      </c>
      <c r="F2174">
        <v>2571200</v>
      </c>
      <c r="G2174">
        <v>8075800</v>
      </c>
      <c r="H2174">
        <v>5504600</v>
      </c>
    </row>
    <row r="2175" spans="1:9" x14ac:dyDescent="0.25">
      <c r="A2175" t="str">
        <f t="shared" si="51"/>
        <v>44241</v>
      </c>
      <c r="B2175" t="s">
        <v>38</v>
      </c>
      <c r="C2175" t="s">
        <v>184</v>
      </c>
      <c r="D2175" t="str">
        <f>"009"</f>
        <v>009</v>
      </c>
      <c r="E2175">
        <v>2016</v>
      </c>
      <c r="F2175">
        <v>1306600</v>
      </c>
      <c r="G2175">
        <v>2218400</v>
      </c>
      <c r="H2175">
        <v>911800</v>
      </c>
    </row>
    <row r="2176" spans="1:9" x14ac:dyDescent="0.25">
      <c r="A2176" t="str">
        <f t="shared" si="51"/>
        <v>44241</v>
      </c>
      <c r="B2176" t="s">
        <v>38</v>
      </c>
      <c r="C2176" t="s">
        <v>184</v>
      </c>
      <c r="D2176" t="s">
        <v>13</v>
      </c>
      <c r="E2176" t="s">
        <v>14</v>
      </c>
      <c r="F2176" t="s">
        <v>15</v>
      </c>
      <c r="G2176" t="s">
        <v>15</v>
      </c>
      <c r="H2176" t="s">
        <v>15</v>
      </c>
      <c r="I2176" s="1">
        <v>1097148000</v>
      </c>
    </row>
    <row r="2177" spans="1:9" x14ac:dyDescent="0.25">
      <c r="A2177" t="str">
        <f>"44261"</f>
        <v>44261</v>
      </c>
      <c r="B2177" t="s">
        <v>38</v>
      </c>
      <c r="C2177" t="s">
        <v>915</v>
      </c>
      <c r="D2177" t="str">
        <f>"001E"</f>
        <v>001E</v>
      </c>
      <c r="E2177">
        <v>2001</v>
      </c>
      <c r="F2177">
        <v>14100</v>
      </c>
      <c r="G2177">
        <v>752800</v>
      </c>
      <c r="H2177">
        <v>738700</v>
      </c>
    </row>
    <row r="2178" spans="1:9" x14ac:dyDescent="0.25">
      <c r="A2178" t="str">
        <f>"44261"</f>
        <v>44261</v>
      </c>
      <c r="B2178" t="s">
        <v>38</v>
      </c>
      <c r="C2178" t="s">
        <v>915</v>
      </c>
      <c r="D2178" t="s">
        <v>13</v>
      </c>
      <c r="E2178" t="s">
        <v>14</v>
      </c>
      <c r="F2178" t="s">
        <v>15</v>
      </c>
      <c r="G2178" t="s">
        <v>15</v>
      </c>
      <c r="H2178" t="s">
        <v>15</v>
      </c>
      <c r="I2178" s="1">
        <v>129685900</v>
      </c>
    </row>
    <row r="2179" spans="1:9" x14ac:dyDescent="0.25">
      <c r="A2179" t="str">
        <f>"44281"</f>
        <v>44281</v>
      </c>
      <c r="B2179" t="s">
        <v>38</v>
      </c>
      <c r="C2179" t="s">
        <v>444</v>
      </c>
      <c r="D2179" t="str">
        <f>"003"</f>
        <v>003</v>
      </c>
      <c r="E2179">
        <v>2001</v>
      </c>
      <c r="F2179">
        <v>4829900</v>
      </c>
      <c r="G2179">
        <v>23505300</v>
      </c>
      <c r="H2179">
        <v>18675400</v>
      </c>
    </row>
    <row r="2180" spans="1:9" x14ac:dyDescent="0.25">
      <c r="A2180" t="str">
        <f>"44281"</f>
        <v>44281</v>
      </c>
      <c r="B2180" t="s">
        <v>38</v>
      </c>
      <c r="C2180" t="s">
        <v>444</v>
      </c>
      <c r="D2180" t="str">
        <f>"004"</f>
        <v>004</v>
      </c>
      <c r="E2180">
        <v>2011</v>
      </c>
      <c r="F2180">
        <v>5657100</v>
      </c>
      <c r="G2180">
        <v>10862600</v>
      </c>
      <c r="H2180">
        <v>5205500</v>
      </c>
    </row>
    <row r="2181" spans="1:9" x14ac:dyDescent="0.25">
      <c r="A2181" t="str">
        <f>"44281"</f>
        <v>44281</v>
      </c>
      <c r="B2181" t="s">
        <v>38</v>
      </c>
      <c r="C2181" t="s">
        <v>444</v>
      </c>
      <c r="D2181" t="s">
        <v>13</v>
      </c>
      <c r="E2181" t="s">
        <v>14</v>
      </c>
      <c r="F2181" t="s">
        <v>15</v>
      </c>
      <c r="G2181" t="s">
        <v>15</v>
      </c>
      <c r="H2181" t="s">
        <v>15</v>
      </c>
      <c r="I2181" s="1">
        <v>195624600</v>
      </c>
    </row>
    <row r="2182" spans="1:9" x14ac:dyDescent="0.25">
      <c r="A2182" t="s">
        <v>32</v>
      </c>
      <c r="B2182" t="s">
        <v>40</v>
      </c>
      <c r="C2182" t="s">
        <v>34</v>
      </c>
      <c r="D2182" t="s">
        <v>13</v>
      </c>
      <c r="E2182" t="s">
        <v>14</v>
      </c>
      <c r="F2182" t="s">
        <v>15</v>
      </c>
      <c r="G2182" t="s">
        <v>15</v>
      </c>
      <c r="H2182" t="s">
        <v>15</v>
      </c>
      <c r="I2182" s="1">
        <v>6254028800</v>
      </c>
    </row>
    <row r="2183" spans="1:9" x14ac:dyDescent="0.25">
      <c r="A2183" t="s">
        <v>32</v>
      </c>
      <c r="B2183" t="s">
        <v>41</v>
      </c>
      <c r="C2183" t="s">
        <v>916</v>
      </c>
      <c r="D2183" t="s">
        <v>13</v>
      </c>
      <c r="E2183" t="s">
        <v>14</v>
      </c>
      <c r="F2183" t="s">
        <v>15</v>
      </c>
      <c r="G2183" t="s">
        <v>15</v>
      </c>
      <c r="H2183" t="s">
        <v>15</v>
      </c>
      <c r="I2183" s="1">
        <v>16076806500</v>
      </c>
    </row>
    <row r="2184" spans="1:9" x14ac:dyDescent="0.25">
      <c r="A2184" t="str">
        <f>"45002"</f>
        <v>45002</v>
      </c>
      <c r="B2184" t="s">
        <v>11</v>
      </c>
      <c r="C2184" t="s">
        <v>917</v>
      </c>
      <c r="D2184" t="s">
        <v>13</v>
      </c>
      <c r="E2184" t="s">
        <v>14</v>
      </c>
      <c r="F2184" t="s">
        <v>15</v>
      </c>
      <c r="G2184" t="s">
        <v>15</v>
      </c>
      <c r="H2184" t="s">
        <v>15</v>
      </c>
      <c r="I2184" s="1">
        <v>291274200</v>
      </c>
    </row>
    <row r="2185" spans="1:9" x14ac:dyDescent="0.25">
      <c r="A2185" t="str">
        <f>"45004"</f>
        <v>45004</v>
      </c>
      <c r="B2185" t="s">
        <v>11</v>
      </c>
      <c r="C2185" t="s">
        <v>918</v>
      </c>
      <c r="D2185" t="s">
        <v>13</v>
      </c>
      <c r="E2185" t="s">
        <v>14</v>
      </c>
      <c r="F2185" t="s">
        <v>15</v>
      </c>
      <c r="G2185" t="s">
        <v>15</v>
      </c>
      <c r="H2185" t="s">
        <v>15</v>
      </c>
      <c r="I2185" s="1">
        <v>977734900</v>
      </c>
    </row>
    <row r="2186" spans="1:9" x14ac:dyDescent="0.25">
      <c r="A2186" t="str">
        <f>"45006"</f>
        <v>45006</v>
      </c>
      <c r="B2186" t="s">
        <v>11</v>
      </c>
      <c r="C2186" t="s">
        <v>919</v>
      </c>
      <c r="D2186" t="s">
        <v>13</v>
      </c>
      <c r="E2186" t="s">
        <v>14</v>
      </c>
      <c r="F2186" t="s">
        <v>15</v>
      </c>
      <c r="G2186" t="s">
        <v>15</v>
      </c>
      <c r="H2186" t="s">
        <v>15</v>
      </c>
      <c r="I2186" s="1">
        <v>243933500</v>
      </c>
    </row>
    <row r="2187" spans="1:9" x14ac:dyDescent="0.25">
      <c r="A2187" t="str">
        <f>"45008"</f>
        <v>45008</v>
      </c>
      <c r="B2187" t="s">
        <v>11</v>
      </c>
      <c r="C2187" t="s">
        <v>920</v>
      </c>
      <c r="D2187" t="s">
        <v>13</v>
      </c>
      <c r="E2187" t="s">
        <v>14</v>
      </c>
      <c r="F2187" t="s">
        <v>15</v>
      </c>
      <c r="G2187" t="s">
        <v>15</v>
      </c>
      <c r="H2187" t="s">
        <v>15</v>
      </c>
      <c r="I2187" s="1">
        <v>667246500</v>
      </c>
    </row>
    <row r="2188" spans="1:9" x14ac:dyDescent="0.25">
      <c r="A2188" t="str">
        <f>"45012"</f>
        <v>45012</v>
      </c>
      <c r="B2188" t="s">
        <v>11</v>
      </c>
      <c r="C2188" t="s">
        <v>921</v>
      </c>
      <c r="D2188" t="s">
        <v>13</v>
      </c>
      <c r="E2188" t="s">
        <v>14</v>
      </c>
      <c r="F2188" t="s">
        <v>15</v>
      </c>
      <c r="G2188" t="s">
        <v>15</v>
      </c>
      <c r="H2188" t="s">
        <v>15</v>
      </c>
      <c r="I2188" s="1">
        <v>228757800</v>
      </c>
    </row>
    <row r="2189" spans="1:9" x14ac:dyDescent="0.25">
      <c r="A2189" t="str">
        <f>"45014"</f>
        <v>45014</v>
      </c>
      <c r="B2189" t="s">
        <v>11</v>
      </c>
      <c r="C2189" t="s">
        <v>922</v>
      </c>
      <c r="D2189" t="s">
        <v>13</v>
      </c>
      <c r="E2189" t="s">
        <v>14</v>
      </c>
      <c r="F2189" t="s">
        <v>15</v>
      </c>
      <c r="G2189" t="s">
        <v>15</v>
      </c>
      <c r="H2189" t="s">
        <v>15</v>
      </c>
      <c r="I2189" s="1">
        <v>239909900</v>
      </c>
    </row>
    <row r="2190" spans="1:9" x14ac:dyDescent="0.25">
      <c r="A2190" t="s">
        <v>32</v>
      </c>
      <c r="B2190" t="s">
        <v>33</v>
      </c>
      <c r="C2190" t="s">
        <v>34</v>
      </c>
      <c r="D2190" t="s">
        <v>13</v>
      </c>
      <c r="E2190" t="s">
        <v>14</v>
      </c>
      <c r="F2190" t="s">
        <v>15</v>
      </c>
      <c r="G2190" t="s">
        <v>15</v>
      </c>
      <c r="H2190" t="s">
        <v>15</v>
      </c>
      <c r="I2190" s="1">
        <v>2648856800</v>
      </c>
    </row>
    <row r="2191" spans="1:9" x14ac:dyDescent="0.25">
      <c r="A2191" t="str">
        <f>"45105"</f>
        <v>45105</v>
      </c>
      <c r="B2191" t="s">
        <v>35</v>
      </c>
      <c r="C2191" t="s">
        <v>811</v>
      </c>
      <c r="D2191" t="s">
        <v>13</v>
      </c>
      <c r="E2191" t="s">
        <v>14</v>
      </c>
      <c r="F2191" t="s">
        <v>15</v>
      </c>
      <c r="G2191" t="s">
        <v>15</v>
      </c>
      <c r="H2191" t="s">
        <v>15</v>
      </c>
      <c r="I2191" s="1">
        <v>26945000</v>
      </c>
    </row>
    <row r="2192" spans="1:9" x14ac:dyDescent="0.25">
      <c r="A2192" t="str">
        <f>"45106"</f>
        <v>45106</v>
      </c>
      <c r="B2192" t="s">
        <v>35</v>
      </c>
      <c r="C2192" t="s">
        <v>917</v>
      </c>
      <c r="D2192" t="str">
        <f>"004"</f>
        <v>004</v>
      </c>
      <c r="E2192">
        <v>1995</v>
      </c>
      <c r="F2192">
        <v>424900</v>
      </c>
      <c r="G2192">
        <v>44455800</v>
      </c>
      <c r="H2192">
        <v>44030900</v>
      </c>
    </row>
    <row r="2193" spans="1:9" x14ac:dyDescent="0.25">
      <c r="A2193" t="str">
        <f>"45106"</f>
        <v>45106</v>
      </c>
      <c r="B2193" t="s">
        <v>35</v>
      </c>
      <c r="C2193" t="s">
        <v>917</v>
      </c>
      <c r="D2193" t="s">
        <v>13</v>
      </c>
      <c r="E2193" t="s">
        <v>14</v>
      </c>
      <c r="F2193" t="s">
        <v>15</v>
      </c>
      <c r="G2193" t="s">
        <v>15</v>
      </c>
      <c r="H2193" t="s">
        <v>15</v>
      </c>
      <c r="I2193" s="1">
        <v>162861500</v>
      </c>
    </row>
    <row r="2194" spans="1:9" x14ac:dyDescent="0.25">
      <c r="A2194" t="str">
        <f>"45126"</f>
        <v>45126</v>
      </c>
      <c r="B2194" t="s">
        <v>35</v>
      </c>
      <c r="C2194" t="s">
        <v>919</v>
      </c>
      <c r="D2194" t="s">
        <v>13</v>
      </c>
      <c r="E2194" t="s">
        <v>14</v>
      </c>
      <c r="F2194" t="s">
        <v>15</v>
      </c>
      <c r="G2194" t="s">
        <v>15</v>
      </c>
      <c r="H2194" t="s">
        <v>15</v>
      </c>
      <c r="I2194" s="1">
        <v>183863200</v>
      </c>
    </row>
    <row r="2195" spans="1:9" x14ac:dyDescent="0.25">
      <c r="A2195" t="str">
        <f>"45131"</f>
        <v>45131</v>
      </c>
      <c r="B2195" t="s">
        <v>35</v>
      </c>
      <c r="C2195" t="s">
        <v>920</v>
      </c>
      <c r="D2195" t="str">
        <f>"002"</f>
        <v>002</v>
      </c>
      <c r="E2195">
        <v>1996</v>
      </c>
      <c r="F2195">
        <v>929500</v>
      </c>
      <c r="G2195">
        <v>26531900</v>
      </c>
      <c r="H2195">
        <v>25602400</v>
      </c>
    </row>
    <row r="2196" spans="1:9" x14ac:dyDescent="0.25">
      <c r="A2196" t="str">
        <f>"45131"</f>
        <v>45131</v>
      </c>
      <c r="B2196" t="s">
        <v>35</v>
      </c>
      <c r="C2196" t="s">
        <v>920</v>
      </c>
      <c r="D2196" t="str">
        <f>"003"</f>
        <v>003</v>
      </c>
      <c r="E2196">
        <v>1999</v>
      </c>
      <c r="F2196">
        <v>21039900</v>
      </c>
      <c r="G2196">
        <v>74689400</v>
      </c>
      <c r="H2196">
        <v>53649500</v>
      </c>
    </row>
    <row r="2197" spans="1:9" x14ac:dyDescent="0.25">
      <c r="A2197" t="str">
        <f>"45131"</f>
        <v>45131</v>
      </c>
      <c r="B2197" t="s">
        <v>35</v>
      </c>
      <c r="C2197" t="s">
        <v>920</v>
      </c>
      <c r="D2197" t="str">
        <f>"004"</f>
        <v>004</v>
      </c>
      <c r="E2197">
        <v>2004</v>
      </c>
      <c r="F2197">
        <v>47847400</v>
      </c>
      <c r="G2197">
        <v>94898700</v>
      </c>
      <c r="H2197">
        <v>47051300</v>
      </c>
    </row>
    <row r="2198" spans="1:9" x14ac:dyDescent="0.25">
      <c r="A2198" t="str">
        <f>"45131"</f>
        <v>45131</v>
      </c>
      <c r="B2198" t="s">
        <v>35</v>
      </c>
      <c r="C2198" t="s">
        <v>920</v>
      </c>
      <c r="D2198" t="str">
        <f>"005"</f>
        <v>005</v>
      </c>
      <c r="E2198">
        <v>2006</v>
      </c>
      <c r="F2198">
        <v>493500</v>
      </c>
      <c r="G2198">
        <v>48343200</v>
      </c>
      <c r="H2198">
        <v>47849700</v>
      </c>
    </row>
    <row r="2199" spans="1:9" x14ac:dyDescent="0.25">
      <c r="A2199" t="str">
        <f>"45131"</f>
        <v>45131</v>
      </c>
      <c r="B2199" t="s">
        <v>35</v>
      </c>
      <c r="C2199" t="s">
        <v>920</v>
      </c>
      <c r="D2199" t="s">
        <v>13</v>
      </c>
      <c r="E2199" t="s">
        <v>14</v>
      </c>
      <c r="F2199" t="s">
        <v>15</v>
      </c>
      <c r="G2199" t="s">
        <v>15</v>
      </c>
      <c r="H2199" t="s">
        <v>15</v>
      </c>
      <c r="I2199" s="1">
        <v>1316574900</v>
      </c>
    </row>
    <row r="2200" spans="1:9" x14ac:dyDescent="0.25">
      <c r="A2200" t="str">
        <f>"45161"</f>
        <v>45161</v>
      </c>
      <c r="B2200" t="s">
        <v>35</v>
      </c>
      <c r="C2200" t="s">
        <v>923</v>
      </c>
      <c r="D2200" t="s">
        <v>13</v>
      </c>
      <c r="E2200" t="s">
        <v>14</v>
      </c>
      <c r="F2200" t="s">
        <v>15</v>
      </c>
      <c r="G2200" t="s">
        <v>15</v>
      </c>
      <c r="H2200" t="s">
        <v>15</v>
      </c>
      <c r="I2200" s="1">
        <v>6800500</v>
      </c>
    </row>
    <row r="2201" spans="1:9" x14ac:dyDescent="0.25">
      <c r="A2201" t="str">
        <f>"45181"</f>
        <v>45181</v>
      </c>
      <c r="B2201" t="s">
        <v>35</v>
      </c>
      <c r="C2201" t="s">
        <v>922</v>
      </c>
      <c r="D2201" t="str">
        <f>"002"</f>
        <v>002</v>
      </c>
      <c r="E2201">
        <v>2001</v>
      </c>
      <c r="F2201">
        <v>350000</v>
      </c>
      <c r="G2201">
        <v>14459100</v>
      </c>
      <c r="H2201">
        <v>14109100</v>
      </c>
    </row>
    <row r="2202" spans="1:9" x14ac:dyDescent="0.25">
      <c r="A2202" t="str">
        <f>"45181"</f>
        <v>45181</v>
      </c>
      <c r="B2202" t="s">
        <v>35</v>
      </c>
      <c r="C2202" t="s">
        <v>922</v>
      </c>
      <c r="D2202" t="str">
        <f>"004"</f>
        <v>004</v>
      </c>
      <c r="E2202">
        <v>2006</v>
      </c>
      <c r="F2202">
        <v>1600100</v>
      </c>
      <c r="G2202">
        <v>8399300</v>
      </c>
      <c r="H2202">
        <v>6799200</v>
      </c>
    </row>
    <row r="2203" spans="1:9" x14ac:dyDescent="0.25">
      <c r="A2203" t="str">
        <f>"45181"</f>
        <v>45181</v>
      </c>
      <c r="B2203" t="s">
        <v>35</v>
      </c>
      <c r="C2203" t="s">
        <v>922</v>
      </c>
      <c r="D2203" t="s">
        <v>13</v>
      </c>
      <c r="E2203" t="s">
        <v>14</v>
      </c>
      <c r="F2203" t="s">
        <v>15</v>
      </c>
      <c r="G2203" t="s">
        <v>15</v>
      </c>
      <c r="H2203" t="s">
        <v>15</v>
      </c>
      <c r="I2203" s="1">
        <v>441531100</v>
      </c>
    </row>
    <row r="2204" spans="1:9" x14ac:dyDescent="0.25">
      <c r="A2204" t="str">
        <f>"45186"</f>
        <v>45186</v>
      </c>
      <c r="B2204" t="s">
        <v>35</v>
      </c>
      <c r="C2204" t="s">
        <v>924</v>
      </c>
      <c r="D2204" t="s">
        <v>13</v>
      </c>
      <c r="E2204" t="s">
        <v>14</v>
      </c>
      <c r="F2204" t="s">
        <v>15</v>
      </c>
      <c r="G2204" t="s">
        <v>15</v>
      </c>
      <c r="H2204" t="s">
        <v>15</v>
      </c>
      <c r="I2204" s="1">
        <v>374572900</v>
      </c>
    </row>
    <row r="2205" spans="1:9" x14ac:dyDescent="0.25">
      <c r="A2205" t="s">
        <v>32</v>
      </c>
      <c r="B2205" t="s">
        <v>37</v>
      </c>
      <c r="C2205" t="s">
        <v>34</v>
      </c>
      <c r="D2205" t="s">
        <v>13</v>
      </c>
      <c r="E2205" t="s">
        <v>14</v>
      </c>
      <c r="F2205" t="s">
        <v>15</v>
      </c>
      <c r="G2205" t="s">
        <v>15</v>
      </c>
      <c r="H2205" t="s">
        <v>15</v>
      </c>
      <c r="I2205" s="1">
        <v>2513149100</v>
      </c>
    </row>
    <row r="2206" spans="1:9" x14ac:dyDescent="0.25">
      <c r="A2206" t="str">
        <f>"45211"</f>
        <v>45211</v>
      </c>
      <c r="B2206" t="s">
        <v>38</v>
      </c>
      <c r="C2206" t="s">
        <v>918</v>
      </c>
      <c r="D2206" t="str">
        <f>"003"</f>
        <v>003</v>
      </c>
      <c r="E2206">
        <v>2015</v>
      </c>
      <c r="F2206">
        <v>282500</v>
      </c>
      <c r="G2206">
        <v>310100</v>
      </c>
      <c r="H2206">
        <v>27600</v>
      </c>
    </row>
    <row r="2207" spans="1:9" x14ac:dyDescent="0.25">
      <c r="A2207" t="str">
        <f>"45211"</f>
        <v>45211</v>
      </c>
      <c r="B2207" t="s">
        <v>38</v>
      </c>
      <c r="C2207" t="s">
        <v>918</v>
      </c>
      <c r="D2207" t="str">
        <f>"004"</f>
        <v>004</v>
      </c>
      <c r="E2207">
        <v>2018</v>
      </c>
      <c r="F2207">
        <v>600</v>
      </c>
      <c r="G2207">
        <v>700</v>
      </c>
      <c r="H2207">
        <v>100</v>
      </c>
    </row>
    <row r="2208" spans="1:9" x14ac:dyDescent="0.25">
      <c r="A2208" t="str">
        <f>"45211"</f>
        <v>45211</v>
      </c>
      <c r="B2208" t="s">
        <v>38</v>
      </c>
      <c r="C2208" t="s">
        <v>918</v>
      </c>
      <c r="D2208" t="str">
        <f>"005"</f>
        <v>005</v>
      </c>
      <c r="E2208">
        <v>2018</v>
      </c>
      <c r="F2208">
        <v>934200</v>
      </c>
      <c r="G2208">
        <v>5688500</v>
      </c>
      <c r="H2208">
        <v>4754300</v>
      </c>
    </row>
    <row r="2209" spans="1:9" x14ac:dyDescent="0.25">
      <c r="A2209" t="str">
        <f>"45211"</f>
        <v>45211</v>
      </c>
      <c r="B2209" t="s">
        <v>38</v>
      </c>
      <c r="C2209" t="s">
        <v>918</v>
      </c>
      <c r="D2209" t="s">
        <v>13</v>
      </c>
      <c r="E2209" t="s">
        <v>14</v>
      </c>
      <c r="F2209" t="s">
        <v>15</v>
      </c>
      <c r="G2209" t="s">
        <v>15</v>
      </c>
      <c r="H2209" t="s">
        <v>15</v>
      </c>
      <c r="I2209" s="1">
        <v>1428512900</v>
      </c>
    </row>
    <row r="2210" spans="1:9" x14ac:dyDescent="0.25">
      <c r="A2210" t="str">
        <f>"45255"</f>
        <v>45255</v>
      </c>
      <c r="B2210" t="s">
        <v>38</v>
      </c>
      <c r="C2210" t="s">
        <v>925</v>
      </c>
      <c r="D2210" t="str">
        <f>"002"</f>
        <v>002</v>
      </c>
      <c r="E2210">
        <v>2002</v>
      </c>
      <c r="F2210">
        <v>5911600</v>
      </c>
      <c r="G2210">
        <v>22625100</v>
      </c>
      <c r="H2210">
        <v>16713500</v>
      </c>
    </row>
    <row r="2211" spans="1:9" x14ac:dyDescent="0.25">
      <c r="A2211" t="str">
        <f>"45255"</f>
        <v>45255</v>
      </c>
      <c r="B2211" t="s">
        <v>38</v>
      </c>
      <c r="C2211" t="s">
        <v>925</v>
      </c>
      <c r="D2211" t="str">
        <f>"003"</f>
        <v>003</v>
      </c>
      <c r="E2211">
        <v>2008</v>
      </c>
      <c r="F2211">
        <v>41330300</v>
      </c>
      <c r="G2211">
        <v>140853800</v>
      </c>
      <c r="H2211">
        <v>99523500</v>
      </c>
    </row>
    <row r="2212" spans="1:9" x14ac:dyDescent="0.25">
      <c r="A2212" t="str">
        <f>"45255"</f>
        <v>45255</v>
      </c>
      <c r="B2212" t="s">
        <v>38</v>
      </c>
      <c r="C2212" t="s">
        <v>925</v>
      </c>
      <c r="D2212" t="str">
        <f>"004"</f>
        <v>004</v>
      </c>
      <c r="E2212">
        <v>2012</v>
      </c>
      <c r="F2212">
        <v>41872200</v>
      </c>
      <c r="G2212">
        <v>49268700</v>
      </c>
      <c r="H2212">
        <v>7396500</v>
      </c>
    </row>
    <row r="2213" spans="1:9" x14ac:dyDescent="0.25">
      <c r="A2213" t="str">
        <f>"45255"</f>
        <v>45255</v>
      </c>
      <c r="B2213" t="s">
        <v>38</v>
      </c>
      <c r="C2213" t="s">
        <v>925</v>
      </c>
      <c r="D2213" t="str">
        <f>"005"</f>
        <v>005</v>
      </c>
      <c r="E2213">
        <v>2012</v>
      </c>
      <c r="F2213">
        <v>51186900</v>
      </c>
      <c r="G2213">
        <v>61693700</v>
      </c>
      <c r="H2213">
        <v>10506800</v>
      </c>
    </row>
    <row r="2214" spans="1:9" x14ac:dyDescent="0.25">
      <c r="A2214" t="str">
        <f>"45255"</f>
        <v>45255</v>
      </c>
      <c r="B2214" t="s">
        <v>38</v>
      </c>
      <c r="C2214" t="s">
        <v>925</v>
      </c>
      <c r="D2214" t="s">
        <v>13</v>
      </c>
      <c r="E2214" t="s">
        <v>14</v>
      </c>
      <c r="F2214" t="s">
        <v>15</v>
      </c>
      <c r="G2214" t="s">
        <v>15</v>
      </c>
      <c r="H2214" t="s">
        <v>15</v>
      </c>
      <c r="I2214" s="1">
        <v>4914654800</v>
      </c>
    </row>
    <row r="2215" spans="1:9" x14ac:dyDescent="0.25">
      <c r="A2215" t="str">
        <f>"45271"</f>
        <v>45271</v>
      </c>
      <c r="B2215" t="s">
        <v>38</v>
      </c>
      <c r="C2215" t="s">
        <v>921</v>
      </c>
      <c r="D2215" t="str">
        <f>"002"</f>
        <v>002</v>
      </c>
      <c r="E2215">
        <v>2010</v>
      </c>
      <c r="F2215">
        <v>14787800</v>
      </c>
      <c r="G2215">
        <v>29965200</v>
      </c>
      <c r="H2215">
        <v>15177400</v>
      </c>
    </row>
    <row r="2216" spans="1:9" x14ac:dyDescent="0.25">
      <c r="A2216" t="str">
        <f>"45271"</f>
        <v>45271</v>
      </c>
      <c r="B2216" t="s">
        <v>38</v>
      </c>
      <c r="C2216" t="s">
        <v>921</v>
      </c>
      <c r="D2216" t="str">
        <f>"003"</f>
        <v>003</v>
      </c>
      <c r="E2216">
        <v>2015</v>
      </c>
      <c r="F2216">
        <v>8872700</v>
      </c>
      <c r="G2216">
        <v>10699000</v>
      </c>
      <c r="H2216">
        <v>1826300</v>
      </c>
    </row>
    <row r="2217" spans="1:9" x14ac:dyDescent="0.25">
      <c r="A2217" t="str">
        <f>"45271"</f>
        <v>45271</v>
      </c>
      <c r="B2217" t="s">
        <v>38</v>
      </c>
      <c r="C2217" t="s">
        <v>921</v>
      </c>
      <c r="D2217" t="s">
        <v>13</v>
      </c>
      <c r="E2217" t="s">
        <v>14</v>
      </c>
      <c r="F2217" t="s">
        <v>15</v>
      </c>
      <c r="G2217" t="s">
        <v>15</v>
      </c>
      <c r="H2217" t="s">
        <v>15</v>
      </c>
      <c r="I2217" s="1">
        <v>1095696100</v>
      </c>
    </row>
    <row r="2218" spans="1:9" x14ac:dyDescent="0.25">
      <c r="A2218" t="s">
        <v>32</v>
      </c>
      <c r="B2218" t="s">
        <v>40</v>
      </c>
      <c r="C2218" t="s">
        <v>34</v>
      </c>
      <c r="D2218" t="s">
        <v>13</v>
      </c>
      <c r="E2218" t="s">
        <v>14</v>
      </c>
      <c r="F2218" t="s">
        <v>15</v>
      </c>
      <c r="G2218" t="s">
        <v>15</v>
      </c>
      <c r="H2218" t="s">
        <v>15</v>
      </c>
      <c r="I2218" s="1">
        <v>7438863800</v>
      </c>
    </row>
    <row r="2219" spans="1:9" x14ac:dyDescent="0.25">
      <c r="A2219" t="s">
        <v>32</v>
      </c>
      <c r="B2219" t="s">
        <v>41</v>
      </c>
      <c r="C2219" t="s">
        <v>926</v>
      </c>
      <c r="D2219" t="s">
        <v>13</v>
      </c>
      <c r="E2219" t="s">
        <v>14</v>
      </c>
      <c r="F2219" t="s">
        <v>15</v>
      </c>
      <c r="G2219" t="s">
        <v>15</v>
      </c>
      <c r="H2219" t="s">
        <v>15</v>
      </c>
      <c r="I2219" s="1">
        <v>12600869700</v>
      </c>
    </row>
    <row r="2220" spans="1:9" x14ac:dyDescent="0.25">
      <c r="A2220" t="str">
        <f>"46002"</f>
        <v>46002</v>
      </c>
      <c r="B2220" t="s">
        <v>11</v>
      </c>
      <c r="C2220" t="s">
        <v>532</v>
      </c>
      <c r="D2220" t="s">
        <v>13</v>
      </c>
      <c r="E2220" t="s">
        <v>14</v>
      </c>
      <c r="F2220" t="s">
        <v>15</v>
      </c>
      <c r="G2220" t="s">
        <v>15</v>
      </c>
      <c r="H2220" t="s">
        <v>15</v>
      </c>
      <c r="I2220" s="1">
        <v>57142900</v>
      </c>
    </row>
    <row r="2221" spans="1:9" x14ac:dyDescent="0.25">
      <c r="A2221" t="str">
        <f>"46004"</f>
        <v>46004</v>
      </c>
      <c r="B2221" t="s">
        <v>11</v>
      </c>
      <c r="C2221" t="s">
        <v>927</v>
      </c>
      <c r="D2221" t="s">
        <v>13</v>
      </c>
      <c r="E2221" t="s">
        <v>14</v>
      </c>
      <c r="F2221" t="s">
        <v>15</v>
      </c>
      <c r="G2221" t="s">
        <v>15</v>
      </c>
      <c r="H2221" t="s">
        <v>15</v>
      </c>
      <c r="I2221" s="1">
        <v>53963900</v>
      </c>
    </row>
    <row r="2222" spans="1:9" x14ac:dyDescent="0.25">
      <c r="A2222" t="str">
        <f>"46006"</f>
        <v>46006</v>
      </c>
      <c r="B2222" t="s">
        <v>11</v>
      </c>
      <c r="C2222" t="s">
        <v>746</v>
      </c>
      <c r="D2222" t="s">
        <v>13</v>
      </c>
      <c r="E2222" t="s">
        <v>14</v>
      </c>
      <c r="F2222" t="s">
        <v>15</v>
      </c>
      <c r="G2222" t="s">
        <v>15</v>
      </c>
      <c r="H2222" t="s">
        <v>15</v>
      </c>
      <c r="I2222" s="1">
        <v>30575300</v>
      </c>
    </row>
    <row r="2223" spans="1:9" x14ac:dyDescent="0.25">
      <c r="A2223" t="str">
        <f>"46008"</f>
        <v>46008</v>
      </c>
      <c r="B2223" t="s">
        <v>11</v>
      </c>
      <c r="C2223" t="s">
        <v>505</v>
      </c>
      <c r="D2223" t="s">
        <v>13</v>
      </c>
      <c r="E2223" t="s">
        <v>14</v>
      </c>
      <c r="F2223" t="s">
        <v>15</v>
      </c>
      <c r="G2223" t="s">
        <v>15</v>
      </c>
      <c r="H2223" t="s">
        <v>15</v>
      </c>
      <c r="I2223" s="1">
        <v>62773200</v>
      </c>
    </row>
    <row r="2224" spans="1:9" x14ac:dyDescent="0.25">
      <c r="A2224" t="str">
        <f>"46010"</f>
        <v>46010</v>
      </c>
      <c r="B2224" t="s">
        <v>11</v>
      </c>
      <c r="C2224" t="s">
        <v>928</v>
      </c>
      <c r="D2224" t="s">
        <v>13</v>
      </c>
      <c r="E2224" t="s">
        <v>14</v>
      </c>
      <c r="F2224" t="s">
        <v>15</v>
      </c>
      <c r="G2224" t="s">
        <v>15</v>
      </c>
      <c r="H2224" t="s">
        <v>15</v>
      </c>
      <c r="I2224" s="1">
        <v>106908100</v>
      </c>
    </row>
    <row r="2225" spans="1:9" x14ac:dyDescent="0.25">
      <c r="A2225" t="str">
        <f>"46012"</f>
        <v>46012</v>
      </c>
      <c r="B2225" t="s">
        <v>11</v>
      </c>
      <c r="C2225" t="s">
        <v>929</v>
      </c>
      <c r="D2225" t="s">
        <v>13</v>
      </c>
      <c r="E2225" t="s">
        <v>14</v>
      </c>
      <c r="F2225" t="s">
        <v>15</v>
      </c>
      <c r="G2225" t="s">
        <v>15</v>
      </c>
      <c r="H2225" t="s">
        <v>15</v>
      </c>
      <c r="I2225" s="1">
        <v>41027700</v>
      </c>
    </row>
    <row r="2226" spans="1:9" x14ac:dyDescent="0.25">
      <c r="A2226" t="str">
        <f>"46014"</f>
        <v>46014</v>
      </c>
      <c r="B2226" t="s">
        <v>11</v>
      </c>
      <c r="C2226" t="s">
        <v>930</v>
      </c>
      <c r="D2226" t="s">
        <v>13</v>
      </c>
      <c r="E2226" t="s">
        <v>14</v>
      </c>
      <c r="F2226" t="s">
        <v>15</v>
      </c>
      <c r="G2226" t="s">
        <v>15</v>
      </c>
      <c r="H2226" t="s">
        <v>15</v>
      </c>
      <c r="I2226" s="1">
        <v>60867500</v>
      </c>
    </row>
    <row r="2227" spans="1:9" x14ac:dyDescent="0.25">
      <c r="A2227" t="str">
        <f>"46016"</f>
        <v>46016</v>
      </c>
      <c r="B2227" t="s">
        <v>11</v>
      </c>
      <c r="C2227" t="s">
        <v>931</v>
      </c>
      <c r="D2227" t="s">
        <v>13</v>
      </c>
      <c r="E2227" t="s">
        <v>14</v>
      </c>
      <c r="F2227" t="s">
        <v>15</v>
      </c>
      <c r="G2227" t="s">
        <v>15</v>
      </c>
      <c r="H2227" t="s">
        <v>15</v>
      </c>
      <c r="I2227" s="1">
        <v>44015200</v>
      </c>
    </row>
    <row r="2228" spans="1:9" x14ac:dyDescent="0.25">
      <c r="A2228" t="s">
        <v>32</v>
      </c>
      <c r="B2228" t="s">
        <v>33</v>
      </c>
      <c r="C2228" t="s">
        <v>34</v>
      </c>
      <c r="D2228" t="s">
        <v>13</v>
      </c>
      <c r="E2228" t="s">
        <v>14</v>
      </c>
      <c r="F2228" t="s">
        <v>15</v>
      </c>
      <c r="G2228" t="s">
        <v>15</v>
      </c>
      <c r="H2228" t="s">
        <v>15</v>
      </c>
      <c r="I2228" s="1">
        <v>457273800</v>
      </c>
    </row>
    <row r="2229" spans="1:9" x14ac:dyDescent="0.25">
      <c r="A2229" t="str">
        <f>"46171"</f>
        <v>46171</v>
      </c>
      <c r="B2229" t="s">
        <v>35</v>
      </c>
      <c r="C2229" t="s">
        <v>928</v>
      </c>
      <c r="D2229" t="str">
        <f>"003"</f>
        <v>003</v>
      </c>
      <c r="E2229">
        <v>2011</v>
      </c>
      <c r="F2229">
        <v>4820700</v>
      </c>
      <c r="G2229">
        <v>10640600</v>
      </c>
      <c r="H2229">
        <v>5819900</v>
      </c>
    </row>
    <row r="2230" spans="1:9" x14ac:dyDescent="0.25">
      <c r="A2230" t="str">
        <f>"46171"</f>
        <v>46171</v>
      </c>
      <c r="B2230" t="s">
        <v>35</v>
      </c>
      <c r="C2230" t="s">
        <v>928</v>
      </c>
      <c r="D2230" t="s">
        <v>13</v>
      </c>
      <c r="E2230" t="s">
        <v>14</v>
      </c>
      <c r="F2230" t="s">
        <v>15</v>
      </c>
      <c r="G2230" t="s">
        <v>15</v>
      </c>
      <c r="H2230" t="s">
        <v>15</v>
      </c>
      <c r="I2230" s="1">
        <v>64421800</v>
      </c>
    </row>
    <row r="2231" spans="1:9" x14ac:dyDescent="0.25">
      <c r="A2231" t="str">
        <f>"46181"</f>
        <v>46181</v>
      </c>
      <c r="B2231" t="s">
        <v>35</v>
      </c>
      <c r="C2231" t="s">
        <v>929</v>
      </c>
      <c r="D2231" t="s">
        <v>13</v>
      </c>
      <c r="E2231" t="s">
        <v>14</v>
      </c>
      <c r="F2231" t="s">
        <v>15</v>
      </c>
      <c r="G2231" t="s">
        <v>15</v>
      </c>
      <c r="H2231" t="s">
        <v>15</v>
      </c>
      <c r="I2231" s="1">
        <v>21684400</v>
      </c>
    </row>
    <row r="2232" spans="1:9" x14ac:dyDescent="0.25">
      <c r="A2232" t="s">
        <v>32</v>
      </c>
      <c r="B2232" t="s">
        <v>37</v>
      </c>
      <c r="C2232" t="s">
        <v>34</v>
      </c>
      <c r="D2232" t="s">
        <v>13</v>
      </c>
      <c r="E2232" t="s">
        <v>14</v>
      </c>
      <c r="F2232" t="s">
        <v>15</v>
      </c>
      <c r="G2232" t="s">
        <v>15</v>
      </c>
      <c r="H2232" t="s">
        <v>15</v>
      </c>
      <c r="I2232" s="1">
        <v>86106200</v>
      </c>
    </row>
    <row r="2233" spans="1:9" x14ac:dyDescent="0.25">
      <c r="A2233" t="str">
        <f>"46216"</f>
        <v>46216</v>
      </c>
      <c r="B2233" t="s">
        <v>38</v>
      </c>
      <c r="C2233" t="s">
        <v>927</v>
      </c>
      <c r="D2233" t="str">
        <f>"003"</f>
        <v>003</v>
      </c>
      <c r="E2233">
        <v>2007</v>
      </c>
      <c r="F2233">
        <v>10391700</v>
      </c>
      <c r="G2233">
        <v>12368700</v>
      </c>
      <c r="H2233">
        <v>1977000</v>
      </c>
    </row>
    <row r="2234" spans="1:9" x14ac:dyDescent="0.25">
      <c r="A2234" t="str">
        <f>"46216"</f>
        <v>46216</v>
      </c>
      <c r="B2234" t="s">
        <v>38</v>
      </c>
      <c r="C2234" t="s">
        <v>927</v>
      </c>
      <c r="D2234" t="s">
        <v>13</v>
      </c>
      <c r="E2234" t="s">
        <v>14</v>
      </c>
      <c r="F2234" t="s">
        <v>15</v>
      </c>
      <c r="G2234" t="s">
        <v>15</v>
      </c>
      <c r="H2234" t="s">
        <v>15</v>
      </c>
      <c r="I2234" s="1">
        <v>95749800</v>
      </c>
    </row>
    <row r="2235" spans="1:9" x14ac:dyDescent="0.25">
      <c r="A2235" t="s">
        <v>32</v>
      </c>
      <c r="B2235" t="s">
        <v>40</v>
      </c>
      <c r="C2235" t="s">
        <v>34</v>
      </c>
      <c r="D2235" t="s">
        <v>13</v>
      </c>
      <c r="E2235" t="s">
        <v>14</v>
      </c>
      <c r="F2235" t="s">
        <v>15</v>
      </c>
      <c r="G2235" t="s">
        <v>15</v>
      </c>
      <c r="H2235" t="s">
        <v>15</v>
      </c>
      <c r="I2235" s="1">
        <v>95749800</v>
      </c>
    </row>
    <row r="2236" spans="1:9" x14ac:dyDescent="0.25">
      <c r="A2236" t="s">
        <v>32</v>
      </c>
      <c r="B2236" t="s">
        <v>41</v>
      </c>
      <c r="C2236" t="s">
        <v>928</v>
      </c>
      <c r="D2236" t="s">
        <v>13</v>
      </c>
      <c r="E2236" t="s">
        <v>14</v>
      </c>
      <c r="F2236" t="s">
        <v>15</v>
      </c>
      <c r="G2236" t="s">
        <v>15</v>
      </c>
      <c r="H2236" t="s">
        <v>15</v>
      </c>
      <c r="I2236" s="1">
        <v>639129800</v>
      </c>
    </row>
    <row r="2237" spans="1:9" x14ac:dyDescent="0.25">
      <c r="A2237" t="str">
        <f>"47002"</f>
        <v>47002</v>
      </c>
      <c r="B2237" t="s">
        <v>11</v>
      </c>
      <c r="C2237" t="s">
        <v>497</v>
      </c>
      <c r="D2237" t="s">
        <v>13</v>
      </c>
      <c r="E2237" t="s">
        <v>14</v>
      </c>
      <c r="F2237" t="s">
        <v>15</v>
      </c>
      <c r="G2237" t="s">
        <v>15</v>
      </c>
      <c r="H2237" t="s">
        <v>15</v>
      </c>
      <c r="I2237" s="1">
        <v>338529300</v>
      </c>
    </row>
    <row r="2238" spans="1:9" x14ac:dyDescent="0.25">
      <c r="A2238" t="str">
        <f>"47004"</f>
        <v>47004</v>
      </c>
      <c r="B2238" t="s">
        <v>11</v>
      </c>
      <c r="C2238" t="s">
        <v>932</v>
      </c>
      <c r="D2238" t="s">
        <v>13</v>
      </c>
      <c r="E2238" t="s">
        <v>14</v>
      </c>
      <c r="F2238" t="s">
        <v>15</v>
      </c>
      <c r="G2238" t="s">
        <v>15</v>
      </c>
      <c r="H2238" t="s">
        <v>15</v>
      </c>
      <c r="I2238" s="1">
        <v>54345500</v>
      </c>
    </row>
    <row r="2239" spans="1:9" x14ac:dyDescent="0.25">
      <c r="A2239" t="str">
        <f>"47006"</f>
        <v>47006</v>
      </c>
      <c r="B2239" t="s">
        <v>11</v>
      </c>
      <c r="C2239" t="s">
        <v>933</v>
      </c>
      <c r="D2239" t="s">
        <v>13</v>
      </c>
      <c r="E2239" t="s">
        <v>14</v>
      </c>
      <c r="F2239" t="s">
        <v>15</v>
      </c>
      <c r="G2239" t="s">
        <v>15</v>
      </c>
      <c r="H2239" t="s">
        <v>15</v>
      </c>
      <c r="I2239" s="1">
        <v>113847900</v>
      </c>
    </row>
    <row r="2240" spans="1:9" x14ac:dyDescent="0.25">
      <c r="A2240" t="str">
        <f>"47008"</f>
        <v>47008</v>
      </c>
      <c r="B2240" t="s">
        <v>11</v>
      </c>
      <c r="C2240" t="s">
        <v>934</v>
      </c>
      <c r="D2240" t="s">
        <v>13</v>
      </c>
      <c r="E2240" t="s">
        <v>14</v>
      </c>
      <c r="F2240" t="s">
        <v>15</v>
      </c>
      <c r="G2240" t="s">
        <v>15</v>
      </c>
      <c r="H2240" t="s">
        <v>15</v>
      </c>
      <c r="I2240" s="1">
        <v>77338600</v>
      </c>
    </row>
    <row r="2241" spans="1:9" x14ac:dyDescent="0.25">
      <c r="A2241" t="str">
        <f>"47010"</f>
        <v>47010</v>
      </c>
      <c r="B2241" t="s">
        <v>11</v>
      </c>
      <c r="C2241" t="s">
        <v>935</v>
      </c>
      <c r="D2241" t="s">
        <v>13</v>
      </c>
      <c r="E2241" t="s">
        <v>14</v>
      </c>
      <c r="F2241" t="s">
        <v>15</v>
      </c>
      <c r="G2241" t="s">
        <v>15</v>
      </c>
      <c r="H2241" t="s">
        <v>15</v>
      </c>
      <c r="I2241" s="1">
        <v>97566900</v>
      </c>
    </row>
    <row r="2242" spans="1:9" x14ac:dyDescent="0.25">
      <c r="A2242" t="str">
        <f>"47012"</f>
        <v>47012</v>
      </c>
      <c r="B2242" t="s">
        <v>11</v>
      </c>
      <c r="C2242" t="s">
        <v>936</v>
      </c>
      <c r="D2242" t="s">
        <v>13</v>
      </c>
      <c r="E2242" t="s">
        <v>14</v>
      </c>
      <c r="F2242" t="s">
        <v>15</v>
      </c>
      <c r="G2242" t="s">
        <v>15</v>
      </c>
      <c r="H2242" t="s">
        <v>15</v>
      </c>
      <c r="I2242" s="1">
        <v>83284700</v>
      </c>
    </row>
    <row r="2243" spans="1:9" x14ac:dyDescent="0.25">
      <c r="A2243" t="str">
        <f>"47014"</f>
        <v>47014</v>
      </c>
      <c r="B2243" t="s">
        <v>11</v>
      </c>
      <c r="C2243" t="s">
        <v>937</v>
      </c>
      <c r="D2243" t="s">
        <v>13</v>
      </c>
      <c r="E2243" t="s">
        <v>14</v>
      </c>
      <c r="F2243" t="s">
        <v>15</v>
      </c>
      <c r="G2243" t="s">
        <v>15</v>
      </c>
      <c r="H2243" t="s">
        <v>15</v>
      </c>
      <c r="I2243" s="1">
        <v>35650100</v>
      </c>
    </row>
    <row r="2244" spans="1:9" x14ac:dyDescent="0.25">
      <c r="A2244" t="str">
        <f>"47016"</f>
        <v>47016</v>
      </c>
      <c r="B2244" t="s">
        <v>11</v>
      </c>
      <c r="C2244" t="s">
        <v>938</v>
      </c>
      <c r="D2244" t="s">
        <v>13</v>
      </c>
      <c r="E2244" t="s">
        <v>14</v>
      </c>
      <c r="F2244" t="s">
        <v>15</v>
      </c>
      <c r="G2244" t="s">
        <v>15</v>
      </c>
      <c r="H2244" t="s">
        <v>15</v>
      </c>
      <c r="I2244" s="1">
        <v>76213900</v>
      </c>
    </row>
    <row r="2245" spans="1:9" x14ac:dyDescent="0.25">
      <c r="A2245" t="str">
        <f>"47018"</f>
        <v>47018</v>
      </c>
      <c r="B2245" t="s">
        <v>11</v>
      </c>
      <c r="C2245" t="s">
        <v>939</v>
      </c>
      <c r="D2245" t="s">
        <v>13</v>
      </c>
      <c r="E2245" t="s">
        <v>14</v>
      </c>
      <c r="F2245" t="s">
        <v>15</v>
      </c>
      <c r="G2245" t="s">
        <v>15</v>
      </c>
      <c r="H2245" t="s">
        <v>15</v>
      </c>
      <c r="I2245" s="1">
        <v>103201000</v>
      </c>
    </row>
    <row r="2246" spans="1:9" x14ac:dyDescent="0.25">
      <c r="A2246" t="str">
        <f>"47020"</f>
        <v>47020</v>
      </c>
      <c r="B2246" t="s">
        <v>11</v>
      </c>
      <c r="C2246" t="s">
        <v>72</v>
      </c>
      <c r="D2246" t="s">
        <v>13</v>
      </c>
      <c r="E2246" t="s">
        <v>14</v>
      </c>
      <c r="F2246" t="s">
        <v>15</v>
      </c>
      <c r="G2246" t="s">
        <v>15</v>
      </c>
      <c r="H2246" t="s">
        <v>15</v>
      </c>
      <c r="I2246" s="1">
        <v>309657500</v>
      </c>
    </row>
    <row r="2247" spans="1:9" x14ac:dyDescent="0.25">
      <c r="A2247" t="str">
        <f>"47022"</f>
        <v>47022</v>
      </c>
      <c r="B2247" t="s">
        <v>11</v>
      </c>
      <c r="C2247" t="s">
        <v>940</v>
      </c>
      <c r="D2247" t="s">
        <v>13</v>
      </c>
      <c r="E2247" t="s">
        <v>14</v>
      </c>
      <c r="F2247" t="s">
        <v>15</v>
      </c>
      <c r="G2247" t="s">
        <v>15</v>
      </c>
      <c r="H2247" t="s">
        <v>15</v>
      </c>
      <c r="I2247" s="1">
        <v>266016100</v>
      </c>
    </row>
    <row r="2248" spans="1:9" x14ac:dyDescent="0.25">
      <c r="A2248" t="str">
        <f>"47024"</f>
        <v>47024</v>
      </c>
      <c r="B2248" t="s">
        <v>11</v>
      </c>
      <c r="C2248" t="s">
        <v>941</v>
      </c>
      <c r="D2248" t="s">
        <v>13</v>
      </c>
      <c r="E2248" t="s">
        <v>14</v>
      </c>
      <c r="F2248" t="s">
        <v>15</v>
      </c>
      <c r="G2248" t="s">
        <v>15</v>
      </c>
      <c r="H2248" t="s">
        <v>15</v>
      </c>
      <c r="I2248" s="1">
        <v>43253500</v>
      </c>
    </row>
    <row r="2249" spans="1:9" x14ac:dyDescent="0.25">
      <c r="A2249" t="str">
        <f>"47026"</f>
        <v>47026</v>
      </c>
      <c r="B2249" t="s">
        <v>11</v>
      </c>
      <c r="C2249" t="s">
        <v>942</v>
      </c>
      <c r="D2249" t="s">
        <v>13</v>
      </c>
      <c r="E2249" t="s">
        <v>14</v>
      </c>
      <c r="F2249" t="s">
        <v>15</v>
      </c>
      <c r="G2249" t="s">
        <v>15</v>
      </c>
      <c r="H2249" t="s">
        <v>15</v>
      </c>
      <c r="I2249" s="1">
        <v>53130800</v>
      </c>
    </row>
    <row r="2250" spans="1:9" x14ac:dyDescent="0.25">
      <c r="A2250" t="str">
        <f>"47028"</f>
        <v>47028</v>
      </c>
      <c r="B2250" t="s">
        <v>11</v>
      </c>
      <c r="C2250" t="s">
        <v>943</v>
      </c>
      <c r="D2250" t="s">
        <v>13</v>
      </c>
      <c r="E2250" t="s">
        <v>14</v>
      </c>
      <c r="F2250" t="s">
        <v>15</v>
      </c>
      <c r="G2250" t="s">
        <v>15</v>
      </c>
      <c r="H2250" t="s">
        <v>15</v>
      </c>
      <c r="I2250" s="1">
        <v>50538900</v>
      </c>
    </row>
    <row r="2251" spans="1:9" x14ac:dyDescent="0.25">
      <c r="A2251" t="str">
        <f>"47030"</f>
        <v>47030</v>
      </c>
      <c r="B2251" t="s">
        <v>11</v>
      </c>
      <c r="C2251" t="s">
        <v>368</v>
      </c>
      <c r="D2251" t="s">
        <v>13</v>
      </c>
      <c r="E2251" t="s">
        <v>14</v>
      </c>
      <c r="F2251" t="s">
        <v>15</v>
      </c>
      <c r="G2251" t="s">
        <v>15</v>
      </c>
      <c r="H2251" t="s">
        <v>15</v>
      </c>
      <c r="I2251" s="1">
        <v>215080800</v>
      </c>
    </row>
    <row r="2252" spans="1:9" x14ac:dyDescent="0.25">
      <c r="A2252" t="str">
        <f>"47032"</f>
        <v>47032</v>
      </c>
      <c r="B2252" t="s">
        <v>11</v>
      </c>
      <c r="C2252" t="s">
        <v>944</v>
      </c>
      <c r="D2252" t="s">
        <v>13</v>
      </c>
      <c r="E2252" t="s">
        <v>14</v>
      </c>
      <c r="F2252" t="s">
        <v>15</v>
      </c>
      <c r="G2252" t="s">
        <v>15</v>
      </c>
      <c r="H2252" t="s">
        <v>15</v>
      </c>
      <c r="I2252" s="1">
        <v>157451900</v>
      </c>
    </row>
    <row r="2253" spans="1:9" x14ac:dyDescent="0.25">
      <c r="A2253" t="str">
        <f>"47034"</f>
        <v>47034</v>
      </c>
      <c r="B2253" t="s">
        <v>11</v>
      </c>
      <c r="C2253" t="s">
        <v>165</v>
      </c>
      <c r="D2253" t="s">
        <v>13</v>
      </c>
      <c r="E2253" t="s">
        <v>14</v>
      </c>
      <c r="F2253" t="s">
        <v>15</v>
      </c>
      <c r="G2253" t="s">
        <v>15</v>
      </c>
      <c r="H2253" t="s">
        <v>15</v>
      </c>
      <c r="I2253" s="1">
        <v>55672400</v>
      </c>
    </row>
    <row r="2254" spans="1:9" x14ac:dyDescent="0.25">
      <c r="A2254" t="s">
        <v>32</v>
      </c>
      <c r="B2254" t="s">
        <v>33</v>
      </c>
      <c r="C2254" t="s">
        <v>34</v>
      </c>
      <c r="D2254" t="s">
        <v>13</v>
      </c>
      <c r="E2254" t="s">
        <v>14</v>
      </c>
      <c r="F2254" t="s">
        <v>15</v>
      </c>
      <c r="G2254" t="s">
        <v>15</v>
      </c>
      <c r="H2254" t="s">
        <v>15</v>
      </c>
      <c r="I2254" s="1">
        <v>2130779800</v>
      </c>
    </row>
    <row r="2255" spans="1:9" x14ac:dyDescent="0.25">
      <c r="A2255" t="str">
        <f>"47106"</f>
        <v>47106</v>
      </c>
      <c r="B2255" t="s">
        <v>35</v>
      </c>
      <c r="C2255" t="s">
        <v>945</v>
      </c>
      <c r="D2255" t="s">
        <v>13</v>
      </c>
      <c r="E2255" t="s">
        <v>14</v>
      </c>
      <c r="F2255" t="s">
        <v>15</v>
      </c>
      <c r="G2255" t="s">
        <v>15</v>
      </c>
      <c r="H2255" t="s">
        <v>15</v>
      </c>
      <c r="I2255" s="1">
        <v>20277400</v>
      </c>
    </row>
    <row r="2256" spans="1:9" x14ac:dyDescent="0.25">
      <c r="A2256" t="str">
        <f t="shared" ref="A2256:A2262" si="52">"47121"</f>
        <v>47121</v>
      </c>
      <c r="B2256" t="s">
        <v>35</v>
      </c>
      <c r="C2256" t="s">
        <v>933</v>
      </c>
      <c r="D2256" t="str">
        <f>"004"</f>
        <v>004</v>
      </c>
      <c r="E2256">
        <v>1996</v>
      </c>
      <c r="F2256">
        <v>54600</v>
      </c>
      <c r="G2256">
        <v>686500</v>
      </c>
      <c r="H2256">
        <v>631900</v>
      </c>
    </row>
    <row r="2257" spans="1:9" x14ac:dyDescent="0.25">
      <c r="A2257" t="str">
        <f t="shared" si="52"/>
        <v>47121</v>
      </c>
      <c r="B2257" t="s">
        <v>35</v>
      </c>
      <c r="C2257" t="s">
        <v>933</v>
      </c>
      <c r="D2257" t="str">
        <f>"007"</f>
        <v>007</v>
      </c>
      <c r="E2257">
        <v>2006</v>
      </c>
      <c r="F2257">
        <v>223300</v>
      </c>
      <c r="G2257">
        <v>8163000</v>
      </c>
      <c r="H2257">
        <v>7939700</v>
      </c>
    </row>
    <row r="2258" spans="1:9" x14ac:dyDescent="0.25">
      <c r="A2258" t="str">
        <f t="shared" si="52"/>
        <v>47121</v>
      </c>
      <c r="B2258" t="s">
        <v>35</v>
      </c>
      <c r="C2258" t="s">
        <v>933</v>
      </c>
      <c r="D2258" t="str">
        <f>"008"</f>
        <v>008</v>
      </c>
      <c r="E2258">
        <v>2010</v>
      </c>
      <c r="F2258">
        <v>3773700</v>
      </c>
      <c r="G2258">
        <v>8305600</v>
      </c>
      <c r="H2258">
        <v>4531900</v>
      </c>
    </row>
    <row r="2259" spans="1:9" x14ac:dyDescent="0.25">
      <c r="A2259" t="str">
        <f t="shared" si="52"/>
        <v>47121</v>
      </c>
      <c r="B2259" t="s">
        <v>35</v>
      </c>
      <c r="C2259" t="s">
        <v>933</v>
      </c>
      <c r="D2259" t="str">
        <f>"009"</f>
        <v>009</v>
      </c>
      <c r="E2259">
        <v>2011</v>
      </c>
      <c r="F2259">
        <v>510400</v>
      </c>
      <c r="G2259">
        <v>3472700</v>
      </c>
      <c r="H2259">
        <v>2962300</v>
      </c>
    </row>
    <row r="2260" spans="1:9" x14ac:dyDescent="0.25">
      <c r="A2260" t="str">
        <f t="shared" si="52"/>
        <v>47121</v>
      </c>
      <c r="B2260" t="s">
        <v>35</v>
      </c>
      <c r="C2260" t="s">
        <v>933</v>
      </c>
      <c r="D2260" t="str">
        <f>"010"</f>
        <v>010</v>
      </c>
      <c r="E2260">
        <v>2012</v>
      </c>
      <c r="F2260">
        <v>827300</v>
      </c>
      <c r="G2260">
        <v>1605200</v>
      </c>
      <c r="H2260">
        <v>777900</v>
      </c>
    </row>
    <row r="2261" spans="1:9" x14ac:dyDescent="0.25">
      <c r="A2261" t="str">
        <f t="shared" si="52"/>
        <v>47121</v>
      </c>
      <c r="B2261" t="s">
        <v>35</v>
      </c>
      <c r="C2261" t="s">
        <v>933</v>
      </c>
      <c r="D2261" t="str">
        <f>"011"</f>
        <v>011</v>
      </c>
      <c r="E2261">
        <v>2013</v>
      </c>
      <c r="F2261">
        <v>1308200</v>
      </c>
      <c r="G2261">
        <v>1602100</v>
      </c>
      <c r="H2261">
        <v>293900</v>
      </c>
    </row>
    <row r="2262" spans="1:9" x14ac:dyDescent="0.25">
      <c r="A2262" t="str">
        <f t="shared" si="52"/>
        <v>47121</v>
      </c>
      <c r="B2262" t="s">
        <v>35</v>
      </c>
      <c r="C2262" t="s">
        <v>933</v>
      </c>
      <c r="D2262" t="s">
        <v>13</v>
      </c>
      <c r="E2262" t="s">
        <v>14</v>
      </c>
      <c r="F2262" t="s">
        <v>15</v>
      </c>
      <c r="G2262" t="s">
        <v>15</v>
      </c>
      <c r="H2262" t="s">
        <v>15</v>
      </c>
      <c r="I2262" s="1">
        <v>202097700</v>
      </c>
    </row>
    <row r="2263" spans="1:9" x14ac:dyDescent="0.25">
      <c r="A2263" t="str">
        <f>"47122"</f>
        <v>47122</v>
      </c>
      <c r="B2263" t="s">
        <v>35</v>
      </c>
      <c r="C2263" t="s">
        <v>946</v>
      </c>
      <c r="D2263" t="str">
        <f>"003"</f>
        <v>003</v>
      </c>
      <c r="E2263">
        <v>2002</v>
      </c>
      <c r="F2263">
        <v>752300</v>
      </c>
      <c r="G2263">
        <v>2469500</v>
      </c>
      <c r="H2263">
        <v>1717200</v>
      </c>
    </row>
    <row r="2264" spans="1:9" x14ac:dyDescent="0.25">
      <c r="A2264" t="str">
        <f>"47122"</f>
        <v>47122</v>
      </c>
      <c r="B2264" t="s">
        <v>35</v>
      </c>
      <c r="C2264" t="s">
        <v>946</v>
      </c>
      <c r="D2264" t="str">
        <f>"004"</f>
        <v>004</v>
      </c>
      <c r="E2264">
        <v>2009</v>
      </c>
      <c r="F2264">
        <v>3547400</v>
      </c>
      <c r="G2264">
        <v>4392200</v>
      </c>
      <c r="H2264">
        <v>844800</v>
      </c>
    </row>
    <row r="2265" spans="1:9" x14ac:dyDescent="0.25">
      <c r="A2265" t="str">
        <f>"47122"</f>
        <v>47122</v>
      </c>
      <c r="B2265" t="s">
        <v>35</v>
      </c>
      <c r="C2265" t="s">
        <v>946</v>
      </c>
      <c r="D2265" t="str">
        <f>"005"</f>
        <v>005</v>
      </c>
      <c r="E2265">
        <v>2007</v>
      </c>
      <c r="F2265">
        <v>373300</v>
      </c>
      <c r="G2265">
        <v>2225500</v>
      </c>
      <c r="H2265">
        <v>1852200</v>
      </c>
    </row>
    <row r="2266" spans="1:9" x14ac:dyDescent="0.25">
      <c r="A2266" t="str">
        <f>"47122"</f>
        <v>47122</v>
      </c>
      <c r="B2266" t="s">
        <v>35</v>
      </c>
      <c r="C2266" t="s">
        <v>946</v>
      </c>
      <c r="D2266" t="s">
        <v>13</v>
      </c>
      <c r="E2266" t="s">
        <v>14</v>
      </c>
      <c r="F2266" t="s">
        <v>15</v>
      </c>
      <c r="G2266" t="s">
        <v>15</v>
      </c>
      <c r="H2266" t="s">
        <v>15</v>
      </c>
      <c r="I2266" s="1">
        <v>37947200</v>
      </c>
    </row>
    <row r="2267" spans="1:9" x14ac:dyDescent="0.25">
      <c r="A2267" t="str">
        <f>"47151"</f>
        <v>47151</v>
      </c>
      <c r="B2267" t="s">
        <v>35</v>
      </c>
      <c r="C2267" t="s">
        <v>938</v>
      </c>
      <c r="D2267" t="s">
        <v>13</v>
      </c>
      <c r="E2267" t="s">
        <v>14</v>
      </c>
      <c r="F2267" t="s">
        <v>15</v>
      </c>
      <c r="G2267" t="s">
        <v>15</v>
      </c>
      <c r="H2267" t="s">
        <v>15</v>
      </c>
      <c r="I2267" s="1">
        <v>23661500</v>
      </c>
    </row>
    <row r="2268" spans="1:9" x14ac:dyDescent="0.25">
      <c r="A2268" t="str">
        <f>"47171"</f>
        <v>47171</v>
      </c>
      <c r="B2268" t="s">
        <v>35</v>
      </c>
      <c r="C2268" t="s">
        <v>947</v>
      </c>
      <c r="D2268" t="s">
        <v>13</v>
      </c>
      <c r="E2268" t="s">
        <v>14</v>
      </c>
      <c r="F2268" t="s">
        <v>15</v>
      </c>
      <c r="G2268" t="s">
        <v>15</v>
      </c>
      <c r="H2268" t="s">
        <v>15</v>
      </c>
      <c r="I2268" s="1">
        <v>30902700</v>
      </c>
    </row>
    <row r="2269" spans="1:9" x14ac:dyDescent="0.25">
      <c r="A2269" t="str">
        <f>"47181"</f>
        <v>47181</v>
      </c>
      <c r="B2269" t="s">
        <v>35</v>
      </c>
      <c r="C2269" t="s">
        <v>948</v>
      </c>
      <c r="D2269" t="str">
        <f>"002"</f>
        <v>002</v>
      </c>
      <c r="E2269">
        <v>1995</v>
      </c>
      <c r="F2269">
        <v>83300</v>
      </c>
      <c r="G2269">
        <v>7287600</v>
      </c>
      <c r="H2269">
        <v>7204300</v>
      </c>
    </row>
    <row r="2270" spans="1:9" x14ac:dyDescent="0.25">
      <c r="A2270" t="str">
        <f>"47181"</f>
        <v>47181</v>
      </c>
      <c r="B2270" t="s">
        <v>35</v>
      </c>
      <c r="C2270" t="s">
        <v>948</v>
      </c>
      <c r="D2270" t="str">
        <f>"003"</f>
        <v>003</v>
      </c>
      <c r="E2270">
        <v>2007</v>
      </c>
      <c r="F2270">
        <v>2502700</v>
      </c>
      <c r="G2270">
        <v>3210900</v>
      </c>
      <c r="H2270">
        <v>708200</v>
      </c>
    </row>
    <row r="2271" spans="1:9" x14ac:dyDescent="0.25">
      <c r="A2271" t="str">
        <f>"47181"</f>
        <v>47181</v>
      </c>
      <c r="B2271" t="s">
        <v>35</v>
      </c>
      <c r="C2271" t="s">
        <v>948</v>
      </c>
      <c r="D2271" t="s">
        <v>13</v>
      </c>
      <c r="E2271" t="s">
        <v>14</v>
      </c>
      <c r="F2271" t="s">
        <v>15</v>
      </c>
      <c r="G2271" t="s">
        <v>15</v>
      </c>
      <c r="H2271" t="s">
        <v>15</v>
      </c>
      <c r="I2271" s="1">
        <v>67570600</v>
      </c>
    </row>
    <row r="2272" spans="1:9" x14ac:dyDescent="0.25">
      <c r="A2272" t="s">
        <v>32</v>
      </c>
      <c r="B2272" t="s">
        <v>37</v>
      </c>
      <c r="C2272" t="s">
        <v>34</v>
      </c>
      <c r="D2272" t="s">
        <v>13</v>
      </c>
      <c r="E2272" t="s">
        <v>14</v>
      </c>
      <c r="F2272" t="s">
        <v>15</v>
      </c>
      <c r="G2272" t="s">
        <v>15</v>
      </c>
      <c r="H2272" t="s">
        <v>15</v>
      </c>
      <c r="I2272" s="1">
        <v>382457100</v>
      </c>
    </row>
    <row r="2273" spans="1:9" x14ac:dyDescent="0.25">
      <c r="A2273" t="str">
        <f>"47271"</f>
        <v>47271</v>
      </c>
      <c r="B2273" t="s">
        <v>38</v>
      </c>
      <c r="C2273" t="s">
        <v>949</v>
      </c>
      <c r="D2273" t="str">
        <f>"003"</f>
        <v>003</v>
      </c>
      <c r="E2273">
        <v>2000</v>
      </c>
      <c r="F2273">
        <v>3044400</v>
      </c>
      <c r="G2273">
        <v>15396000</v>
      </c>
      <c r="H2273">
        <v>12351600</v>
      </c>
    </row>
    <row r="2274" spans="1:9" x14ac:dyDescent="0.25">
      <c r="A2274" t="str">
        <f>"47271"</f>
        <v>47271</v>
      </c>
      <c r="B2274" t="s">
        <v>38</v>
      </c>
      <c r="C2274" t="s">
        <v>949</v>
      </c>
      <c r="D2274" t="str">
        <f>"004"</f>
        <v>004</v>
      </c>
      <c r="E2274">
        <v>2003</v>
      </c>
      <c r="F2274">
        <v>9581300</v>
      </c>
      <c r="G2274">
        <v>24378800</v>
      </c>
      <c r="H2274">
        <v>14797500</v>
      </c>
    </row>
    <row r="2275" spans="1:9" x14ac:dyDescent="0.25">
      <c r="A2275" t="str">
        <f>"47271"</f>
        <v>47271</v>
      </c>
      <c r="B2275" t="s">
        <v>38</v>
      </c>
      <c r="C2275" t="s">
        <v>949</v>
      </c>
      <c r="D2275" t="str">
        <f>"005"</f>
        <v>005</v>
      </c>
      <c r="E2275">
        <v>2006</v>
      </c>
      <c r="F2275">
        <v>2725800</v>
      </c>
      <c r="G2275">
        <v>43164100</v>
      </c>
      <c r="H2275">
        <v>40438300</v>
      </c>
    </row>
    <row r="2276" spans="1:9" x14ac:dyDescent="0.25">
      <c r="A2276" t="str">
        <f>"47271"</f>
        <v>47271</v>
      </c>
      <c r="B2276" t="s">
        <v>38</v>
      </c>
      <c r="C2276" t="s">
        <v>949</v>
      </c>
      <c r="D2276" t="s">
        <v>13</v>
      </c>
      <c r="E2276" t="s">
        <v>14</v>
      </c>
      <c r="F2276" t="s">
        <v>15</v>
      </c>
      <c r="G2276" t="s">
        <v>15</v>
      </c>
      <c r="H2276" t="s">
        <v>15</v>
      </c>
      <c r="I2276" s="1">
        <v>330866500</v>
      </c>
    </row>
    <row r="2277" spans="1:9" x14ac:dyDescent="0.25">
      <c r="A2277" t="str">
        <f>"47276"</f>
        <v>47276</v>
      </c>
      <c r="B2277" t="s">
        <v>38</v>
      </c>
      <c r="C2277" t="s">
        <v>940</v>
      </c>
      <c r="D2277" t="str">
        <f>"006"</f>
        <v>006</v>
      </c>
      <c r="E2277">
        <v>2005</v>
      </c>
      <c r="F2277">
        <v>974600</v>
      </c>
      <c r="G2277">
        <v>9390500</v>
      </c>
      <c r="H2277">
        <v>8415900</v>
      </c>
    </row>
    <row r="2278" spans="1:9" x14ac:dyDescent="0.25">
      <c r="A2278" t="str">
        <f>"47276"</f>
        <v>47276</v>
      </c>
      <c r="B2278" t="s">
        <v>38</v>
      </c>
      <c r="C2278" t="s">
        <v>940</v>
      </c>
      <c r="D2278" t="str">
        <f>"008"</f>
        <v>008</v>
      </c>
      <c r="E2278">
        <v>2010</v>
      </c>
      <c r="F2278">
        <v>1326500</v>
      </c>
      <c r="G2278">
        <v>4547000</v>
      </c>
      <c r="H2278">
        <v>3220500</v>
      </c>
    </row>
    <row r="2279" spans="1:9" x14ac:dyDescent="0.25">
      <c r="A2279" t="str">
        <f>"47276"</f>
        <v>47276</v>
      </c>
      <c r="B2279" t="s">
        <v>38</v>
      </c>
      <c r="C2279" t="s">
        <v>940</v>
      </c>
      <c r="D2279" t="str">
        <f>"009"</f>
        <v>009</v>
      </c>
      <c r="E2279">
        <v>2012</v>
      </c>
      <c r="F2279">
        <v>4712300</v>
      </c>
      <c r="G2279">
        <v>7640000</v>
      </c>
      <c r="H2279">
        <v>2927700</v>
      </c>
    </row>
    <row r="2280" spans="1:9" x14ac:dyDescent="0.25">
      <c r="A2280" t="str">
        <f>"47276"</f>
        <v>47276</v>
      </c>
      <c r="B2280" t="s">
        <v>38</v>
      </c>
      <c r="C2280" t="s">
        <v>940</v>
      </c>
      <c r="D2280" t="str">
        <f>"014"</f>
        <v>014</v>
      </c>
      <c r="E2280">
        <v>2018</v>
      </c>
      <c r="F2280">
        <v>73100</v>
      </c>
      <c r="G2280">
        <v>1471800</v>
      </c>
      <c r="H2280">
        <v>1398700</v>
      </c>
    </row>
    <row r="2281" spans="1:9" x14ac:dyDescent="0.25">
      <c r="A2281" t="str">
        <f>"47276"</f>
        <v>47276</v>
      </c>
      <c r="B2281" t="s">
        <v>38</v>
      </c>
      <c r="C2281" t="s">
        <v>940</v>
      </c>
      <c r="D2281" t="s">
        <v>13</v>
      </c>
      <c r="E2281" t="s">
        <v>14</v>
      </c>
      <c r="F2281" t="s">
        <v>15</v>
      </c>
      <c r="G2281" t="s">
        <v>15</v>
      </c>
      <c r="H2281" t="s">
        <v>15</v>
      </c>
      <c r="I2281" s="1">
        <v>667789400</v>
      </c>
    </row>
    <row r="2282" spans="1:9" x14ac:dyDescent="0.25">
      <c r="A2282" t="s">
        <v>32</v>
      </c>
      <c r="B2282" t="s">
        <v>40</v>
      </c>
      <c r="C2282" t="s">
        <v>34</v>
      </c>
      <c r="D2282" t="s">
        <v>13</v>
      </c>
      <c r="E2282" t="s">
        <v>14</v>
      </c>
      <c r="F2282" t="s">
        <v>15</v>
      </c>
      <c r="G2282" t="s">
        <v>15</v>
      </c>
      <c r="H2282" t="s">
        <v>15</v>
      </c>
      <c r="I2282" s="1">
        <v>998655900</v>
      </c>
    </row>
    <row r="2283" spans="1:9" x14ac:dyDescent="0.25">
      <c r="A2283" t="s">
        <v>32</v>
      </c>
      <c r="B2283" t="s">
        <v>41</v>
      </c>
      <c r="C2283" t="s">
        <v>656</v>
      </c>
      <c r="D2283" t="s">
        <v>13</v>
      </c>
      <c r="E2283" t="s">
        <v>14</v>
      </c>
      <c r="F2283" t="s">
        <v>15</v>
      </c>
      <c r="G2283" t="s">
        <v>15</v>
      </c>
      <c r="H2283" t="s">
        <v>15</v>
      </c>
      <c r="I2283" s="1">
        <v>3511892800</v>
      </c>
    </row>
    <row r="2284" spans="1:9" x14ac:dyDescent="0.25">
      <c r="A2284" t="str">
        <f>"48002"</f>
        <v>48002</v>
      </c>
      <c r="B2284" t="s">
        <v>11</v>
      </c>
      <c r="C2284" t="s">
        <v>950</v>
      </c>
      <c r="D2284" t="s">
        <v>13</v>
      </c>
      <c r="E2284" t="s">
        <v>14</v>
      </c>
      <c r="F2284" t="s">
        <v>15</v>
      </c>
      <c r="G2284" t="s">
        <v>15</v>
      </c>
      <c r="H2284" t="s">
        <v>15</v>
      </c>
      <c r="I2284" s="1">
        <v>380388600</v>
      </c>
    </row>
    <row r="2285" spans="1:9" x14ac:dyDescent="0.25">
      <c r="A2285" t="str">
        <f>"48004"</f>
        <v>48004</v>
      </c>
      <c r="B2285" t="s">
        <v>11</v>
      </c>
      <c r="C2285" t="s">
        <v>951</v>
      </c>
      <c r="D2285" t="s">
        <v>13</v>
      </c>
      <c r="E2285" t="s">
        <v>14</v>
      </c>
      <c r="F2285" t="s">
        <v>15</v>
      </c>
      <c r="G2285" t="s">
        <v>15</v>
      </c>
      <c r="H2285" t="s">
        <v>15</v>
      </c>
      <c r="I2285" s="1">
        <v>166106900</v>
      </c>
    </row>
    <row r="2286" spans="1:9" x14ac:dyDescent="0.25">
      <c r="A2286" t="str">
        <f>"48006"</f>
        <v>48006</v>
      </c>
      <c r="B2286" t="s">
        <v>11</v>
      </c>
      <c r="C2286" t="s">
        <v>952</v>
      </c>
      <c r="D2286" t="s">
        <v>13</v>
      </c>
      <c r="E2286" t="s">
        <v>14</v>
      </c>
      <c r="F2286" t="s">
        <v>15</v>
      </c>
      <c r="G2286" t="s">
        <v>15</v>
      </c>
      <c r="H2286" t="s">
        <v>15</v>
      </c>
      <c r="I2286" s="1">
        <v>302572000</v>
      </c>
    </row>
    <row r="2287" spans="1:9" x14ac:dyDescent="0.25">
      <c r="A2287" t="str">
        <f>"48008"</f>
        <v>48008</v>
      </c>
      <c r="B2287" t="s">
        <v>11</v>
      </c>
      <c r="C2287" t="s">
        <v>215</v>
      </c>
      <c r="D2287" t="s">
        <v>13</v>
      </c>
      <c r="E2287" t="s">
        <v>14</v>
      </c>
      <c r="F2287" t="s">
        <v>15</v>
      </c>
      <c r="G2287" t="s">
        <v>15</v>
      </c>
      <c r="H2287" t="s">
        <v>15</v>
      </c>
      <c r="I2287" s="1">
        <v>113482100</v>
      </c>
    </row>
    <row r="2288" spans="1:9" x14ac:dyDescent="0.25">
      <c r="A2288" t="str">
        <f>"48010"</f>
        <v>48010</v>
      </c>
      <c r="B2288" t="s">
        <v>11</v>
      </c>
      <c r="C2288" t="s">
        <v>953</v>
      </c>
      <c r="D2288" t="s">
        <v>13</v>
      </c>
      <c r="E2288" t="s">
        <v>14</v>
      </c>
      <c r="F2288" t="s">
        <v>15</v>
      </c>
      <c r="G2288" t="s">
        <v>15</v>
      </c>
      <c r="H2288" t="s">
        <v>15</v>
      </c>
      <c r="I2288" s="1">
        <v>115614000</v>
      </c>
    </row>
    <row r="2289" spans="1:9" x14ac:dyDescent="0.25">
      <c r="A2289" t="str">
        <f>"48012"</f>
        <v>48012</v>
      </c>
      <c r="B2289" t="s">
        <v>11</v>
      </c>
      <c r="C2289" t="s">
        <v>954</v>
      </c>
      <c r="D2289" t="s">
        <v>13</v>
      </c>
      <c r="E2289" t="s">
        <v>14</v>
      </c>
      <c r="F2289" t="s">
        <v>15</v>
      </c>
      <c r="G2289" t="s">
        <v>15</v>
      </c>
      <c r="H2289" t="s">
        <v>15</v>
      </c>
      <c r="I2289" s="1">
        <v>104695100</v>
      </c>
    </row>
    <row r="2290" spans="1:9" x14ac:dyDescent="0.25">
      <c r="A2290" t="str">
        <f>"48014"</f>
        <v>48014</v>
      </c>
      <c r="B2290" t="s">
        <v>11</v>
      </c>
      <c r="C2290" t="s">
        <v>955</v>
      </c>
      <c r="D2290" t="s">
        <v>13</v>
      </c>
      <c r="E2290" t="s">
        <v>14</v>
      </c>
      <c r="F2290" t="s">
        <v>15</v>
      </c>
      <c r="G2290" t="s">
        <v>15</v>
      </c>
      <c r="H2290" t="s">
        <v>15</v>
      </c>
      <c r="I2290" s="1">
        <v>55167300</v>
      </c>
    </row>
    <row r="2291" spans="1:9" x14ac:dyDescent="0.25">
      <c r="A2291" t="str">
        <f>"48016"</f>
        <v>48016</v>
      </c>
      <c r="B2291" t="s">
        <v>11</v>
      </c>
      <c r="C2291" t="s">
        <v>283</v>
      </c>
      <c r="D2291" t="s">
        <v>13</v>
      </c>
      <c r="E2291" t="s">
        <v>14</v>
      </c>
      <c r="F2291" t="s">
        <v>15</v>
      </c>
      <c r="G2291" t="s">
        <v>15</v>
      </c>
      <c r="H2291" t="s">
        <v>15</v>
      </c>
      <c r="I2291" s="1">
        <v>79837500</v>
      </c>
    </row>
    <row r="2292" spans="1:9" x14ac:dyDescent="0.25">
      <c r="A2292" t="str">
        <f>"48018"</f>
        <v>48018</v>
      </c>
      <c r="B2292" t="s">
        <v>11</v>
      </c>
      <c r="C2292" t="s">
        <v>956</v>
      </c>
      <c r="D2292" t="s">
        <v>13</v>
      </c>
      <c r="E2292" t="s">
        <v>14</v>
      </c>
      <c r="F2292" t="s">
        <v>15</v>
      </c>
      <c r="G2292" t="s">
        <v>15</v>
      </c>
      <c r="H2292" t="s">
        <v>15</v>
      </c>
      <c r="I2292" s="1">
        <v>60490800</v>
      </c>
    </row>
    <row r="2293" spans="1:9" x14ac:dyDescent="0.25">
      <c r="A2293" t="str">
        <f>"48020"</f>
        <v>48020</v>
      </c>
      <c r="B2293" t="s">
        <v>11</v>
      </c>
      <c r="C2293" t="s">
        <v>957</v>
      </c>
      <c r="D2293" t="s">
        <v>13</v>
      </c>
      <c r="E2293" t="s">
        <v>14</v>
      </c>
      <c r="F2293" t="s">
        <v>15</v>
      </c>
      <c r="G2293" t="s">
        <v>15</v>
      </c>
      <c r="H2293" t="s">
        <v>15</v>
      </c>
      <c r="I2293" s="1">
        <v>151344100</v>
      </c>
    </row>
    <row r="2294" spans="1:9" x14ac:dyDescent="0.25">
      <c r="A2294" t="str">
        <f>"48022"</f>
        <v>48022</v>
      </c>
      <c r="B2294" t="s">
        <v>11</v>
      </c>
      <c r="C2294" t="s">
        <v>606</v>
      </c>
      <c r="D2294" t="s">
        <v>13</v>
      </c>
      <c r="E2294" t="s">
        <v>14</v>
      </c>
      <c r="F2294" t="s">
        <v>15</v>
      </c>
      <c r="G2294" t="s">
        <v>15</v>
      </c>
      <c r="H2294" t="s">
        <v>15</v>
      </c>
      <c r="I2294" s="1">
        <v>188309900</v>
      </c>
    </row>
    <row r="2295" spans="1:9" x14ac:dyDescent="0.25">
      <c r="A2295" t="str">
        <f>"48024"</f>
        <v>48024</v>
      </c>
      <c r="B2295" t="s">
        <v>11</v>
      </c>
      <c r="C2295" t="s">
        <v>591</v>
      </c>
      <c r="D2295" t="s">
        <v>13</v>
      </c>
      <c r="E2295" t="s">
        <v>14</v>
      </c>
      <c r="F2295" t="s">
        <v>15</v>
      </c>
      <c r="G2295" t="s">
        <v>15</v>
      </c>
      <c r="H2295" t="s">
        <v>15</v>
      </c>
      <c r="I2295" s="1">
        <v>220838200</v>
      </c>
    </row>
    <row r="2296" spans="1:9" x14ac:dyDescent="0.25">
      <c r="A2296" t="str">
        <f>"48026"</f>
        <v>48026</v>
      </c>
      <c r="B2296" t="s">
        <v>11</v>
      </c>
      <c r="C2296" t="s">
        <v>958</v>
      </c>
      <c r="D2296" t="s">
        <v>13</v>
      </c>
      <c r="E2296" t="s">
        <v>14</v>
      </c>
      <c r="F2296" t="s">
        <v>15</v>
      </c>
      <c r="G2296" t="s">
        <v>15</v>
      </c>
      <c r="H2296" t="s">
        <v>15</v>
      </c>
      <c r="I2296" s="1">
        <v>347006800</v>
      </c>
    </row>
    <row r="2297" spans="1:9" x14ac:dyDescent="0.25">
      <c r="A2297" t="str">
        <f>"48028"</f>
        <v>48028</v>
      </c>
      <c r="B2297" t="s">
        <v>11</v>
      </c>
      <c r="C2297" t="s">
        <v>959</v>
      </c>
      <c r="D2297" t="s">
        <v>13</v>
      </c>
      <c r="E2297" t="s">
        <v>14</v>
      </c>
      <c r="F2297" t="s">
        <v>15</v>
      </c>
      <c r="G2297" t="s">
        <v>15</v>
      </c>
      <c r="H2297" t="s">
        <v>15</v>
      </c>
      <c r="I2297" s="1">
        <v>115169900</v>
      </c>
    </row>
    <row r="2298" spans="1:9" x14ac:dyDescent="0.25">
      <c r="A2298" t="str">
        <f>"48030"</f>
        <v>48030</v>
      </c>
      <c r="B2298" t="s">
        <v>11</v>
      </c>
      <c r="C2298" t="s">
        <v>960</v>
      </c>
      <c r="D2298" t="s">
        <v>13</v>
      </c>
      <c r="E2298" t="s">
        <v>14</v>
      </c>
      <c r="F2298" t="s">
        <v>15</v>
      </c>
      <c r="G2298" t="s">
        <v>15</v>
      </c>
      <c r="H2298" t="s">
        <v>15</v>
      </c>
      <c r="I2298" s="1">
        <v>92517400</v>
      </c>
    </row>
    <row r="2299" spans="1:9" x14ac:dyDescent="0.25">
      <c r="A2299" t="str">
        <f>"48032"</f>
        <v>48032</v>
      </c>
      <c r="B2299" t="s">
        <v>11</v>
      </c>
      <c r="C2299" t="s">
        <v>22</v>
      </c>
      <c r="D2299" t="s">
        <v>13</v>
      </c>
      <c r="E2299" t="s">
        <v>14</v>
      </c>
      <c r="F2299" t="s">
        <v>15</v>
      </c>
      <c r="G2299" t="s">
        <v>15</v>
      </c>
      <c r="H2299" t="s">
        <v>15</v>
      </c>
      <c r="I2299" s="1">
        <v>296994800</v>
      </c>
    </row>
    <row r="2300" spans="1:9" x14ac:dyDescent="0.25">
      <c r="A2300" t="str">
        <f>"48034"</f>
        <v>48034</v>
      </c>
      <c r="B2300" t="s">
        <v>11</v>
      </c>
      <c r="C2300" t="s">
        <v>961</v>
      </c>
      <c r="D2300" t="s">
        <v>13</v>
      </c>
      <c r="E2300" t="s">
        <v>14</v>
      </c>
      <c r="F2300" t="s">
        <v>15</v>
      </c>
      <c r="G2300" t="s">
        <v>15</v>
      </c>
      <c r="H2300" t="s">
        <v>15</v>
      </c>
      <c r="I2300" s="1">
        <v>28955700</v>
      </c>
    </row>
    <row r="2301" spans="1:9" x14ac:dyDescent="0.25">
      <c r="A2301" t="str">
        <f>"48036"</f>
        <v>48036</v>
      </c>
      <c r="B2301" t="s">
        <v>11</v>
      </c>
      <c r="C2301" t="s">
        <v>962</v>
      </c>
      <c r="D2301" t="s">
        <v>13</v>
      </c>
      <c r="E2301" t="s">
        <v>14</v>
      </c>
      <c r="F2301" t="s">
        <v>15</v>
      </c>
      <c r="G2301" t="s">
        <v>15</v>
      </c>
      <c r="H2301" t="s">
        <v>15</v>
      </c>
      <c r="I2301" s="1">
        <v>82818700</v>
      </c>
    </row>
    <row r="2302" spans="1:9" x14ac:dyDescent="0.25">
      <c r="A2302" t="str">
        <f>"48038"</f>
        <v>48038</v>
      </c>
      <c r="B2302" t="s">
        <v>11</v>
      </c>
      <c r="C2302" t="s">
        <v>963</v>
      </c>
      <c r="D2302" t="s">
        <v>13</v>
      </c>
      <c r="E2302" t="s">
        <v>14</v>
      </c>
      <c r="F2302" t="s">
        <v>15</v>
      </c>
      <c r="G2302" t="s">
        <v>15</v>
      </c>
      <c r="H2302" t="s">
        <v>15</v>
      </c>
      <c r="I2302" s="1">
        <v>49644700</v>
      </c>
    </row>
    <row r="2303" spans="1:9" x14ac:dyDescent="0.25">
      <c r="A2303" t="str">
        <f>"48040"</f>
        <v>48040</v>
      </c>
      <c r="B2303" t="s">
        <v>11</v>
      </c>
      <c r="C2303" t="s">
        <v>964</v>
      </c>
      <c r="D2303" t="s">
        <v>13</v>
      </c>
      <c r="E2303" t="s">
        <v>14</v>
      </c>
      <c r="F2303" t="s">
        <v>15</v>
      </c>
      <c r="G2303" t="s">
        <v>15</v>
      </c>
      <c r="H2303" t="s">
        <v>15</v>
      </c>
      <c r="I2303" s="1">
        <v>277296500</v>
      </c>
    </row>
    <row r="2304" spans="1:9" x14ac:dyDescent="0.25">
      <c r="A2304" t="str">
        <f>"48042"</f>
        <v>48042</v>
      </c>
      <c r="B2304" t="s">
        <v>11</v>
      </c>
      <c r="C2304" t="s">
        <v>468</v>
      </c>
      <c r="D2304" t="s">
        <v>13</v>
      </c>
      <c r="E2304" t="s">
        <v>14</v>
      </c>
      <c r="F2304" t="s">
        <v>15</v>
      </c>
      <c r="G2304" t="s">
        <v>15</v>
      </c>
      <c r="H2304" t="s">
        <v>15</v>
      </c>
      <c r="I2304" s="1">
        <v>316983800</v>
      </c>
    </row>
    <row r="2305" spans="1:9" x14ac:dyDescent="0.25">
      <c r="A2305" t="str">
        <f>"48044"</f>
        <v>48044</v>
      </c>
      <c r="B2305" t="s">
        <v>11</v>
      </c>
      <c r="C2305" t="s">
        <v>965</v>
      </c>
      <c r="D2305" t="s">
        <v>13</v>
      </c>
      <c r="E2305" t="s">
        <v>14</v>
      </c>
      <c r="F2305" t="s">
        <v>15</v>
      </c>
      <c r="G2305" t="s">
        <v>15</v>
      </c>
      <c r="H2305" t="s">
        <v>15</v>
      </c>
      <c r="I2305" s="1">
        <v>177306800</v>
      </c>
    </row>
    <row r="2306" spans="1:9" x14ac:dyDescent="0.25">
      <c r="A2306" t="str">
        <f>"48046"</f>
        <v>48046</v>
      </c>
      <c r="B2306" t="s">
        <v>11</v>
      </c>
      <c r="C2306" t="s">
        <v>966</v>
      </c>
      <c r="D2306" t="s">
        <v>13</v>
      </c>
      <c r="E2306" t="s">
        <v>14</v>
      </c>
      <c r="F2306" t="s">
        <v>15</v>
      </c>
      <c r="G2306" t="s">
        <v>15</v>
      </c>
      <c r="H2306" t="s">
        <v>15</v>
      </c>
      <c r="I2306" s="1">
        <v>65006700</v>
      </c>
    </row>
    <row r="2307" spans="1:9" x14ac:dyDescent="0.25">
      <c r="A2307" t="str">
        <f>"48048"</f>
        <v>48048</v>
      </c>
      <c r="B2307" t="s">
        <v>11</v>
      </c>
      <c r="C2307" t="s">
        <v>967</v>
      </c>
      <c r="D2307" t="s">
        <v>13</v>
      </c>
      <c r="E2307" t="s">
        <v>14</v>
      </c>
      <c r="F2307" t="s">
        <v>15</v>
      </c>
      <c r="G2307" t="s">
        <v>15</v>
      </c>
      <c r="H2307" t="s">
        <v>15</v>
      </c>
      <c r="I2307" s="1">
        <v>63655000</v>
      </c>
    </row>
    <row r="2308" spans="1:9" x14ac:dyDescent="0.25">
      <c r="A2308" t="s">
        <v>32</v>
      </c>
      <c r="B2308" t="s">
        <v>33</v>
      </c>
      <c r="C2308" t="s">
        <v>34</v>
      </c>
      <c r="D2308" t="s">
        <v>13</v>
      </c>
      <c r="E2308" t="s">
        <v>14</v>
      </c>
      <c r="F2308" t="s">
        <v>15</v>
      </c>
      <c r="G2308" t="s">
        <v>15</v>
      </c>
      <c r="H2308" t="s">
        <v>15</v>
      </c>
      <c r="I2308" s="1">
        <v>3852203300</v>
      </c>
    </row>
    <row r="2309" spans="1:9" x14ac:dyDescent="0.25">
      <c r="A2309" t="str">
        <f>"48106"</f>
        <v>48106</v>
      </c>
      <c r="B2309" t="s">
        <v>35</v>
      </c>
      <c r="C2309" t="s">
        <v>952</v>
      </c>
      <c r="D2309" t="str">
        <f>"002"</f>
        <v>002</v>
      </c>
      <c r="E2309">
        <v>1995</v>
      </c>
      <c r="F2309">
        <v>11800</v>
      </c>
      <c r="G2309">
        <v>3218300</v>
      </c>
      <c r="H2309">
        <v>3206500</v>
      </c>
    </row>
    <row r="2310" spans="1:9" x14ac:dyDescent="0.25">
      <c r="A2310" t="str">
        <f>"48106"</f>
        <v>48106</v>
      </c>
      <c r="B2310" t="s">
        <v>35</v>
      </c>
      <c r="C2310" t="s">
        <v>952</v>
      </c>
      <c r="D2310" t="str">
        <f>"003"</f>
        <v>003</v>
      </c>
      <c r="E2310">
        <v>2004</v>
      </c>
      <c r="F2310">
        <v>22300</v>
      </c>
      <c r="G2310">
        <v>0</v>
      </c>
      <c r="H2310">
        <v>0</v>
      </c>
    </row>
    <row r="2311" spans="1:9" x14ac:dyDescent="0.25">
      <c r="A2311" t="str">
        <f>"48106"</f>
        <v>48106</v>
      </c>
      <c r="B2311" t="s">
        <v>35</v>
      </c>
      <c r="C2311" t="s">
        <v>952</v>
      </c>
      <c r="D2311" t="str">
        <f>"005"</f>
        <v>005</v>
      </c>
      <c r="E2311">
        <v>2006</v>
      </c>
      <c r="F2311">
        <v>7735100</v>
      </c>
      <c r="G2311">
        <v>8920300</v>
      </c>
      <c r="H2311">
        <v>1185200</v>
      </c>
    </row>
    <row r="2312" spans="1:9" x14ac:dyDescent="0.25">
      <c r="A2312" t="str">
        <f>"48106"</f>
        <v>48106</v>
      </c>
      <c r="B2312" t="s">
        <v>35</v>
      </c>
      <c r="C2312" t="s">
        <v>952</v>
      </c>
      <c r="D2312" t="str">
        <f>"006"</f>
        <v>006</v>
      </c>
      <c r="E2312">
        <v>2013</v>
      </c>
      <c r="F2312">
        <v>7793600</v>
      </c>
      <c r="G2312">
        <v>9515500</v>
      </c>
      <c r="H2312">
        <v>1721900</v>
      </c>
    </row>
    <row r="2313" spans="1:9" x14ac:dyDescent="0.25">
      <c r="A2313" t="str">
        <f>"48106"</f>
        <v>48106</v>
      </c>
      <c r="B2313" t="s">
        <v>35</v>
      </c>
      <c r="C2313" t="s">
        <v>952</v>
      </c>
      <c r="D2313" t="s">
        <v>13</v>
      </c>
      <c r="E2313" t="s">
        <v>14</v>
      </c>
      <c r="F2313" t="s">
        <v>15</v>
      </c>
      <c r="G2313" t="s">
        <v>15</v>
      </c>
      <c r="H2313" t="s">
        <v>15</v>
      </c>
      <c r="I2313" s="1">
        <v>144868500</v>
      </c>
    </row>
    <row r="2314" spans="1:9" x14ac:dyDescent="0.25">
      <c r="A2314" t="str">
        <f>"48111"</f>
        <v>48111</v>
      </c>
      <c r="B2314" t="s">
        <v>35</v>
      </c>
      <c r="C2314" t="s">
        <v>968</v>
      </c>
      <c r="D2314" t="str">
        <f>"001"</f>
        <v>001</v>
      </c>
      <c r="E2314">
        <v>1999</v>
      </c>
      <c r="F2314">
        <v>4683000</v>
      </c>
      <c r="G2314">
        <v>8048400</v>
      </c>
      <c r="H2314">
        <v>3365400</v>
      </c>
    </row>
    <row r="2315" spans="1:9" x14ac:dyDescent="0.25">
      <c r="A2315" t="str">
        <f>"48111"</f>
        <v>48111</v>
      </c>
      <c r="B2315" t="s">
        <v>35</v>
      </c>
      <c r="C2315" t="s">
        <v>968</v>
      </c>
      <c r="D2315" t="s">
        <v>13</v>
      </c>
      <c r="E2315" t="s">
        <v>14</v>
      </c>
      <c r="F2315" t="s">
        <v>15</v>
      </c>
      <c r="G2315" t="s">
        <v>15</v>
      </c>
      <c r="H2315" t="s">
        <v>15</v>
      </c>
      <c r="I2315" s="1">
        <v>30319100</v>
      </c>
    </row>
    <row r="2316" spans="1:9" x14ac:dyDescent="0.25">
      <c r="A2316" t="str">
        <f>"48112"</f>
        <v>48112</v>
      </c>
      <c r="B2316" t="s">
        <v>35</v>
      </c>
      <c r="C2316" t="s">
        <v>283</v>
      </c>
      <c r="D2316" t="str">
        <f>"002"</f>
        <v>002</v>
      </c>
      <c r="E2316">
        <v>1999</v>
      </c>
      <c r="F2316">
        <v>68000</v>
      </c>
      <c r="G2316">
        <v>1139400</v>
      </c>
      <c r="H2316">
        <v>1071400</v>
      </c>
    </row>
    <row r="2317" spans="1:9" x14ac:dyDescent="0.25">
      <c r="A2317" t="str">
        <f>"48112"</f>
        <v>48112</v>
      </c>
      <c r="B2317" t="s">
        <v>35</v>
      </c>
      <c r="C2317" t="s">
        <v>283</v>
      </c>
      <c r="D2317" t="s">
        <v>13</v>
      </c>
      <c r="E2317" t="s">
        <v>14</v>
      </c>
      <c r="F2317" t="s">
        <v>15</v>
      </c>
      <c r="G2317" t="s">
        <v>15</v>
      </c>
      <c r="H2317" t="s">
        <v>15</v>
      </c>
      <c r="I2317" s="1">
        <v>23183300</v>
      </c>
    </row>
    <row r="2318" spans="1:9" x14ac:dyDescent="0.25">
      <c r="A2318" t="str">
        <f>"48113"</f>
        <v>48113</v>
      </c>
      <c r="B2318" t="s">
        <v>35</v>
      </c>
      <c r="C2318" t="s">
        <v>956</v>
      </c>
      <c r="D2318" t="str">
        <f>"002"</f>
        <v>002</v>
      </c>
      <c r="E2318">
        <v>2000</v>
      </c>
      <c r="F2318">
        <v>431100</v>
      </c>
      <c r="G2318">
        <v>3275700</v>
      </c>
      <c r="H2318">
        <v>2844600</v>
      </c>
    </row>
    <row r="2319" spans="1:9" x14ac:dyDescent="0.25">
      <c r="A2319" t="str">
        <f>"48113"</f>
        <v>48113</v>
      </c>
      <c r="B2319" t="s">
        <v>35</v>
      </c>
      <c r="C2319" t="s">
        <v>956</v>
      </c>
      <c r="D2319" t="str">
        <f>"003"</f>
        <v>003</v>
      </c>
      <c r="E2319">
        <v>2003</v>
      </c>
      <c r="F2319">
        <v>2113600</v>
      </c>
      <c r="G2319">
        <v>5867700</v>
      </c>
      <c r="H2319">
        <v>3754100</v>
      </c>
    </row>
    <row r="2320" spans="1:9" x14ac:dyDescent="0.25">
      <c r="A2320" t="str">
        <f>"48113"</f>
        <v>48113</v>
      </c>
      <c r="B2320" t="s">
        <v>35</v>
      </c>
      <c r="C2320" t="s">
        <v>956</v>
      </c>
      <c r="D2320" t="s">
        <v>13</v>
      </c>
      <c r="E2320" t="s">
        <v>14</v>
      </c>
      <c r="F2320" t="s">
        <v>15</v>
      </c>
      <c r="G2320" t="s">
        <v>15</v>
      </c>
      <c r="H2320" t="s">
        <v>15</v>
      </c>
      <c r="I2320" s="1">
        <v>60796800</v>
      </c>
    </row>
    <row r="2321" spans="1:9" x14ac:dyDescent="0.25">
      <c r="A2321" t="str">
        <f>"48116"</f>
        <v>48116</v>
      </c>
      <c r="B2321" t="s">
        <v>35</v>
      </c>
      <c r="C2321" t="s">
        <v>969</v>
      </c>
      <c r="D2321" t="s">
        <v>13</v>
      </c>
      <c r="E2321" t="s">
        <v>14</v>
      </c>
      <c r="F2321" t="s">
        <v>15</v>
      </c>
      <c r="G2321" t="s">
        <v>15</v>
      </c>
      <c r="H2321" t="s">
        <v>15</v>
      </c>
      <c r="I2321" s="1">
        <v>65548300</v>
      </c>
    </row>
    <row r="2322" spans="1:9" x14ac:dyDescent="0.25">
      <c r="A2322" t="str">
        <f>"48126"</f>
        <v>48126</v>
      </c>
      <c r="B2322" t="s">
        <v>35</v>
      </c>
      <c r="C2322" t="s">
        <v>970</v>
      </c>
      <c r="D2322" t="str">
        <f>"003"</f>
        <v>003</v>
      </c>
      <c r="E2322">
        <v>2007</v>
      </c>
      <c r="F2322">
        <v>1755300</v>
      </c>
      <c r="G2322">
        <v>5735200</v>
      </c>
      <c r="H2322">
        <v>3979900</v>
      </c>
    </row>
    <row r="2323" spans="1:9" x14ac:dyDescent="0.25">
      <c r="A2323" t="str">
        <f>"48126"</f>
        <v>48126</v>
      </c>
      <c r="B2323" t="s">
        <v>35</v>
      </c>
      <c r="C2323" t="s">
        <v>970</v>
      </c>
      <c r="D2323" t="s">
        <v>13</v>
      </c>
      <c r="E2323" t="s">
        <v>14</v>
      </c>
      <c r="F2323" t="s">
        <v>15</v>
      </c>
      <c r="G2323" t="s">
        <v>15</v>
      </c>
      <c r="H2323" t="s">
        <v>15</v>
      </c>
      <c r="I2323" s="1">
        <v>55491400</v>
      </c>
    </row>
    <row r="2324" spans="1:9" x14ac:dyDescent="0.25">
      <c r="A2324" t="str">
        <f>"48146"</f>
        <v>48146</v>
      </c>
      <c r="B2324" t="s">
        <v>35</v>
      </c>
      <c r="C2324" t="s">
        <v>962</v>
      </c>
      <c r="D2324" t="str">
        <f>"002"</f>
        <v>002</v>
      </c>
      <c r="E2324">
        <v>2002</v>
      </c>
      <c r="F2324">
        <v>5509600</v>
      </c>
      <c r="G2324">
        <v>11170800</v>
      </c>
      <c r="H2324">
        <v>5661200</v>
      </c>
    </row>
    <row r="2325" spans="1:9" x14ac:dyDescent="0.25">
      <c r="A2325" t="str">
        <f>"48146"</f>
        <v>48146</v>
      </c>
      <c r="B2325" t="s">
        <v>35</v>
      </c>
      <c r="C2325" t="s">
        <v>962</v>
      </c>
      <c r="D2325" t="str">
        <f>"003"</f>
        <v>003</v>
      </c>
      <c r="E2325">
        <v>2005</v>
      </c>
      <c r="F2325">
        <v>3522400</v>
      </c>
      <c r="G2325">
        <v>4262900</v>
      </c>
      <c r="H2325">
        <v>740500</v>
      </c>
    </row>
    <row r="2326" spans="1:9" x14ac:dyDescent="0.25">
      <c r="A2326" t="str">
        <f>"48146"</f>
        <v>48146</v>
      </c>
      <c r="B2326" t="s">
        <v>35</v>
      </c>
      <c r="C2326" t="s">
        <v>962</v>
      </c>
      <c r="D2326" t="str">
        <f>"004"</f>
        <v>004</v>
      </c>
      <c r="E2326">
        <v>2018</v>
      </c>
      <c r="F2326">
        <v>7693200</v>
      </c>
      <c r="G2326">
        <v>9371000</v>
      </c>
      <c r="H2326">
        <v>1677800</v>
      </c>
    </row>
    <row r="2327" spans="1:9" x14ac:dyDescent="0.25">
      <c r="A2327" t="str">
        <f>"48146"</f>
        <v>48146</v>
      </c>
      <c r="B2327" t="s">
        <v>35</v>
      </c>
      <c r="C2327" t="s">
        <v>962</v>
      </c>
      <c r="D2327" t="s">
        <v>13</v>
      </c>
      <c r="E2327" t="s">
        <v>14</v>
      </c>
      <c r="F2327" t="s">
        <v>15</v>
      </c>
      <c r="G2327" t="s">
        <v>15</v>
      </c>
      <c r="H2327" t="s">
        <v>15</v>
      </c>
      <c r="I2327" s="1">
        <v>70962900</v>
      </c>
    </row>
    <row r="2328" spans="1:9" x14ac:dyDescent="0.25">
      <c r="A2328" t="str">
        <f>"48151"</f>
        <v>48151</v>
      </c>
      <c r="B2328" t="s">
        <v>35</v>
      </c>
      <c r="C2328" t="s">
        <v>964</v>
      </c>
      <c r="D2328" t="str">
        <f>"002"</f>
        <v>002</v>
      </c>
      <c r="E2328">
        <v>1994</v>
      </c>
      <c r="F2328">
        <v>22700</v>
      </c>
      <c r="G2328">
        <v>4962400</v>
      </c>
      <c r="H2328">
        <v>4939700</v>
      </c>
    </row>
    <row r="2329" spans="1:9" x14ac:dyDescent="0.25">
      <c r="A2329" t="str">
        <f>"48151"</f>
        <v>48151</v>
      </c>
      <c r="B2329" t="s">
        <v>35</v>
      </c>
      <c r="C2329" t="s">
        <v>964</v>
      </c>
      <c r="D2329" t="str">
        <f>"003"</f>
        <v>003</v>
      </c>
      <c r="E2329">
        <v>2004</v>
      </c>
      <c r="F2329">
        <v>583200</v>
      </c>
      <c r="G2329">
        <v>807000</v>
      </c>
      <c r="H2329">
        <v>223800</v>
      </c>
    </row>
    <row r="2330" spans="1:9" x14ac:dyDescent="0.25">
      <c r="A2330" t="str">
        <f>"48151"</f>
        <v>48151</v>
      </c>
      <c r="B2330" t="s">
        <v>35</v>
      </c>
      <c r="C2330" t="s">
        <v>964</v>
      </c>
      <c r="D2330" t="str">
        <f>"004"</f>
        <v>004</v>
      </c>
      <c r="E2330">
        <v>2012</v>
      </c>
      <c r="F2330">
        <v>1027700</v>
      </c>
      <c r="G2330">
        <v>1582400</v>
      </c>
      <c r="H2330">
        <v>554700</v>
      </c>
    </row>
    <row r="2331" spans="1:9" x14ac:dyDescent="0.25">
      <c r="A2331" t="str">
        <f>"48151"</f>
        <v>48151</v>
      </c>
      <c r="B2331" t="s">
        <v>35</v>
      </c>
      <c r="C2331" t="s">
        <v>964</v>
      </c>
      <c r="D2331" t="s">
        <v>13</v>
      </c>
      <c r="E2331" t="s">
        <v>14</v>
      </c>
      <c r="F2331" t="s">
        <v>15</v>
      </c>
      <c r="G2331" t="s">
        <v>15</v>
      </c>
      <c r="H2331" t="s">
        <v>15</v>
      </c>
      <c r="I2331" s="1">
        <v>36807000</v>
      </c>
    </row>
    <row r="2332" spans="1:9" x14ac:dyDescent="0.25">
      <c r="A2332" t="str">
        <f>"48165"</f>
        <v>48165</v>
      </c>
      <c r="B2332" t="s">
        <v>35</v>
      </c>
      <c r="C2332" t="s">
        <v>468</v>
      </c>
      <c r="D2332" t="str">
        <f>"001"</f>
        <v>001</v>
      </c>
      <c r="E2332">
        <v>1987</v>
      </c>
      <c r="F2332">
        <v>345000</v>
      </c>
      <c r="G2332">
        <v>16611400</v>
      </c>
      <c r="H2332">
        <v>16266400</v>
      </c>
    </row>
    <row r="2333" spans="1:9" x14ac:dyDescent="0.25">
      <c r="A2333" t="str">
        <f>"48165"</f>
        <v>48165</v>
      </c>
      <c r="B2333" t="s">
        <v>35</v>
      </c>
      <c r="C2333" t="s">
        <v>468</v>
      </c>
      <c r="D2333" t="str">
        <f>"002"</f>
        <v>002</v>
      </c>
      <c r="E2333">
        <v>1992</v>
      </c>
      <c r="F2333">
        <v>3751800</v>
      </c>
      <c r="G2333">
        <v>27008700</v>
      </c>
      <c r="H2333">
        <v>23256900</v>
      </c>
    </row>
    <row r="2334" spans="1:9" x14ac:dyDescent="0.25">
      <c r="A2334" t="str">
        <f>"48165"</f>
        <v>48165</v>
      </c>
      <c r="B2334" t="s">
        <v>35</v>
      </c>
      <c r="C2334" t="s">
        <v>468</v>
      </c>
      <c r="D2334" t="s">
        <v>13</v>
      </c>
      <c r="E2334" t="s">
        <v>14</v>
      </c>
      <c r="F2334" t="s">
        <v>15</v>
      </c>
      <c r="G2334" t="s">
        <v>15</v>
      </c>
      <c r="H2334" t="s">
        <v>15</v>
      </c>
      <c r="I2334" s="1">
        <v>178559100</v>
      </c>
    </row>
    <row r="2335" spans="1:9" x14ac:dyDescent="0.25">
      <c r="A2335" t="str">
        <f>"48168"</f>
        <v>48168</v>
      </c>
      <c r="B2335" t="s">
        <v>35</v>
      </c>
      <c r="C2335" t="s">
        <v>80</v>
      </c>
      <c r="D2335" t="str">
        <f>"003"</f>
        <v>003</v>
      </c>
      <c r="E2335">
        <v>2009</v>
      </c>
      <c r="F2335">
        <v>4222500</v>
      </c>
      <c r="G2335">
        <v>21609300</v>
      </c>
      <c r="H2335">
        <v>17386800</v>
      </c>
    </row>
    <row r="2336" spans="1:9" x14ac:dyDescent="0.25">
      <c r="A2336" t="str">
        <f>"48168"</f>
        <v>48168</v>
      </c>
      <c r="B2336" t="s">
        <v>35</v>
      </c>
      <c r="C2336" t="s">
        <v>80</v>
      </c>
      <c r="D2336" t="s">
        <v>13</v>
      </c>
      <c r="E2336" t="s">
        <v>14</v>
      </c>
      <c r="F2336" t="s">
        <v>15</v>
      </c>
      <c r="G2336" t="s">
        <v>15</v>
      </c>
      <c r="H2336" t="s">
        <v>15</v>
      </c>
      <c r="I2336" s="1">
        <v>18984000</v>
      </c>
    </row>
    <row r="2337" spans="1:9" x14ac:dyDescent="0.25">
      <c r="A2337" t="s">
        <v>32</v>
      </c>
      <c r="B2337" t="s">
        <v>37</v>
      </c>
      <c r="C2337" t="s">
        <v>34</v>
      </c>
      <c r="D2337" t="s">
        <v>13</v>
      </c>
      <c r="E2337" t="s">
        <v>14</v>
      </c>
      <c r="F2337" t="s">
        <v>15</v>
      </c>
      <c r="G2337" t="s">
        <v>15</v>
      </c>
      <c r="H2337" t="s">
        <v>15</v>
      </c>
      <c r="I2337" s="1">
        <v>685520400</v>
      </c>
    </row>
    <row r="2338" spans="1:9" x14ac:dyDescent="0.25">
      <c r="A2338" t="str">
        <f>"48201"</f>
        <v>48201</v>
      </c>
      <c r="B2338" t="s">
        <v>38</v>
      </c>
      <c r="C2338" t="s">
        <v>971</v>
      </c>
      <c r="D2338" t="str">
        <f>"006"</f>
        <v>006</v>
      </c>
      <c r="E2338">
        <v>2004</v>
      </c>
      <c r="F2338">
        <v>14440900</v>
      </c>
      <c r="G2338">
        <v>26450600</v>
      </c>
      <c r="H2338">
        <v>12009700</v>
      </c>
    </row>
    <row r="2339" spans="1:9" x14ac:dyDescent="0.25">
      <c r="A2339" t="str">
        <f>"48201"</f>
        <v>48201</v>
      </c>
      <c r="B2339" t="s">
        <v>38</v>
      </c>
      <c r="C2339" t="s">
        <v>971</v>
      </c>
      <c r="D2339" t="str">
        <f>"007"</f>
        <v>007</v>
      </c>
      <c r="E2339">
        <v>2010</v>
      </c>
      <c r="F2339">
        <v>3318500</v>
      </c>
      <c r="G2339">
        <v>5574200</v>
      </c>
      <c r="H2339">
        <v>2255700</v>
      </c>
    </row>
    <row r="2340" spans="1:9" x14ac:dyDescent="0.25">
      <c r="A2340" t="str">
        <f>"48201"</f>
        <v>48201</v>
      </c>
      <c r="B2340" t="s">
        <v>38</v>
      </c>
      <c r="C2340" t="s">
        <v>971</v>
      </c>
      <c r="D2340" t="str">
        <f>"008"</f>
        <v>008</v>
      </c>
      <c r="E2340">
        <v>2016</v>
      </c>
      <c r="F2340">
        <v>5044600</v>
      </c>
      <c r="G2340">
        <v>5514900</v>
      </c>
      <c r="H2340">
        <v>470300</v>
      </c>
    </row>
    <row r="2341" spans="1:9" x14ac:dyDescent="0.25">
      <c r="A2341" t="str">
        <f>"48201"</f>
        <v>48201</v>
      </c>
      <c r="B2341" t="s">
        <v>38</v>
      </c>
      <c r="C2341" t="s">
        <v>971</v>
      </c>
      <c r="D2341" t="s">
        <v>13</v>
      </c>
      <c r="E2341" t="s">
        <v>14</v>
      </c>
      <c r="F2341" t="s">
        <v>15</v>
      </c>
      <c r="G2341" t="s">
        <v>15</v>
      </c>
      <c r="H2341" t="s">
        <v>15</v>
      </c>
      <c r="I2341" s="1">
        <v>210709900</v>
      </c>
    </row>
    <row r="2342" spans="1:9" x14ac:dyDescent="0.25">
      <c r="A2342" t="str">
        <f>"48281"</f>
        <v>48281</v>
      </c>
      <c r="B2342" t="s">
        <v>38</v>
      </c>
      <c r="C2342" t="s">
        <v>965</v>
      </c>
      <c r="D2342" t="str">
        <f>"001"</f>
        <v>001</v>
      </c>
      <c r="E2342">
        <v>1993</v>
      </c>
      <c r="F2342">
        <v>17638700</v>
      </c>
      <c r="G2342">
        <v>86846800</v>
      </c>
      <c r="H2342">
        <v>69208100</v>
      </c>
    </row>
    <row r="2343" spans="1:9" x14ac:dyDescent="0.25">
      <c r="A2343" t="str">
        <f>"48281"</f>
        <v>48281</v>
      </c>
      <c r="B2343" t="s">
        <v>38</v>
      </c>
      <c r="C2343" t="s">
        <v>965</v>
      </c>
      <c r="D2343" t="s">
        <v>13</v>
      </c>
      <c r="E2343" t="s">
        <v>14</v>
      </c>
      <c r="F2343" t="s">
        <v>15</v>
      </c>
      <c r="G2343" t="s">
        <v>15</v>
      </c>
      <c r="H2343" t="s">
        <v>15</v>
      </c>
      <c r="I2343" s="1">
        <v>166344000</v>
      </c>
    </row>
    <row r="2344" spans="1:9" x14ac:dyDescent="0.25">
      <c r="A2344" t="s">
        <v>32</v>
      </c>
      <c r="B2344" t="s">
        <v>40</v>
      </c>
      <c r="C2344" t="s">
        <v>34</v>
      </c>
      <c r="D2344" t="s">
        <v>13</v>
      </c>
      <c r="E2344" t="s">
        <v>14</v>
      </c>
      <c r="F2344" t="s">
        <v>15</v>
      </c>
      <c r="G2344" t="s">
        <v>15</v>
      </c>
      <c r="H2344" t="s">
        <v>15</v>
      </c>
      <c r="I2344" s="1">
        <v>377053900</v>
      </c>
    </row>
    <row r="2345" spans="1:9" x14ac:dyDescent="0.25">
      <c r="A2345" t="s">
        <v>32</v>
      </c>
      <c r="B2345" t="s">
        <v>41</v>
      </c>
      <c r="C2345" t="s">
        <v>972</v>
      </c>
      <c r="D2345" t="s">
        <v>13</v>
      </c>
      <c r="E2345" t="s">
        <v>14</v>
      </c>
      <c r="F2345" t="s">
        <v>15</v>
      </c>
      <c r="G2345" t="s">
        <v>15</v>
      </c>
      <c r="H2345" t="s">
        <v>15</v>
      </c>
      <c r="I2345" s="1">
        <v>4914777600</v>
      </c>
    </row>
    <row r="2346" spans="1:9" x14ac:dyDescent="0.25">
      <c r="A2346" t="str">
        <f>"49002"</f>
        <v>49002</v>
      </c>
      <c r="B2346" t="s">
        <v>11</v>
      </c>
      <c r="C2346" t="s">
        <v>973</v>
      </c>
      <c r="D2346" t="s">
        <v>13</v>
      </c>
      <c r="E2346" t="s">
        <v>14</v>
      </c>
      <c r="F2346" t="s">
        <v>15</v>
      </c>
      <c r="G2346" t="s">
        <v>15</v>
      </c>
      <c r="H2346" t="s">
        <v>15</v>
      </c>
      <c r="I2346" s="1">
        <v>92518700</v>
      </c>
    </row>
    <row r="2347" spans="1:9" x14ac:dyDescent="0.25">
      <c r="A2347" t="str">
        <f>"49004"</f>
        <v>49004</v>
      </c>
      <c r="B2347" t="s">
        <v>11</v>
      </c>
      <c r="C2347" t="s">
        <v>974</v>
      </c>
      <c r="D2347" t="s">
        <v>13</v>
      </c>
      <c r="E2347" t="s">
        <v>14</v>
      </c>
      <c r="F2347" t="s">
        <v>15</v>
      </c>
      <c r="G2347" t="s">
        <v>15</v>
      </c>
      <c r="H2347" t="s">
        <v>15</v>
      </c>
      <c r="I2347" s="1">
        <v>58934400</v>
      </c>
    </row>
    <row r="2348" spans="1:9" x14ac:dyDescent="0.25">
      <c r="A2348" t="str">
        <f>"49006"</f>
        <v>49006</v>
      </c>
      <c r="B2348" t="s">
        <v>11</v>
      </c>
      <c r="C2348" t="s">
        <v>975</v>
      </c>
      <c r="D2348" t="s">
        <v>13</v>
      </c>
      <c r="E2348" t="s">
        <v>14</v>
      </c>
      <c r="F2348" t="s">
        <v>15</v>
      </c>
      <c r="G2348" t="s">
        <v>15</v>
      </c>
      <c r="H2348" t="s">
        <v>15</v>
      </c>
      <c r="I2348" s="1">
        <v>149652900</v>
      </c>
    </row>
    <row r="2349" spans="1:9" x14ac:dyDescent="0.25">
      <c r="A2349" t="str">
        <f>"49008"</f>
        <v>49008</v>
      </c>
      <c r="B2349" t="s">
        <v>11</v>
      </c>
      <c r="C2349" t="s">
        <v>674</v>
      </c>
      <c r="D2349" t="s">
        <v>13</v>
      </c>
      <c r="E2349" t="s">
        <v>14</v>
      </c>
      <c r="F2349" t="s">
        <v>15</v>
      </c>
      <c r="G2349" t="s">
        <v>15</v>
      </c>
      <c r="H2349" t="s">
        <v>15</v>
      </c>
      <c r="I2349" s="1">
        <v>66407300</v>
      </c>
    </row>
    <row r="2350" spans="1:9" x14ac:dyDescent="0.25">
      <c r="A2350" t="str">
        <f>"49010"</f>
        <v>49010</v>
      </c>
      <c r="B2350" t="s">
        <v>11</v>
      </c>
      <c r="C2350" t="s">
        <v>976</v>
      </c>
      <c r="D2350" t="s">
        <v>13</v>
      </c>
      <c r="E2350" t="s">
        <v>14</v>
      </c>
      <c r="F2350" t="s">
        <v>15</v>
      </c>
      <c r="G2350" t="s">
        <v>15</v>
      </c>
      <c r="H2350" t="s">
        <v>15</v>
      </c>
      <c r="I2350" s="1">
        <v>111792800</v>
      </c>
    </row>
    <row r="2351" spans="1:9" x14ac:dyDescent="0.25">
      <c r="A2351" t="str">
        <f>"49012"</f>
        <v>49012</v>
      </c>
      <c r="B2351" t="s">
        <v>11</v>
      </c>
      <c r="C2351" t="s">
        <v>977</v>
      </c>
      <c r="D2351" t="s">
        <v>13</v>
      </c>
      <c r="E2351" t="s">
        <v>14</v>
      </c>
      <c r="F2351" t="s">
        <v>15</v>
      </c>
      <c r="G2351" t="s">
        <v>15</v>
      </c>
      <c r="H2351" t="s">
        <v>15</v>
      </c>
      <c r="I2351" s="1">
        <v>162649500</v>
      </c>
    </row>
    <row r="2352" spans="1:9" x14ac:dyDescent="0.25">
      <c r="A2352" t="str">
        <f>"49014"</f>
        <v>49014</v>
      </c>
      <c r="B2352" t="s">
        <v>11</v>
      </c>
      <c r="C2352" t="s">
        <v>154</v>
      </c>
      <c r="D2352" t="s">
        <v>13</v>
      </c>
      <c r="E2352" t="s">
        <v>14</v>
      </c>
      <c r="F2352" t="s">
        <v>15</v>
      </c>
      <c r="G2352" t="s">
        <v>15</v>
      </c>
      <c r="H2352" t="s">
        <v>15</v>
      </c>
      <c r="I2352" s="1">
        <v>120363700</v>
      </c>
    </row>
    <row r="2353" spans="1:9" x14ac:dyDescent="0.25">
      <c r="A2353" t="str">
        <f>"49016"</f>
        <v>49016</v>
      </c>
      <c r="B2353" t="s">
        <v>11</v>
      </c>
      <c r="C2353" t="s">
        <v>744</v>
      </c>
      <c r="D2353" t="s">
        <v>13</v>
      </c>
      <c r="E2353" t="s">
        <v>14</v>
      </c>
      <c r="F2353" t="s">
        <v>15</v>
      </c>
      <c r="G2353" t="s">
        <v>15</v>
      </c>
      <c r="H2353" t="s">
        <v>15</v>
      </c>
      <c r="I2353" s="1">
        <v>121431500</v>
      </c>
    </row>
    <row r="2354" spans="1:9" x14ac:dyDescent="0.25">
      <c r="A2354" t="str">
        <f>"49018"</f>
        <v>49018</v>
      </c>
      <c r="B2354" t="s">
        <v>11</v>
      </c>
      <c r="C2354" t="s">
        <v>221</v>
      </c>
      <c r="D2354" t="s">
        <v>13</v>
      </c>
      <c r="E2354" t="s">
        <v>14</v>
      </c>
      <c r="F2354" t="s">
        <v>15</v>
      </c>
      <c r="G2354" t="s">
        <v>15</v>
      </c>
      <c r="H2354" t="s">
        <v>15</v>
      </c>
      <c r="I2354" s="1">
        <v>177230000</v>
      </c>
    </row>
    <row r="2355" spans="1:9" x14ac:dyDescent="0.25">
      <c r="A2355" t="str">
        <f>"49020"</f>
        <v>49020</v>
      </c>
      <c r="B2355" t="s">
        <v>11</v>
      </c>
      <c r="C2355" t="s">
        <v>754</v>
      </c>
      <c r="D2355" t="s">
        <v>13</v>
      </c>
      <c r="E2355" t="s">
        <v>14</v>
      </c>
      <c r="F2355" t="s">
        <v>15</v>
      </c>
      <c r="G2355" t="s">
        <v>15</v>
      </c>
      <c r="H2355" t="s">
        <v>15</v>
      </c>
      <c r="I2355" s="1">
        <v>453903000</v>
      </c>
    </row>
    <row r="2356" spans="1:9" x14ac:dyDescent="0.25">
      <c r="A2356" t="str">
        <f>"49022"</f>
        <v>49022</v>
      </c>
      <c r="B2356" t="s">
        <v>11</v>
      </c>
      <c r="C2356" t="s">
        <v>978</v>
      </c>
      <c r="D2356" t="s">
        <v>13</v>
      </c>
      <c r="E2356" t="s">
        <v>14</v>
      </c>
      <c r="F2356" t="s">
        <v>15</v>
      </c>
      <c r="G2356" t="s">
        <v>15</v>
      </c>
      <c r="H2356" t="s">
        <v>15</v>
      </c>
      <c r="I2356" s="1">
        <v>141718700</v>
      </c>
    </row>
    <row r="2357" spans="1:9" x14ac:dyDescent="0.25">
      <c r="A2357" t="str">
        <f>"49024"</f>
        <v>49024</v>
      </c>
      <c r="B2357" t="s">
        <v>11</v>
      </c>
      <c r="C2357" t="s">
        <v>979</v>
      </c>
      <c r="D2357" t="s">
        <v>13</v>
      </c>
      <c r="E2357" t="s">
        <v>14</v>
      </c>
      <c r="F2357" t="s">
        <v>15</v>
      </c>
      <c r="G2357" t="s">
        <v>15</v>
      </c>
      <c r="H2357" t="s">
        <v>15</v>
      </c>
      <c r="I2357" s="1">
        <v>122818500</v>
      </c>
    </row>
    <row r="2358" spans="1:9" x14ac:dyDescent="0.25">
      <c r="A2358" t="str">
        <f>"49026"</f>
        <v>49026</v>
      </c>
      <c r="B2358" t="s">
        <v>11</v>
      </c>
      <c r="C2358" t="s">
        <v>980</v>
      </c>
      <c r="D2358" t="s">
        <v>13</v>
      </c>
      <c r="E2358" t="s">
        <v>14</v>
      </c>
      <c r="F2358" t="s">
        <v>15</v>
      </c>
      <c r="G2358" t="s">
        <v>15</v>
      </c>
      <c r="H2358" t="s">
        <v>15</v>
      </c>
      <c r="I2358" s="1">
        <v>94710500</v>
      </c>
    </row>
    <row r="2359" spans="1:9" x14ac:dyDescent="0.25">
      <c r="A2359" t="str">
        <f>"49028"</f>
        <v>49028</v>
      </c>
      <c r="B2359" t="s">
        <v>11</v>
      </c>
      <c r="C2359" t="s">
        <v>981</v>
      </c>
      <c r="D2359" t="s">
        <v>13</v>
      </c>
      <c r="E2359" t="s">
        <v>14</v>
      </c>
      <c r="F2359" t="s">
        <v>15</v>
      </c>
      <c r="G2359" t="s">
        <v>15</v>
      </c>
      <c r="H2359" t="s">
        <v>15</v>
      </c>
      <c r="I2359" s="1">
        <v>55994500</v>
      </c>
    </row>
    <row r="2360" spans="1:9" x14ac:dyDescent="0.25">
      <c r="A2360" t="str">
        <f>"49030"</f>
        <v>49030</v>
      </c>
      <c r="B2360" t="s">
        <v>11</v>
      </c>
      <c r="C2360" t="s">
        <v>761</v>
      </c>
      <c r="D2360" t="s">
        <v>13</v>
      </c>
      <c r="E2360" t="s">
        <v>14</v>
      </c>
      <c r="F2360" t="s">
        <v>15</v>
      </c>
      <c r="G2360" t="s">
        <v>15</v>
      </c>
      <c r="H2360" t="s">
        <v>15</v>
      </c>
      <c r="I2360" s="1">
        <v>205383700</v>
      </c>
    </row>
    <row r="2361" spans="1:9" x14ac:dyDescent="0.25">
      <c r="A2361" t="str">
        <f>"49032"</f>
        <v>49032</v>
      </c>
      <c r="B2361" t="s">
        <v>11</v>
      </c>
      <c r="C2361" t="s">
        <v>982</v>
      </c>
      <c r="D2361" t="s">
        <v>13</v>
      </c>
      <c r="E2361" t="s">
        <v>14</v>
      </c>
      <c r="F2361" t="s">
        <v>15</v>
      </c>
      <c r="G2361" t="s">
        <v>15</v>
      </c>
      <c r="H2361" t="s">
        <v>15</v>
      </c>
      <c r="I2361" s="1">
        <v>209897700</v>
      </c>
    </row>
    <row r="2362" spans="1:9" x14ac:dyDescent="0.25">
      <c r="A2362" t="str">
        <f>"49034"</f>
        <v>49034</v>
      </c>
      <c r="B2362" t="s">
        <v>11</v>
      </c>
      <c r="C2362" t="s">
        <v>983</v>
      </c>
      <c r="D2362" t="s">
        <v>13</v>
      </c>
      <c r="E2362" t="s">
        <v>14</v>
      </c>
      <c r="F2362" t="s">
        <v>15</v>
      </c>
      <c r="G2362" t="s">
        <v>15</v>
      </c>
      <c r="H2362" t="s">
        <v>15</v>
      </c>
      <c r="I2362" s="1">
        <v>297986800</v>
      </c>
    </row>
    <row r="2363" spans="1:9" x14ac:dyDescent="0.25">
      <c r="A2363" t="s">
        <v>32</v>
      </c>
      <c r="B2363" t="s">
        <v>33</v>
      </c>
      <c r="C2363" t="s">
        <v>34</v>
      </c>
      <c r="D2363" t="s">
        <v>13</v>
      </c>
      <c r="E2363" t="s">
        <v>14</v>
      </c>
      <c r="F2363" t="s">
        <v>15</v>
      </c>
      <c r="G2363" t="s">
        <v>15</v>
      </c>
      <c r="H2363" t="s">
        <v>15</v>
      </c>
      <c r="I2363" s="1">
        <v>2643394200</v>
      </c>
    </row>
    <row r="2364" spans="1:9" x14ac:dyDescent="0.25">
      <c r="A2364" t="str">
        <f>"49101"</f>
        <v>49101</v>
      </c>
      <c r="B2364" t="s">
        <v>35</v>
      </c>
      <c r="C2364" t="s">
        <v>974</v>
      </c>
      <c r="D2364" t="s">
        <v>13</v>
      </c>
      <c r="E2364" t="s">
        <v>14</v>
      </c>
      <c r="F2364" t="s">
        <v>15</v>
      </c>
      <c r="G2364" t="s">
        <v>15</v>
      </c>
      <c r="H2364" t="s">
        <v>15</v>
      </c>
      <c r="I2364" s="1">
        <v>21529500</v>
      </c>
    </row>
    <row r="2365" spans="1:9" x14ac:dyDescent="0.25">
      <c r="A2365" t="str">
        <f>"49102"</f>
        <v>49102</v>
      </c>
      <c r="B2365" t="s">
        <v>35</v>
      </c>
      <c r="C2365" t="s">
        <v>975</v>
      </c>
      <c r="D2365" t="str">
        <f>"002"</f>
        <v>002</v>
      </c>
      <c r="E2365">
        <v>2003</v>
      </c>
      <c r="F2365">
        <v>17200</v>
      </c>
      <c r="G2365">
        <v>741300</v>
      </c>
      <c r="H2365">
        <v>724100</v>
      </c>
    </row>
    <row r="2366" spans="1:9" x14ac:dyDescent="0.25">
      <c r="A2366" t="str">
        <f>"49102"</f>
        <v>49102</v>
      </c>
      <c r="B2366" t="s">
        <v>35</v>
      </c>
      <c r="C2366" t="s">
        <v>975</v>
      </c>
      <c r="D2366" t="s">
        <v>13</v>
      </c>
      <c r="E2366" t="s">
        <v>14</v>
      </c>
      <c r="F2366" t="s">
        <v>15</v>
      </c>
      <c r="G2366" t="s">
        <v>15</v>
      </c>
      <c r="H2366" t="s">
        <v>15</v>
      </c>
      <c r="I2366" s="1">
        <v>69582100</v>
      </c>
    </row>
    <row r="2367" spans="1:9" x14ac:dyDescent="0.25">
      <c r="A2367" t="str">
        <f>"49103"</f>
        <v>49103</v>
      </c>
      <c r="B2367" t="s">
        <v>35</v>
      </c>
      <c r="C2367" t="s">
        <v>984</v>
      </c>
      <c r="D2367" t="s">
        <v>13</v>
      </c>
      <c r="E2367" t="s">
        <v>14</v>
      </c>
      <c r="F2367" t="s">
        <v>15</v>
      </c>
      <c r="G2367" t="s">
        <v>15</v>
      </c>
      <c r="H2367" t="s">
        <v>15</v>
      </c>
      <c r="I2367" s="1">
        <v>31619700</v>
      </c>
    </row>
    <row r="2368" spans="1:9" x14ac:dyDescent="0.25">
      <c r="A2368" t="str">
        <f>"49141"</f>
        <v>49141</v>
      </c>
      <c r="B2368" t="s">
        <v>35</v>
      </c>
      <c r="C2368" t="s">
        <v>985</v>
      </c>
      <c r="D2368" t="str">
        <f>"001"</f>
        <v>001</v>
      </c>
      <c r="E2368">
        <v>2008</v>
      </c>
      <c r="F2368">
        <v>1345400</v>
      </c>
      <c r="G2368">
        <v>2418400</v>
      </c>
      <c r="H2368">
        <v>1073000</v>
      </c>
    </row>
    <row r="2369" spans="1:9" x14ac:dyDescent="0.25">
      <c r="A2369" t="str">
        <f>"49141"</f>
        <v>49141</v>
      </c>
      <c r="B2369" t="s">
        <v>35</v>
      </c>
      <c r="C2369" t="s">
        <v>985</v>
      </c>
      <c r="D2369" t="s">
        <v>13</v>
      </c>
      <c r="E2369" t="s">
        <v>14</v>
      </c>
      <c r="F2369" t="s">
        <v>15</v>
      </c>
      <c r="G2369" t="s">
        <v>15</v>
      </c>
      <c r="H2369" t="s">
        <v>15</v>
      </c>
      <c r="I2369" s="1">
        <v>18513900</v>
      </c>
    </row>
    <row r="2370" spans="1:9" x14ac:dyDescent="0.25">
      <c r="A2370" t="str">
        <f>"49151"</f>
        <v>49151</v>
      </c>
      <c r="B2370" t="s">
        <v>35</v>
      </c>
      <c r="C2370" t="s">
        <v>986</v>
      </c>
      <c r="D2370" t="s">
        <v>13</v>
      </c>
      <c r="E2370" t="s">
        <v>14</v>
      </c>
      <c r="F2370" t="s">
        <v>15</v>
      </c>
      <c r="G2370" t="s">
        <v>15</v>
      </c>
      <c r="H2370" t="s">
        <v>15</v>
      </c>
      <c r="I2370" s="1">
        <v>0</v>
      </c>
    </row>
    <row r="2371" spans="1:9" x14ac:dyDescent="0.25">
      <c r="A2371" t="str">
        <f>"49161"</f>
        <v>49161</v>
      </c>
      <c r="B2371" t="s">
        <v>35</v>
      </c>
      <c r="C2371" t="s">
        <v>987</v>
      </c>
      <c r="D2371" t="s">
        <v>13</v>
      </c>
      <c r="E2371" t="s">
        <v>14</v>
      </c>
      <c r="F2371" t="s">
        <v>15</v>
      </c>
      <c r="G2371" t="s">
        <v>15</v>
      </c>
      <c r="H2371" t="s">
        <v>15</v>
      </c>
      <c r="I2371" s="1">
        <v>11726700</v>
      </c>
    </row>
    <row r="2372" spans="1:9" x14ac:dyDescent="0.25">
      <c r="A2372" t="str">
        <f>"49171"</f>
        <v>49171</v>
      </c>
      <c r="B2372" t="s">
        <v>35</v>
      </c>
      <c r="C2372" t="s">
        <v>988</v>
      </c>
      <c r="D2372" t="s">
        <v>13</v>
      </c>
      <c r="E2372" t="s">
        <v>14</v>
      </c>
      <c r="F2372" t="s">
        <v>15</v>
      </c>
      <c r="G2372" t="s">
        <v>15</v>
      </c>
      <c r="H2372" t="s">
        <v>15</v>
      </c>
      <c r="I2372" s="1">
        <v>56189900</v>
      </c>
    </row>
    <row r="2373" spans="1:9" x14ac:dyDescent="0.25">
      <c r="A2373" t="str">
        <f t="shared" ref="A2373:A2378" si="53">"49173"</f>
        <v>49173</v>
      </c>
      <c r="B2373" t="s">
        <v>35</v>
      </c>
      <c r="C2373" t="s">
        <v>761</v>
      </c>
      <c r="D2373" t="str">
        <f>"003"</f>
        <v>003</v>
      </c>
      <c r="E2373">
        <v>2003</v>
      </c>
      <c r="F2373">
        <v>532100</v>
      </c>
      <c r="G2373">
        <v>22851600</v>
      </c>
      <c r="H2373">
        <v>22319500</v>
      </c>
    </row>
    <row r="2374" spans="1:9" x14ac:dyDescent="0.25">
      <c r="A2374" t="str">
        <f t="shared" si="53"/>
        <v>49173</v>
      </c>
      <c r="B2374" t="s">
        <v>35</v>
      </c>
      <c r="C2374" t="s">
        <v>761</v>
      </c>
      <c r="D2374" t="str">
        <f>"004"</f>
        <v>004</v>
      </c>
      <c r="E2374">
        <v>2004</v>
      </c>
      <c r="F2374">
        <v>16780000</v>
      </c>
      <c r="G2374">
        <v>55926400</v>
      </c>
      <c r="H2374">
        <v>39146400</v>
      </c>
    </row>
    <row r="2375" spans="1:9" x14ac:dyDescent="0.25">
      <c r="A2375" t="str">
        <f t="shared" si="53"/>
        <v>49173</v>
      </c>
      <c r="B2375" t="s">
        <v>35</v>
      </c>
      <c r="C2375" t="s">
        <v>761</v>
      </c>
      <c r="D2375" t="str">
        <f>"005"</f>
        <v>005</v>
      </c>
      <c r="E2375">
        <v>2005</v>
      </c>
      <c r="F2375">
        <v>2951500</v>
      </c>
      <c r="G2375">
        <v>19825800</v>
      </c>
      <c r="H2375">
        <v>16874300</v>
      </c>
    </row>
    <row r="2376" spans="1:9" x14ac:dyDescent="0.25">
      <c r="A2376" t="str">
        <f t="shared" si="53"/>
        <v>49173</v>
      </c>
      <c r="B2376" t="s">
        <v>35</v>
      </c>
      <c r="C2376" t="s">
        <v>761</v>
      </c>
      <c r="D2376" t="str">
        <f>"006"</f>
        <v>006</v>
      </c>
      <c r="E2376">
        <v>2010</v>
      </c>
      <c r="F2376">
        <v>3300</v>
      </c>
      <c r="G2376">
        <v>11304800</v>
      </c>
      <c r="H2376">
        <v>11301500</v>
      </c>
    </row>
    <row r="2377" spans="1:9" x14ac:dyDescent="0.25">
      <c r="A2377" t="str">
        <f t="shared" si="53"/>
        <v>49173</v>
      </c>
      <c r="B2377" t="s">
        <v>35</v>
      </c>
      <c r="C2377" t="s">
        <v>761</v>
      </c>
      <c r="D2377" t="str">
        <f>"007"</f>
        <v>007</v>
      </c>
      <c r="E2377">
        <v>2013</v>
      </c>
      <c r="F2377">
        <v>2637300</v>
      </c>
      <c r="G2377">
        <v>4952900</v>
      </c>
      <c r="H2377">
        <v>2315600</v>
      </c>
    </row>
    <row r="2378" spans="1:9" x14ac:dyDescent="0.25">
      <c r="A2378" t="str">
        <f t="shared" si="53"/>
        <v>49173</v>
      </c>
      <c r="B2378" t="s">
        <v>35</v>
      </c>
      <c r="C2378" t="s">
        <v>761</v>
      </c>
      <c r="D2378" t="s">
        <v>13</v>
      </c>
      <c r="E2378" t="s">
        <v>14</v>
      </c>
      <c r="F2378" t="s">
        <v>15</v>
      </c>
      <c r="G2378" t="s">
        <v>15</v>
      </c>
      <c r="H2378" t="s">
        <v>15</v>
      </c>
      <c r="I2378" s="1">
        <v>1130877300</v>
      </c>
    </row>
    <row r="2379" spans="1:9" x14ac:dyDescent="0.25">
      <c r="A2379" t="str">
        <f>"49176"</f>
        <v>49176</v>
      </c>
      <c r="B2379" t="s">
        <v>35</v>
      </c>
      <c r="C2379" t="s">
        <v>989</v>
      </c>
      <c r="D2379" t="s">
        <v>13</v>
      </c>
      <c r="E2379" t="s">
        <v>14</v>
      </c>
      <c r="F2379" t="s">
        <v>15</v>
      </c>
      <c r="G2379" t="s">
        <v>15</v>
      </c>
      <c r="H2379" t="s">
        <v>15</v>
      </c>
      <c r="I2379" s="1">
        <v>22406600</v>
      </c>
    </row>
    <row r="2380" spans="1:9" x14ac:dyDescent="0.25">
      <c r="A2380" t="str">
        <f>"49191"</f>
        <v>49191</v>
      </c>
      <c r="B2380" t="s">
        <v>35</v>
      </c>
      <c r="C2380" t="s">
        <v>990</v>
      </c>
      <c r="D2380" t="str">
        <f>"001"</f>
        <v>001</v>
      </c>
      <c r="E2380">
        <v>1994</v>
      </c>
      <c r="F2380">
        <v>1704800</v>
      </c>
      <c r="G2380">
        <v>3141400</v>
      </c>
      <c r="H2380">
        <v>1436600</v>
      </c>
    </row>
    <row r="2381" spans="1:9" x14ac:dyDescent="0.25">
      <c r="A2381" t="str">
        <f>"49191"</f>
        <v>49191</v>
      </c>
      <c r="B2381" t="s">
        <v>35</v>
      </c>
      <c r="C2381" t="s">
        <v>990</v>
      </c>
      <c r="D2381" t="s">
        <v>13</v>
      </c>
      <c r="E2381" t="s">
        <v>14</v>
      </c>
      <c r="F2381" t="s">
        <v>15</v>
      </c>
      <c r="G2381" t="s">
        <v>15</v>
      </c>
      <c r="H2381" t="s">
        <v>15</v>
      </c>
      <c r="I2381" s="1">
        <v>131313900</v>
      </c>
    </row>
    <row r="2382" spans="1:9" x14ac:dyDescent="0.25">
      <c r="A2382" t="s">
        <v>32</v>
      </c>
      <c r="B2382" t="s">
        <v>37</v>
      </c>
      <c r="C2382" t="s">
        <v>34</v>
      </c>
      <c r="D2382" t="s">
        <v>13</v>
      </c>
      <c r="E2382" t="s">
        <v>14</v>
      </c>
      <c r="F2382" t="s">
        <v>15</v>
      </c>
      <c r="G2382" t="s">
        <v>15</v>
      </c>
      <c r="H2382" t="s">
        <v>15</v>
      </c>
      <c r="I2382" s="1">
        <v>1493759600</v>
      </c>
    </row>
    <row r="2383" spans="1:9" x14ac:dyDescent="0.25">
      <c r="A2383" t="str">
        <f t="shared" ref="A2383:A2388" si="54">"49281"</f>
        <v>49281</v>
      </c>
      <c r="B2383" t="s">
        <v>38</v>
      </c>
      <c r="C2383" t="s">
        <v>991</v>
      </c>
      <c r="D2383" t="str">
        <f>"005"</f>
        <v>005</v>
      </c>
      <c r="E2383">
        <v>2005</v>
      </c>
      <c r="F2383">
        <v>37940700</v>
      </c>
      <c r="G2383">
        <v>120333300</v>
      </c>
      <c r="H2383">
        <v>82392600</v>
      </c>
    </row>
    <row r="2384" spans="1:9" x14ac:dyDescent="0.25">
      <c r="A2384" t="str">
        <f t="shared" si="54"/>
        <v>49281</v>
      </c>
      <c r="B2384" t="s">
        <v>38</v>
      </c>
      <c r="C2384" t="s">
        <v>991</v>
      </c>
      <c r="D2384" t="str">
        <f>"006"</f>
        <v>006</v>
      </c>
      <c r="E2384">
        <v>2006</v>
      </c>
      <c r="F2384">
        <v>46305600</v>
      </c>
      <c r="G2384">
        <v>58199700</v>
      </c>
      <c r="H2384">
        <v>11894100</v>
      </c>
    </row>
    <row r="2385" spans="1:9" x14ac:dyDescent="0.25">
      <c r="A2385" t="str">
        <f t="shared" si="54"/>
        <v>49281</v>
      </c>
      <c r="B2385" t="s">
        <v>38</v>
      </c>
      <c r="C2385" t="s">
        <v>991</v>
      </c>
      <c r="D2385" t="str">
        <f>"007"</f>
        <v>007</v>
      </c>
      <c r="E2385">
        <v>2008</v>
      </c>
      <c r="F2385">
        <v>10913900</v>
      </c>
      <c r="G2385">
        <v>40155100</v>
      </c>
      <c r="H2385">
        <v>29241200</v>
      </c>
    </row>
    <row r="2386" spans="1:9" x14ac:dyDescent="0.25">
      <c r="A2386" t="str">
        <f t="shared" si="54"/>
        <v>49281</v>
      </c>
      <c r="B2386" t="s">
        <v>38</v>
      </c>
      <c r="C2386" t="s">
        <v>991</v>
      </c>
      <c r="D2386" t="str">
        <f>"008"</f>
        <v>008</v>
      </c>
      <c r="E2386">
        <v>2010</v>
      </c>
      <c r="F2386">
        <v>19785300</v>
      </c>
      <c r="G2386">
        <v>28487000</v>
      </c>
      <c r="H2386">
        <v>8701700</v>
      </c>
    </row>
    <row r="2387" spans="1:9" x14ac:dyDescent="0.25">
      <c r="A2387" t="str">
        <f t="shared" si="54"/>
        <v>49281</v>
      </c>
      <c r="B2387" t="s">
        <v>38</v>
      </c>
      <c r="C2387" t="s">
        <v>991</v>
      </c>
      <c r="D2387" t="str">
        <f>"009"</f>
        <v>009</v>
      </c>
      <c r="E2387">
        <v>2013</v>
      </c>
      <c r="F2387">
        <v>58229400</v>
      </c>
      <c r="G2387">
        <v>159537400</v>
      </c>
      <c r="H2387">
        <v>101308000</v>
      </c>
    </row>
    <row r="2388" spans="1:9" x14ac:dyDescent="0.25">
      <c r="A2388" t="str">
        <f t="shared" si="54"/>
        <v>49281</v>
      </c>
      <c r="B2388" t="s">
        <v>38</v>
      </c>
      <c r="C2388" t="s">
        <v>991</v>
      </c>
      <c r="D2388" t="s">
        <v>13</v>
      </c>
      <c r="E2388" t="s">
        <v>14</v>
      </c>
      <c r="F2388" t="s">
        <v>15</v>
      </c>
      <c r="G2388" t="s">
        <v>15</v>
      </c>
      <c r="H2388" t="s">
        <v>15</v>
      </c>
      <c r="I2388" s="1">
        <v>1887593000</v>
      </c>
    </row>
    <row r="2389" spans="1:9" x14ac:dyDescent="0.25">
      <c r="A2389" t="s">
        <v>32</v>
      </c>
      <c r="B2389" t="s">
        <v>40</v>
      </c>
      <c r="C2389" t="s">
        <v>34</v>
      </c>
      <c r="D2389" t="s">
        <v>13</v>
      </c>
      <c r="E2389" t="s">
        <v>14</v>
      </c>
      <c r="F2389" t="s">
        <v>15</v>
      </c>
      <c r="G2389" t="s">
        <v>15</v>
      </c>
      <c r="H2389" t="s">
        <v>15</v>
      </c>
      <c r="I2389" s="1">
        <v>1887593000</v>
      </c>
    </row>
    <row r="2390" spans="1:9" x14ac:dyDescent="0.25">
      <c r="A2390" t="s">
        <v>32</v>
      </c>
      <c r="B2390" t="s">
        <v>41</v>
      </c>
      <c r="C2390" t="s">
        <v>280</v>
      </c>
      <c r="D2390" t="s">
        <v>13</v>
      </c>
      <c r="E2390" t="s">
        <v>14</v>
      </c>
      <c r="F2390" t="s">
        <v>15</v>
      </c>
      <c r="G2390" t="s">
        <v>15</v>
      </c>
      <c r="H2390" t="s">
        <v>15</v>
      </c>
      <c r="I2390" s="1">
        <v>6024746800</v>
      </c>
    </row>
    <row r="2391" spans="1:9" x14ac:dyDescent="0.25">
      <c r="A2391" t="str">
        <f>"50002"</f>
        <v>50002</v>
      </c>
      <c r="B2391" t="s">
        <v>11</v>
      </c>
      <c r="C2391" t="s">
        <v>992</v>
      </c>
      <c r="D2391" t="s">
        <v>13</v>
      </c>
      <c r="E2391" t="s">
        <v>14</v>
      </c>
      <c r="F2391" t="s">
        <v>15</v>
      </c>
      <c r="G2391" t="s">
        <v>15</v>
      </c>
      <c r="H2391" t="s">
        <v>15</v>
      </c>
      <c r="I2391" s="1">
        <v>24770700</v>
      </c>
    </row>
    <row r="2392" spans="1:9" x14ac:dyDescent="0.25">
      <c r="A2392" t="str">
        <f>"50004"</f>
        <v>50004</v>
      </c>
      <c r="B2392" t="s">
        <v>11</v>
      </c>
      <c r="C2392" t="s">
        <v>993</v>
      </c>
      <c r="D2392" t="s">
        <v>13</v>
      </c>
      <c r="E2392" t="s">
        <v>14</v>
      </c>
      <c r="F2392" t="s">
        <v>15</v>
      </c>
      <c r="G2392" t="s">
        <v>15</v>
      </c>
      <c r="H2392" t="s">
        <v>15</v>
      </c>
      <c r="I2392" s="1">
        <v>64016300</v>
      </c>
    </row>
    <row r="2393" spans="1:9" x14ac:dyDescent="0.25">
      <c r="A2393" t="str">
        <f>"50006"</f>
        <v>50006</v>
      </c>
      <c r="B2393" t="s">
        <v>11</v>
      </c>
      <c r="C2393" t="s">
        <v>994</v>
      </c>
      <c r="D2393" t="s">
        <v>13</v>
      </c>
      <c r="E2393" t="s">
        <v>14</v>
      </c>
      <c r="F2393" t="s">
        <v>15</v>
      </c>
      <c r="G2393" t="s">
        <v>15</v>
      </c>
      <c r="H2393" t="s">
        <v>15</v>
      </c>
      <c r="I2393" s="1">
        <v>147484300</v>
      </c>
    </row>
    <row r="2394" spans="1:9" x14ac:dyDescent="0.25">
      <c r="A2394" t="str">
        <f>"50008"</f>
        <v>50008</v>
      </c>
      <c r="B2394" t="s">
        <v>11</v>
      </c>
      <c r="C2394" t="s">
        <v>995</v>
      </c>
      <c r="D2394" t="s">
        <v>13</v>
      </c>
      <c r="E2394" t="s">
        <v>14</v>
      </c>
      <c r="F2394" t="s">
        <v>15</v>
      </c>
      <c r="G2394" t="s">
        <v>15</v>
      </c>
      <c r="H2394" t="s">
        <v>15</v>
      </c>
      <c r="I2394" s="1">
        <v>35684000</v>
      </c>
    </row>
    <row r="2395" spans="1:9" x14ac:dyDescent="0.25">
      <c r="A2395" t="str">
        <f>"50010"</f>
        <v>50010</v>
      </c>
      <c r="B2395" t="s">
        <v>11</v>
      </c>
      <c r="C2395" t="s">
        <v>996</v>
      </c>
      <c r="D2395" t="s">
        <v>13</v>
      </c>
      <c r="E2395" t="s">
        <v>14</v>
      </c>
      <c r="F2395" t="s">
        <v>15</v>
      </c>
      <c r="G2395" t="s">
        <v>15</v>
      </c>
      <c r="H2395" t="s">
        <v>15</v>
      </c>
      <c r="I2395" s="1">
        <v>173399500</v>
      </c>
    </row>
    <row r="2396" spans="1:9" x14ac:dyDescent="0.25">
      <c r="A2396" t="str">
        <f>"50012"</f>
        <v>50012</v>
      </c>
      <c r="B2396" t="s">
        <v>11</v>
      </c>
      <c r="C2396" t="s">
        <v>997</v>
      </c>
      <c r="D2396" t="s">
        <v>13</v>
      </c>
      <c r="E2396" t="s">
        <v>14</v>
      </c>
      <c r="F2396" t="s">
        <v>15</v>
      </c>
      <c r="G2396" t="s">
        <v>15</v>
      </c>
      <c r="H2396" t="s">
        <v>15</v>
      </c>
      <c r="I2396" s="1">
        <v>71134000</v>
      </c>
    </row>
    <row r="2397" spans="1:9" x14ac:dyDescent="0.25">
      <c r="A2397" t="str">
        <f>"50014"</f>
        <v>50014</v>
      </c>
      <c r="B2397" t="s">
        <v>11</v>
      </c>
      <c r="C2397" t="s">
        <v>958</v>
      </c>
      <c r="D2397" t="s">
        <v>13</v>
      </c>
      <c r="E2397" t="s">
        <v>14</v>
      </c>
      <c r="F2397" t="s">
        <v>15</v>
      </c>
      <c r="G2397" t="s">
        <v>15</v>
      </c>
      <c r="H2397" t="s">
        <v>15</v>
      </c>
      <c r="I2397" s="1">
        <v>16593900</v>
      </c>
    </row>
    <row r="2398" spans="1:9" x14ac:dyDescent="0.25">
      <c r="A2398" t="str">
        <f>"50016"</f>
        <v>50016</v>
      </c>
      <c r="B2398" t="s">
        <v>11</v>
      </c>
      <c r="C2398" t="s">
        <v>998</v>
      </c>
      <c r="D2398" t="s">
        <v>13</v>
      </c>
      <c r="E2398" t="s">
        <v>14</v>
      </c>
      <c r="F2398" t="s">
        <v>15</v>
      </c>
      <c r="G2398" t="s">
        <v>15</v>
      </c>
      <c r="H2398" t="s">
        <v>15</v>
      </c>
      <c r="I2398" s="1">
        <v>27768700</v>
      </c>
    </row>
    <row r="2399" spans="1:9" x14ac:dyDescent="0.25">
      <c r="A2399" t="str">
        <f>"50018"</f>
        <v>50018</v>
      </c>
      <c r="B2399" t="s">
        <v>11</v>
      </c>
      <c r="C2399" t="s">
        <v>999</v>
      </c>
      <c r="D2399" t="s">
        <v>13</v>
      </c>
      <c r="E2399" t="s">
        <v>14</v>
      </c>
      <c r="F2399" t="s">
        <v>15</v>
      </c>
      <c r="G2399" t="s">
        <v>15</v>
      </c>
      <c r="H2399" t="s">
        <v>15</v>
      </c>
      <c r="I2399" s="1">
        <v>23697600</v>
      </c>
    </row>
    <row r="2400" spans="1:9" x14ac:dyDescent="0.25">
      <c r="A2400" t="str">
        <f>"50020"</f>
        <v>50020</v>
      </c>
      <c r="B2400" t="s">
        <v>11</v>
      </c>
      <c r="C2400" t="s">
        <v>1000</v>
      </c>
      <c r="D2400" t="s">
        <v>13</v>
      </c>
      <c r="E2400" t="s">
        <v>14</v>
      </c>
      <c r="F2400" t="s">
        <v>15</v>
      </c>
      <c r="G2400" t="s">
        <v>15</v>
      </c>
      <c r="H2400" t="s">
        <v>15</v>
      </c>
      <c r="I2400" s="1">
        <v>38764600</v>
      </c>
    </row>
    <row r="2401" spans="1:9" x14ac:dyDescent="0.25">
      <c r="A2401" t="str">
        <f>"50022"</f>
        <v>50022</v>
      </c>
      <c r="B2401" t="s">
        <v>11</v>
      </c>
      <c r="C2401" t="s">
        <v>1001</v>
      </c>
      <c r="D2401" t="s">
        <v>13</v>
      </c>
      <c r="E2401" t="s">
        <v>14</v>
      </c>
      <c r="F2401" t="s">
        <v>15</v>
      </c>
      <c r="G2401" t="s">
        <v>15</v>
      </c>
      <c r="H2401" t="s">
        <v>15</v>
      </c>
      <c r="I2401" s="1">
        <v>30458700</v>
      </c>
    </row>
    <row r="2402" spans="1:9" x14ac:dyDescent="0.25">
      <c r="A2402" t="str">
        <f>"50024"</f>
        <v>50024</v>
      </c>
      <c r="B2402" t="s">
        <v>11</v>
      </c>
      <c r="C2402" t="s">
        <v>1002</v>
      </c>
      <c r="D2402" t="s">
        <v>13</v>
      </c>
      <c r="E2402" t="s">
        <v>14</v>
      </c>
      <c r="F2402" t="s">
        <v>15</v>
      </c>
      <c r="G2402" t="s">
        <v>15</v>
      </c>
      <c r="H2402" t="s">
        <v>15</v>
      </c>
      <c r="I2402" s="1">
        <v>35279600</v>
      </c>
    </row>
    <row r="2403" spans="1:9" x14ac:dyDescent="0.25">
      <c r="A2403" t="str">
        <f>"50026"</f>
        <v>50026</v>
      </c>
      <c r="B2403" t="s">
        <v>11</v>
      </c>
      <c r="C2403" t="s">
        <v>788</v>
      </c>
      <c r="D2403" t="s">
        <v>13</v>
      </c>
      <c r="E2403" t="s">
        <v>14</v>
      </c>
      <c r="F2403" t="s">
        <v>15</v>
      </c>
      <c r="G2403" t="s">
        <v>15</v>
      </c>
      <c r="H2403" t="s">
        <v>15</v>
      </c>
      <c r="I2403" s="1">
        <v>156955800</v>
      </c>
    </row>
    <row r="2404" spans="1:9" x14ac:dyDescent="0.25">
      <c r="A2404" t="str">
        <f>"50028"</f>
        <v>50028</v>
      </c>
      <c r="B2404" t="s">
        <v>11</v>
      </c>
      <c r="C2404" t="s">
        <v>1003</v>
      </c>
      <c r="D2404" t="s">
        <v>13</v>
      </c>
      <c r="E2404" t="s">
        <v>14</v>
      </c>
      <c r="F2404" t="s">
        <v>15</v>
      </c>
      <c r="G2404" t="s">
        <v>15</v>
      </c>
      <c r="H2404" t="s">
        <v>15</v>
      </c>
      <c r="I2404" s="1">
        <v>66295800</v>
      </c>
    </row>
    <row r="2405" spans="1:9" x14ac:dyDescent="0.25">
      <c r="A2405" t="str">
        <f>"50030"</f>
        <v>50030</v>
      </c>
      <c r="B2405" t="s">
        <v>11</v>
      </c>
      <c r="C2405" t="s">
        <v>1004</v>
      </c>
      <c r="D2405" t="s">
        <v>13</v>
      </c>
      <c r="E2405" t="s">
        <v>14</v>
      </c>
      <c r="F2405" t="s">
        <v>15</v>
      </c>
      <c r="G2405" t="s">
        <v>15</v>
      </c>
      <c r="H2405" t="s">
        <v>15</v>
      </c>
      <c r="I2405" s="1">
        <v>51553100</v>
      </c>
    </row>
    <row r="2406" spans="1:9" x14ac:dyDescent="0.25">
      <c r="A2406" t="str">
        <f>"50032"</f>
        <v>50032</v>
      </c>
      <c r="B2406" t="s">
        <v>11</v>
      </c>
      <c r="C2406" t="s">
        <v>1005</v>
      </c>
      <c r="D2406" t="s">
        <v>13</v>
      </c>
      <c r="E2406" t="s">
        <v>14</v>
      </c>
      <c r="F2406" t="s">
        <v>15</v>
      </c>
      <c r="G2406" t="s">
        <v>15</v>
      </c>
      <c r="H2406" t="s">
        <v>15</v>
      </c>
      <c r="I2406" s="1">
        <v>47544300</v>
      </c>
    </row>
    <row r="2407" spans="1:9" x14ac:dyDescent="0.25">
      <c r="A2407" t="str">
        <f>"50034"</f>
        <v>50034</v>
      </c>
      <c r="B2407" t="s">
        <v>11</v>
      </c>
      <c r="C2407" t="s">
        <v>1006</v>
      </c>
      <c r="D2407" t="s">
        <v>13</v>
      </c>
      <c r="E2407" t="s">
        <v>14</v>
      </c>
      <c r="F2407" t="s">
        <v>15</v>
      </c>
      <c r="G2407" t="s">
        <v>15</v>
      </c>
      <c r="H2407" t="s">
        <v>15</v>
      </c>
      <c r="I2407" s="1">
        <v>172131400</v>
      </c>
    </row>
    <row r="2408" spans="1:9" x14ac:dyDescent="0.25">
      <c r="A2408" t="s">
        <v>32</v>
      </c>
      <c r="B2408" t="s">
        <v>33</v>
      </c>
      <c r="C2408" t="s">
        <v>34</v>
      </c>
      <c r="D2408" t="s">
        <v>13</v>
      </c>
      <c r="E2408" t="s">
        <v>14</v>
      </c>
      <c r="F2408" t="s">
        <v>15</v>
      </c>
      <c r="G2408" t="s">
        <v>15</v>
      </c>
      <c r="H2408" t="s">
        <v>15</v>
      </c>
      <c r="I2408" s="1">
        <v>1183532300</v>
      </c>
    </row>
    <row r="2409" spans="1:9" x14ac:dyDescent="0.25">
      <c r="A2409" t="str">
        <f>"50111"</f>
        <v>50111</v>
      </c>
      <c r="B2409" t="s">
        <v>35</v>
      </c>
      <c r="C2409" t="s">
        <v>992</v>
      </c>
      <c r="D2409" t="s">
        <v>13</v>
      </c>
      <c r="E2409" t="s">
        <v>14</v>
      </c>
      <c r="F2409" t="s">
        <v>15</v>
      </c>
      <c r="G2409" t="s">
        <v>15</v>
      </c>
      <c r="H2409" t="s">
        <v>15</v>
      </c>
      <c r="I2409" s="1">
        <v>5917400</v>
      </c>
    </row>
    <row r="2410" spans="1:9" x14ac:dyDescent="0.25">
      <c r="A2410" t="str">
        <f>"50141"</f>
        <v>50141</v>
      </c>
      <c r="B2410" t="s">
        <v>35</v>
      </c>
      <c r="C2410" t="s">
        <v>1001</v>
      </c>
      <c r="D2410" t="s">
        <v>13</v>
      </c>
      <c r="E2410" t="s">
        <v>14</v>
      </c>
      <c r="F2410" t="s">
        <v>15</v>
      </c>
      <c r="G2410" t="s">
        <v>15</v>
      </c>
      <c r="H2410" t="s">
        <v>15</v>
      </c>
      <c r="I2410" s="1">
        <v>6116400</v>
      </c>
    </row>
    <row r="2411" spans="1:9" x14ac:dyDescent="0.25">
      <c r="A2411" t="str">
        <f>"50171"</f>
        <v>50171</v>
      </c>
      <c r="B2411" t="s">
        <v>35</v>
      </c>
      <c r="C2411" t="s">
        <v>1004</v>
      </c>
      <c r="D2411" t="str">
        <f>"003"</f>
        <v>003</v>
      </c>
      <c r="E2411">
        <v>2011</v>
      </c>
      <c r="F2411">
        <v>62000</v>
      </c>
      <c r="G2411">
        <v>85200</v>
      </c>
      <c r="H2411">
        <v>23200</v>
      </c>
    </row>
    <row r="2412" spans="1:9" x14ac:dyDescent="0.25">
      <c r="A2412" t="str">
        <f>"50171"</f>
        <v>50171</v>
      </c>
      <c r="B2412" t="s">
        <v>35</v>
      </c>
      <c r="C2412" t="s">
        <v>1004</v>
      </c>
      <c r="D2412" t="s">
        <v>13</v>
      </c>
      <c r="E2412" t="s">
        <v>14</v>
      </c>
      <c r="F2412" t="s">
        <v>15</v>
      </c>
      <c r="G2412" t="s">
        <v>15</v>
      </c>
      <c r="H2412" t="s">
        <v>15</v>
      </c>
      <c r="I2412" s="1">
        <v>29442000</v>
      </c>
    </row>
    <row r="2413" spans="1:9" x14ac:dyDescent="0.25">
      <c r="A2413" t="s">
        <v>32</v>
      </c>
      <c r="B2413" t="s">
        <v>37</v>
      </c>
      <c r="C2413" t="s">
        <v>34</v>
      </c>
      <c r="D2413" t="s">
        <v>13</v>
      </c>
      <c r="E2413" t="s">
        <v>14</v>
      </c>
      <c r="F2413" t="s">
        <v>15</v>
      </c>
      <c r="G2413" t="s">
        <v>15</v>
      </c>
      <c r="H2413" t="s">
        <v>15</v>
      </c>
      <c r="I2413" s="1">
        <v>41475800</v>
      </c>
    </row>
    <row r="2414" spans="1:9" x14ac:dyDescent="0.25">
      <c r="A2414" t="str">
        <f>"50271"</f>
        <v>50271</v>
      </c>
      <c r="B2414" t="s">
        <v>38</v>
      </c>
      <c r="C2414" t="s">
        <v>1007</v>
      </c>
      <c r="D2414" t="str">
        <f>"003"</f>
        <v>003</v>
      </c>
      <c r="E2414">
        <v>1994</v>
      </c>
      <c r="F2414">
        <v>1351800</v>
      </c>
      <c r="G2414">
        <v>7292500</v>
      </c>
      <c r="H2414">
        <v>5940700</v>
      </c>
    </row>
    <row r="2415" spans="1:9" x14ac:dyDescent="0.25">
      <c r="A2415" t="str">
        <f>"50271"</f>
        <v>50271</v>
      </c>
      <c r="B2415" t="s">
        <v>38</v>
      </c>
      <c r="C2415" t="s">
        <v>1007</v>
      </c>
      <c r="D2415" t="s">
        <v>13</v>
      </c>
      <c r="E2415" t="s">
        <v>14</v>
      </c>
      <c r="F2415" t="s">
        <v>15</v>
      </c>
      <c r="G2415" t="s">
        <v>15</v>
      </c>
      <c r="H2415" t="s">
        <v>15</v>
      </c>
      <c r="I2415" s="1">
        <v>118448900</v>
      </c>
    </row>
    <row r="2416" spans="1:9" x14ac:dyDescent="0.25">
      <c r="A2416" t="str">
        <f>"50272"</f>
        <v>50272</v>
      </c>
      <c r="B2416" t="s">
        <v>38</v>
      </c>
      <c r="C2416" t="s">
        <v>1008</v>
      </c>
      <c r="D2416" t="str">
        <f>"002"</f>
        <v>002</v>
      </c>
      <c r="E2416">
        <v>1995</v>
      </c>
      <c r="F2416">
        <v>100000</v>
      </c>
      <c r="G2416">
        <v>144700</v>
      </c>
      <c r="H2416">
        <v>44700</v>
      </c>
    </row>
    <row r="2417" spans="1:9" x14ac:dyDescent="0.25">
      <c r="A2417" t="str">
        <f>"50272"</f>
        <v>50272</v>
      </c>
      <c r="B2417" t="s">
        <v>38</v>
      </c>
      <c r="C2417" t="s">
        <v>1008</v>
      </c>
      <c r="D2417" t="str">
        <f>"003"</f>
        <v>003</v>
      </c>
      <c r="E2417">
        <v>1995</v>
      </c>
      <c r="F2417">
        <v>2177100</v>
      </c>
      <c r="G2417">
        <v>3765900</v>
      </c>
      <c r="H2417">
        <v>1588800</v>
      </c>
    </row>
    <row r="2418" spans="1:9" x14ac:dyDescent="0.25">
      <c r="A2418" t="str">
        <f>"50272"</f>
        <v>50272</v>
      </c>
      <c r="B2418" t="s">
        <v>38</v>
      </c>
      <c r="C2418" t="s">
        <v>1008</v>
      </c>
      <c r="D2418" t="str">
        <f>"004"</f>
        <v>004</v>
      </c>
      <c r="E2418">
        <v>1995</v>
      </c>
      <c r="F2418">
        <v>753500</v>
      </c>
      <c r="G2418">
        <v>15032500</v>
      </c>
      <c r="H2418">
        <v>14279000</v>
      </c>
    </row>
    <row r="2419" spans="1:9" x14ac:dyDescent="0.25">
      <c r="A2419" t="str">
        <f>"50272"</f>
        <v>50272</v>
      </c>
      <c r="B2419" t="s">
        <v>38</v>
      </c>
      <c r="C2419" t="s">
        <v>1008</v>
      </c>
      <c r="D2419" t="s">
        <v>13</v>
      </c>
      <c r="E2419" t="s">
        <v>14</v>
      </c>
      <c r="F2419" t="s">
        <v>15</v>
      </c>
      <c r="G2419" t="s">
        <v>15</v>
      </c>
      <c r="H2419" t="s">
        <v>15</v>
      </c>
      <c r="I2419" s="1">
        <v>75644500</v>
      </c>
    </row>
    <row r="2420" spans="1:9" x14ac:dyDescent="0.25">
      <c r="A2420" t="s">
        <v>32</v>
      </c>
      <c r="B2420" t="s">
        <v>40</v>
      </c>
      <c r="C2420" t="s">
        <v>34</v>
      </c>
      <c r="D2420" t="s">
        <v>13</v>
      </c>
      <c r="E2420" t="s">
        <v>14</v>
      </c>
      <c r="F2420" t="s">
        <v>15</v>
      </c>
      <c r="G2420" t="s">
        <v>15</v>
      </c>
      <c r="H2420" t="s">
        <v>15</v>
      </c>
      <c r="I2420" s="1">
        <v>194093400</v>
      </c>
    </row>
    <row r="2421" spans="1:9" x14ac:dyDescent="0.25">
      <c r="A2421" t="s">
        <v>32</v>
      </c>
      <c r="B2421" t="s">
        <v>41</v>
      </c>
      <c r="C2421" t="s">
        <v>701</v>
      </c>
      <c r="D2421" t="s">
        <v>13</v>
      </c>
      <c r="E2421" t="s">
        <v>14</v>
      </c>
      <c r="F2421" t="s">
        <v>15</v>
      </c>
      <c r="G2421" t="s">
        <v>15</v>
      </c>
      <c r="H2421" t="s">
        <v>15</v>
      </c>
      <c r="I2421" s="1">
        <v>1419101500</v>
      </c>
    </row>
    <row r="2422" spans="1:9" x14ac:dyDescent="0.25">
      <c r="A2422" t="str">
        <f>"51002"</f>
        <v>51002</v>
      </c>
      <c r="B2422" t="s">
        <v>11</v>
      </c>
      <c r="C2422" t="s">
        <v>1009</v>
      </c>
      <c r="D2422" t="s">
        <v>13</v>
      </c>
      <c r="E2422" t="s">
        <v>14</v>
      </c>
      <c r="F2422" t="s">
        <v>15</v>
      </c>
      <c r="G2422" t="s">
        <v>15</v>
      </c>
      <c r="H2422" t="s">
        <v>15</v>
      </c>
      <c r="I2422" s="1">
        <v>775177000</v>
      </c>
    </row>
    <row r="2423" spans="1:9" x14ac:dyDescent="0.25">
      <c r="A2423" t="str">
        <f>"51006"</f>
        <v>51006</v>
      </c>
      <c r="B2423" t="s">
        <v>11</v>
      </c>
      <c r="C2423" t="s">
        <v>137</v>
      </c>
      <c r="D2423" t="s">
        <v>13</v>
      </c>
      <c r="E2423" t="s">
        <v>14</v>
      </c>
      <c r="F2423" t="s">
        <v>15</v>
      </c>
      <c r="G2423" t="s">
        <v>15</v>
      </c>
      <c r="H2423" t="s">
        <v>15</v>
      </c>
      <c r="I2423" s="1">
        <v>394436600</v>
      </c>
    </row>
    <row r="2424" spans="1:9" x14ac:dyDescent="0.25">
      <c r="A2424" t="str">
        <f>"51010"</f>
        <v>51010</v>
      </c>
      <c r="B2424" t="s">
        <v>11</v>
      </c>
      <c r="C2424" t="s">
        <v>1010</v>
      </c>
      <c r="D2424" t="s">
        <v>13</v>
      </c>
      <c r="E2424" t="s">
        <v>14</v>
      </c>
      <c r="F2424" t="s">
        <v>15</v>
      </c>
      <c r="G2424" t="s">
        <v>15</v>
      </c>
      <c r="H2424" t="s">
        <v>15</v>
      </c>
      <c r="I2424" s="1">
        <v>959457400</v>
      </c>
    </row>
    <row r="2425" spans="1:9" x14ac:dyDescent="0.25">
      <c r="A2425" t="str">
        <f>"51012"</f>
        <v>51012</v>
      </c>
      <c r="B2425" t="s">
        <v>11</v>
      </c>
      <c r="C2425" t="s">
        <v>1011</v>
      </c>
      <c r="D2425" t="s">
        <v>13</v>
      </c>
      <c r="E2425" t="s">
        <v>14</v>
      </c>
      <c r="F2425" t="s">
        <v>15</v>
      </c>
      <c r="G2425" t="s">
        <v>15</v>
      </c>
      <c r="H2425" t="s">
        <v>15</v>
      </c>
      <c r="I2425" s="1">
        <v>530151900</v>
      </c>
    </row>
    <row r="2426" spans="1:9" x14ac:dyDescent="0.25">
      <c r="A2426" t="str">
        <f>"51016"</f>
        <v>51016</v>
      </c>
      <c r="B2426" t="s">
        <v>11</v>
      </c>
      <c r="C2426" t="s">
        <v>1012</v>
      </c>
      <c r="D2426" t="s">
        <v>13</v>
      </c>
      <c r="E2426" t="s">
        <v>14</v>
      </c>
      <c r="F2426" t="s">
        <v>15</v>
      </c>
      <c r="G2426" t="s">
        <v>15</v>
      </c>
      <c r="H2426" t="s">
        <v>15</v>
      </c>
      <c r="I2426" s="1">
        <v>814949000</v>
      </c>
    </row>
    <row r="2427" spans="1:9" x14ac:dyDescent="0.25">
      <c r="A2427" t="s">
        <v>32</v>
      </c>
      <c r="B2427" t="s">
        <v>33</v>
      </c>
      <c r="C2427" t="s">
        <v>34</v>
      </c>
      <c r="D2427" t="s">
        <v>13</v>
      </c>
      <c r="E2427" t="s">
        <v>14</v>
      </c>
      <c r="F2427" t="s">
        <v>15</v>
      </c>
      <c r="G2427" t="s">
        <v>15</v>
      </c>
      <c r="H2427" t="s">
        <v>15</v>
      </c>
      <c r="I2427" s="1">
        <v>3474171900</v>
      </c>
    </row>
    <row r="2428" spans="1:9" x14ac:dyDescent="0.25">
      <c r="A2428" t="str">
        <f>"51104"</f>
        <v>51104</v>
      </c>
      <c r="B2428" t="s">
        <v>35</v>
      </c>
      <c r="C2428" t="s">
        <v>254</v>
      </c>
      <c r="D2428" t="str">
        <f>"001"</f>
        <v>001</v>
      </c>
      <c r="E2428">
        <v>2007</v>
      </c>
      <c r="F2428">
        <v>1831800</v>
      </c>
      <c r="G2428">
        <v>7128400</v>
      </c>
      <c r="H2428">
        <v>5296600</v>
      </c>
    </row>
    <row r="2429" spans="1:9" x14ac:dyDescent="0.25">
      <c r="A2429" t="str">
        <f>"51104"</f>
        <v>51104</v>
      </c>
      <c r="B2429" t="s">
        <v>35</v>
      </c>
      <c r="C2429" t="s">
        <v>254</v>
      </c>
      <c r="D2429" t="str">
        <f>"003"</f>
        <v>003</v>
      </c>
      <c r="E2429">
        <v>2011</v>
      </c>
      <c r="F2429">
        <v>28632700</v>
      </c>
      <c r="G2429">
        <v>37340400</v>
      </c>
      <c r="H2429">
        <v>8707700</v>
      </c>
    </row>
    <row r="2430" spans="1:9" x14ac:dyDescent="0.25">
      <c r="A2430" t="str">
        <f>"51104"</f>
        <v>51104</v>
      </c>
      <c r="B2430" t="s">
        <v>35</v>
      </c>
      <c r="C2430" t="s">
        <v>254</v>
      </c>
      <c r="D2430" t="str">
        <f>"004"</f>
        <v>004</v>
      </c>
      <c r="E2430">
        <v>2014</v>
      </c>
      <c r="F2430">
        <v>15444200</v>
      </c>
      <c r="G2430">
        <v>34079600</v>
      </c>
      <c r="H2430">
        <v>18635400</v>
      </c>
    </row>
    <row r="2431" spans="1:9" x14ac:dyDescent="0.25">
      <c r="A2431" t="str">
        <f>"51104"</f>
        <v>51104</v>
      </c>
      <c r="B2431" t="s">
        <v>35</v>
      </c>
      <c r="C2431" t="s">
        <v>254</v>
      </c>
      <c r="D2431" t="s">
        <v>13</v>
      </c>
      <c r="E2431" t="s">
        <v>14</v>
      </c>
      <c r="F2431" t="s">
        <v>15</v>
      </c>
      <c r="G2431" t="s">
        <v>15</v>
      </c>
      <c r="H2431" t="s">
        <v>15</v>
      </c>
      <c r="I2431" s="1">
        <v>2283495900</v>
      </c>
    </row>
    <row r="2432" spans="1:9" x14ac:dyDescent="0.25">
      <c r="A2432" t="str">
        <f>"51121"</f>
        <v>51121</v>
      </c>
      <c r="B2432" t="s">
        <v>35</v>
      </c>
      <c r="C2432" t="s">
        <v>1013</v>
      </c>
      <c r="D2432" t="s">
        <v>13</v>
      </c>
      <c r="E2432" t="s">
        <v>14</v>
      </c>
      <c r="F2432" t="s">
        <v>15</v>
      </c>
      <c r="G2432" t="s">
        <v>15</v>
      </c>
      <c r="H2432" t="s">
        <v>15</v>
      </c>
      <c r="I2432" s="1">
        <v>43371300</v>
      </c>
    </row>
    <row r="2433" spans="1:9" x14ac:dyDescent="0.25">
      <c r="A2433" t="str">
        <f t="shared" ref="A2433:A2438" si="55">"51151"</f>
        <v>51151</v>
      </c>
      <c r="B2433" t="s">
        <v>35</v>
      </c>
      <c r="C2433" t="s">
        <v>539</v>
      </c>
      <c r="D2433" t="str">
        <f>"001"</f>
        <v>001</v>
      </c>
      <c r="E2433">
        <v>2006</v>
      </c>
      <c r="F2433">
        <v>4292700</v>
      </c>
      <c r="G2433">
        <v>94046100</v>
      </c>
      <c r="H2433">
        <v>89753400</v>
      </c>
    </row>
    <row r="2434" spans="1:9" x14ac:dyDescent="0.25">
      <c r="A2434" t="str">
        <f t="shared" si="55"/>
        <v>51151</v>
      </c>
      <c r="B2434" t="s">
        <v>35</v>
      </c>
      <c r="C2434" t="s">
        <v>539</v>
      </c>
      <c r="D2434" t="str">
        <f>"002"</f>
        <v>002</v>
      </c>
      <c r="E2434">
        <v>2007</v>
      </c>
      <c r="F2434">
        <v>103584200</v>
      </c>
      <c r="G2434">
        <v>151871300</v>
      </c>
      <c r="H2434">
        <v>48287100</v>
      </c>
    </row>
    <row r="2435" spans="1:9" x14ac:dyDescent="0.25">
      <c r="A2435" t="str">
        <f t="shared" si="55"/>
        <v>51151</v>
      </c>
      <c r="B2435" t="s">
        <v>35</v>
      </c>
      <c r="C2435" t="s">
        <v>539</v>
      </c>
      <c r="D2435" t="str">
        <f>"003"</f>
        <v>003</v>
      </c>
      <c r="E2435">
        <v>2014</v>
      </c>
      <c r="F2435">
        <v>4136200</v>
      </c>
      <c r="G2435">
        <v>31372700</v>
      </c>
      <c r="H2435">
        <v>27236500</v>
      </c>
    </row>
    <row r="2436" spans="1:9" x14ac:dyDescent="0.25">
      <c r="A2436" t="str">
        <f t="shared" si="55"/>
        <v>51151</v>
      </c>
      <c r="B2436" t="s">
        <v>35</v>
      </c>
      <c r="C2436" t="s">
        <v>539</v>
      </c>
      <c r="D2436" t="str">
        <f>"004"</f>
        <v>004</v>
      </c>
      <c r="E2436">
        <v>2015</v>
      </c>
      <c r="F2436">
        <v>3587700</v>
      </c>
      <c r="G2436">
        <v>39394300</v>
      </c>
      <c r="H2436">
        <v>35806600</v>
      </c>
    </row>
    <row r="2437" spans="1:9" x14ac:dyDescent="0.25">
      <c r="A2437" t="str">
        <f t="shared" si="55"/>
        <v>51151</v>
      </c>
      <c r="B2437" t="s">
        <v>35</v>
      </c>
      <c r="C2437" t="s">
        <v>539</v>
      </c>
      <c r="D2437" t="str">
        <f>"005"</f>
        <v>005</v>
      </c>
      <c r="E2437">
        <v>2018</v>
      </c>
      <c r="F2437">
        <v>30231500</v>
      </c>
      <c r="G2437">
        <v>64754500</v>
      </c>
      <c r="H2437">
        <v>34523000</v>
      </c>
    </row>
    <row r="2438" spans="1:9" x14ac:dyDescent="0.25">
      <c r="A2438" t="str">
        <f t="shared" si="55"/>
        <v>51151</v>
      </c>
      <c r="B2438" t="s">
        <v>35</v>
      </c>
      <c r="C2438" t="s">
        <v>539</v>
      </c>
      <c r="D2438" t="s">
        <v>13</v>
      </c>
      <c r="E2438" t="s">
        <v>14</v>
      </c>
      <c r="F2438" t="s">
        <v>15</v>
      </c>
      <c r="G2438" t="s">
        <v>15</v>
      </c>
      <c r="H2438" t="s">
        <v>15</v>
      </c>
      <c r="I2438" s="1">
        <v>2992654600</v>
      </c>
    </row>
    <row r="2439" spans="1:9" x14ac:dyDescent="0.25">
      <c r="A2439" t="str">
        <f>"51161"</f>
        <v>51161</v>
      </c>
      <c r="B2439" t="s">
        <v>35</v>
      </c>
      <c r="C2439" t="s">
        <v>1014</v>
      </c>
      <c r="D2439" t="s">
        <v>13</v>
      </c>
      <c r="E2439" t="s">
        <v>14</v>
      </c>
      <c r="F2439" t="s">
        <v>15</v>
      </c>
      <c r="G2439" t="s">
        <v>15</v>
      </c>
      <c r="H2439" t="s">
        <v>15</v>
      </c>
      <c r="I2439" s="1">
        <v>39040600</v>
      </c>
    </row>
    <row r="2440" spans="1:9" x14ac:dyDescent="0.25">
      <c r="A2440" t="str">
        <f>"51176"</f>
        <v>51176</v>
      </c>
      <c r="B2440" t="s">
        <v>35</v>
      </c>
      <c r="C2440" t="s">
        <v>1015</v>
      </c>
      <c r="D2440" t="s">
        <v>13</v>
      </c>
      <c r="E2440" t="s">
        <v>14</v>
      </c>
      <c r="F2440" t="s">
        <v>15</v>
      </c>
      <c r="G2440" t="s">
        <v>15</v>
      </c>
      <c r="H2440" t="s">
        <v>15</v>
      </c>
      <c r="I2440" s="1">
        <v>393528300</v>
      </c>
    </row>
    <row r="2441" spans="1:9" x14ac:dyDescent="0.25">
      <c r="A2441" t="str">
        <f>"51181"</f>
        <v>51181</v>
      </c>
      <c r="B2441" t="s">
        <v>35</v>
      </c>
      <c r="C2441" t="s">
        <v>1016</v>
      </c>
      <c r="D2441" t="str">
        <f>"004"</f>
        <v>004</v>
      </c>
      <c r="E2441">
        <v>2016</v>
      </c>
      <c r="F2441">
        <v>55323600</v>
      </c>
      <c r="G2441">
        <v>72375100</v>
      </c>
      <c r="H2441">
        <v>17051500</v>
      </c>
    </row>
    <row r="2442" spans="1:9" x14ac:dyDescent="0.25">
      <c r="A2442" t="str">
        <f>"51181"</f>
        <v>51181</v>
      </c>
      <c r="B2442" t="s">
        <v>35</v>
      </c>
      <c r="C2442" t="s">
        <v>1016</v>
      </c>
      <c r="D2442" t="s">
        <v>13</v>
      </c>
      <c r="E2442" t="s">
        <v>14</v>
      </c>
      <c r="F2442" t="s">
        <v>15</v>
      </c>
      <c r="G2442" t="s">
        <v>15</v>
      </c>
      <c r="H2442" t="s">
        <v>15</v>
      </c>
      <c r="I2442" s="1">
        <v>582273400</v>
      </c>
    </row>
    <row r="2443" spans="1:9" x14ac:dyDescent="0.25">
      <c r="A2443" t="str">
        <f>"51186"</f>
        <v>51186</v>
      </c>
      <c r="B2443" t="s">
        <v>35</v>
      </c>
      <c r="C2443" t="s">
        <v>1017</v>
      </c>
      <c r="D2443" t="str">
        <f>"003"</f>
        <v>003</v>
      </c>
      <c r="E2443">
        <v>2001</v>
      </c>
      <c r="F2443">
        <v>3485200</v>
      </c>
      <c r="G2443">
        <v>22140400</v>
      </c>
      <c r="H2443">
        <v>18655200</v>
      </c>
    </row>
    <row r="2444" spans="1:9" x14ac:dyDescent="0.25">
      <c r="A2444" t="str">
        <f>"51186"</f>
        <v>51186</v>
      </c>
      <c r="B2444" t="s">
        <v>35</v>
      </c>
      <c r="C2444" t="s">
        <v>1017</v>
      </c>
      <c r="D2444" t="str">
        <f>"004"</f>
        <v>004</v>
      </c>
      <c r="E2444">
        <v>2006</v>
      </c>
      <c r="F2444">
        <v>31932700</v>
      </c>
      <c r="G2444">
        <v>35004800</v>
      </c>
      <c r="H2444">
        <v>3072100</v>
      </c>
    </row>
    <row r="2445" spans="1:9" x14ac:dyDescent="0.25">
      <c r="A2445" t="str">
        <f>"51186"</f>
        <v>51186</v>
      </c>
      <c r="B2445" t="s">
        <v>35</v>
      </c>
      <c r="C2445" t="s">
        <v>1017</v>
      </c>
      <c r="D2445" t="str">
        <f>"005"</f>
        <v>005</v>
      </c>
      <c r="E2445">
        <v>2016</v>
      </c>
      <c r="F2445">
        <v>464700</v>
      </c>
      <c r="G2445">
        <v>4401800</v>
      </c>
      <c r="H2445">
        <v>3937100</v>
      </c>
    </row>
    <row r="2446" spans="1:9" x14ac:dyDescent="0.25">
      <c r="A2446" t="str">
        <f>"51186"</f>
        <v>51186</v>
      </c>
      <c r="B2446" t="s">
        <v>35</v>
      </c>
      <c r="C2446" t="s">
        <v>1017</v>
      </c>
      <c r="D2446" t="s">
        <v>13</v>
      </c>
      <c r="E2446" t="s">
        <v>14</v>
      </c>
      <c r="F2446" t="s">
        <v>15</v>
      </c>
      <c r="G2446" t="s">
        <v>15</v>
      </c>
      <c r="H2446" t="s">
        <v>15</v>
      </c>
      <c r="I2446" s="1">
        <v>333715400</v>
      </c>
    </row>
    <row r="2447" spans="1:9" x14ac:dyDescent="0.25">
      <c r="A2447" t="str">
        <f>"51191"</f>
        <v>51191</v>
      </c>
      <c r="B2447" t="s">
        <v>35</v>
      </c>
      <c r="C2447" t="s">
        <v>1012</v>
      </c>
      <c r="D2447" t="str">
        <f>"002"</f>
        <v>002</v>
      </c>
      <c r="E2447">
        <v>2000</v>
      </c>
      <c r="F2447">
        <v>13787500</v>
      </c>
      <c r="G2447">
        <v>52245100</v>
      </c>
      <c r="H2447">
        <v>38457600</v>
      </c>
    </row>
    <row r="2448" spans="1:9" x14ac:dyDescent="0.25">
      <c r="A2448" t="str">
        <f>"51191"</f>
        <v>51191</v>
      </c>
      <c r="B2448" t="s">
        <v>35</v>
      </c>
      <c r="C2448" t="s">
        <v>1012</v>
      </c>
      <c r="D2448" t="s">
        <v>13</v>
      </c>
      <c r="E2448" t="s">
        <v>14</v>
      </c>
      <c r="F2448" t="s">
        <v>15</v>
      </c>
      <c r="G2448" t="s">
        <v>15</v>
      </c>
      <c r="H2448" t="s">
        <v>15</v>
      </c>
      <c r="I2448" s="1">
        <v>483851100</v>
      </c>
    </row>
    <row r="2449" spans="1:9" x14ac:dyDescent="0.25">
      <c r="A2449" t="str">
        <f>"51192"</f>
        <v>51192</v>
      </c>
      <c r="B2449" t="s">
        <v>35</v>
      </c>
      <c r="C2449" t="s">
        <v>1018</v>
      </c>
      <c r="D2449" t="s">
        <v>13</v>
      </c>
      <c r="E2449" t="s">
        <v>14</v>
      </c>
      <c r="F2449" t="s">
        <v>15</v>
      </c>
      <c r="G2449" t="s">
        <v>15</v>
      </c>
      <c r="H2449" t="s">
        <v>15</v>
      </c>
      <c r="I2449" s="1">
        <v>260361500</v>
      </c>
    </row>
    <row r="2450" spans="1:9" x14ac:dyDescent="0.25">
      <c r="A2450" t="str">
        <f>"51194"</f>
        <v>51194</v>
      </c>
      <c r="B2450" t="s">
        <v>35</v>
      </c>
      <c r="C2450" t="s">
        <v>1019</v>
      </c>
      <c r="D2450" t="s">
        <v>13</v>
      </c>
      <c r="E2450" t="s">
        <v>14</v>
      </c>
      <c r="F2450" t="s">
        <v>15</v>
      </c>
      <c r="G2450" t="s">
        <v>15</v>
      </c>
      <c r="H2450" t="s">
        <v>15</v>
      </c>
      <c r="I2450" s="1">
        <v>558456900</v>
      </c>
    </row>
    <row r="2451" spans="1:9" x14ac:dyDescent="0.25">
      <c r="A2451" t="s">
        <v>32</v>
      </c>
      <c r="B2451" t="s">
        <v>37</v>
      </c>
      <c r="C2451" t="s">
        <v>34</v>
      </c>
      <c r="D2451" t="s">
        <v>13</v>
      </c>
      <c r="E2451" t="s">
        <v>14</v>
      </c>
      <c r="F2451" t="s">
        <v>15</v>
      </c>
      <c r="G2451" t="s">
        <v>15</v>
      </c>
      <c r="H2451" t="s">
        <v>15</v>
      </c>
      <c r="I2451" s="1">
        <v>7970749000</v>
      </c>
    </row>
    <row r="2452" spans="1:9" x14ac:dyDescent="0.25">
      <c r="A2452" t="str">
        <f>"51206"</f>
        <v>51206</v>
      </c>
      <c r="B2452" t="s">
        <v>38</v>
      </c>
      <c r="C2452" t="s">
        <v>1009</v>
      </c>
      <c r="D2452" t="s">
        <v>13</v>
      </c>
      <c r="E2452" t="s">
        <v>14</v>
      </c>
      <c r="F2452" t="s">
        <v>15</v>
      </c>
      <c r="G2452" t="s">
        <v>15</v>
      </c>
      <c r="H2452" t="s">
        <v>15</v>
      </c>
      <c r="I2452" s="1">
        <v>961753500</v>
      </c>
    </row>
    <row r="2453" spans="1:9" x14ac:dyDescent="0.25">
      <c r="A2453" t="str">
        <f t="shared" ref="A2453:A2465" si="56">"51276"</f>
        <v>51276</v>
      </c>
      <c r="B2453" t="s">
        <v>38</v>
      </c>
      <c r="C2453" t="s">
        <v>1020</v>
      </c>
      <c r="D2453" t="str">
        <f>"002"</f>
        <v>002</v>
      </c>
      <c r="E2453">
        <v>1983</v>
      </c>
      <c r="F2453">
        <v>2394700</v>
      </c>
      <c r="G2453">
        <v>27699300</v>
      </c>
      <c r="H2453">
        <v>25304600</v>
      </c>
    </row>
    <row r="2454" spans="1:9" x14ac:dyDescent="0.25">
      <c r="A2454" t="str">
        <f t="shared" si="56"/>
        <v>51276</v>
      </c>
      <c r="B2454" t="s">
        <v>38</v>
      </c>
      <c r="C2454" t="s">
        <v>1020</v>
      </c>
      <c r="D2454" t="str">
        <f>"009"</f>
        <v>009</v>
      </c>
      <c r="E2454">
        <v>2000</v>
      </c>
      <c r="F2454">
        <v>877600</v>
      </c>
      <c r="G2454">
        <v>31087200</v>
      </c>
      <c r="H2454">
        <v>30209600</v>
      </c>
    </row>
    <row r="2455" spans="1:9" x14ac:dyDescent="0.25">
      <c r="A2455" t="str">
        <f t="shared" si="56"/>
        <v>51276</v>
      </c>
      <c r="B2455" t="s">
        <v>38</v>
      </c>
      <c r="C2455" t="s">
        <v>1020</v>
      </c>
      <c r="D2455" t="str">
        <f>"010"</f>
        <v>010</v>
      </c>
      <c r="E2455">
        <v>2003</v>
      </c>
      <c r="F2455">
        <v>1180400</v>
      </c>
      <c r="G2455">
        <v>959900</v>
      </c>
      <c r="H2455">
        <v>0</v>
      </c>
    </row>
    <row r="2456" spans="1:9" x14ac:dyDescent="0.25">
      <c r="A2456" t="str">
        <f t="shared" si="56"/>
        <v>51276</v>
      </c>
      <c r="B2456" t="s">
        <v>38</v>
      </c>
      <c r="C2456" t="s">
        <v>1020</v>
      </c>
      <c r="D2456" t="str">
        <f>"011"</f>
        <v>011</v>
      </c>
      <c r="E2456">
        <v>2005</v>
      </c>
      <c r="F2456">
        <v>3179700</v>
      </c>
      <c r="G2456">
        <v>5759900</v>
      </c>
      <c r="H2456">
        <v>2580200</v>
      </c>
    </row>
    <row r="2457" spans="1:9" x14ac:dyDescent="0.25">
      <c r="A2457" t="str">
        <f t="shared" si="56"/>
        <v>51276</v>
      </c>
      <c r="B2457" t="s">
        <v>38</v>
      </c>
      <c r="C2457" t="s">
        <v>1020</v>
      </c>
      <c r="D2457" t="str">
        <f>"012"</f>
        <v>012</v>
      </c>
      <c r="E2457">
        <v>2006</v>
      </c>
      <c r="F2457">
        <v>378000</v>
      </c>
      <c r="G2457">
        <v>6344800</v>
      </c>
      <c r="H2457">
        <v>5966800</v>
      </c>
    </row>
    <row r="2458" spans="1:9" x14ac:dyDescent="0.25">
      <c r="A2458" t="str">
        <f t="shared" si="56"/>
        <v>51276</v>
      </c>
      <c r="B2458" t="s">
        <v>38</v>
      </c>
      <c r="C2458" t="s">
        <v>1020</v>
      </c>
      <c r="D2458" t="str">
        <f>"013"</f>
        <v>013</v>
      </c>
      <c r="E2458">
        <v>2006</v>
      </c>
      <c r="F2458">
        <v>312300</v>
      </c>
      <c r="G2458">
        <v>9482400</v>
      </c>
      <c r="H2458">
        <v>9170100</v>
      </c>
    </row>
    <row r="2459" spans="1:9" x14ac:dyDescent="0.25">
      <c r="A2459" t="str">
        <f t="shared" si="56"/>
        <v>51276</v>
      </c>
      <c r="B2459" t="s">
        <v>38</v>
      </c>
      <c r="C2459" t="s">
        <v>1020</v>
      </c>
      <c r="D2459" t="str">
        <f>"014"</f>
        <v>014</v>
      </c>
      <c r="E2459">
        <v>2006</v>
      </c>
      <c r="F2459">
        <v>4103200</v>
      </c>
      <c r="G2459">
        <v>4194900</v>
      </c>
      <c r="H2459">
        <v>91700</v>
      </c>
    </row>
    <row r="2460" spans="1:9" x14ac:dyDescent="0.25">
      <c r="A2460" t="str">
        <f t="shared" si="56"/>
        <v>51276</v>
      </c>
      <c r="B2460" t="s">
        <v>38</v>
      </c>
      <c r="C2460" t="s">
        <v>1020</v>
      </c>
      <c r="D2460" t="str">
        <f>"016"</f>
        <v>016</v>
      </c>
      <c r="E2460">
        <v>2009</v>
      </c>
      <c r="F2460">
        <v>38217400</v>
      </c>
      <c r="G2460">
        <v>35992400</v>
      </c>
      <c r="H2460">
        <v>0</v>
      </c>
    </row>
    <row r="2461" spans="1:9" x14ac:dyDescent="0.25">
      <c r="A2461" t="str">
        <f t="shared" si="56"/>
        <v>51276</v>
      </c>
      <c r="B2461" t="s">
        <v>38</v>
      </c>
      <c r="C2461" t="s">
        <v>1020</v>
      </c>
      <c r="D2461" t="str">
        <f>"017"</f>
        <v>017</v>
      </c>
      <c r="E2461">
        <v>2012</v>
      </c>
      <c r="F2461">
        <v>1324600</v>
      </c>
      <c r="G2461">
        <v>404300</v>
      </c>
      <c r="H2461">
        <v>0</v>
      </c>
    </row>
    <row r="2462" spans="1:9" x14ac:dyDescent="0.25">
      <c r="A2462" t="str">
        <f t="shared" si="56"/>
        <v>51276</v>
      </c>
      <c r="B2462" t="s">
        <v>38</v>
      </c>
      <c r="C2462" t="s">
        <v>1020</v>
      </c>
      <c r="D2462" t="str">
        <f>"018"</f>
        <v>018</v>
      </c>
      <c r="E2462">
        <v>2014</v>
      </c>
      <c r="F2462">
        <v>10250100</v>
      </c>
      <c r="G2462">
        <v>3521600</v>
      </c>
      <c r="H2462">
        <v>0</v>
      </c>
    </row>
    <row r="2463" spans="1:9" x14ac:dyDescent="0.25">
      <c r="A2463" t="str">
        <f t="shared" si="56"/>
        <v>51276</v>
      </c>
      <c r="B2463" t="s">
        <v>38</v>
      </c>
      <c r="C2463" t="s">
        <v>1020</v>
      </c>
      <c r="D2463" t="str">
        <f>"019"</f>
        <v>019</v>
      </c>
      <c r="E2463">
        <v>2016</v>
      </c>
      <c r="F2463">
        <v>38194400</v>
      </c>
      <c r="G2463">
        <v>39820800</v>
      </c>
      <c r="H2463">
        <v>1626400</v>
      </c>
    </row>
    <row r="2464" spans="1:9" x14ac:dyDescent="0.25">
      <c r="A2464" t="str">
        <f t="shared" si="56"/>
        <v>51276</v>
      </c>
      <c r="B2464" t="s">
        <v>38</v>
      </c>
      <c r="C2464" t="s">
        <v>1020</v>
      </c>
      <c r="D2464" t="str">
        <f>"020"</f>
        <v>020</v>
      </c>
      <c r="E2464">
        <v>2017</v>
      </c>
      <c r="F2464">
        <v>59970000</v>
      </c>
      <c r="G2464">
        <v>54624700</v>
      </c>
      <c r="H2464">
        <v>0</v>
      </c>
    </row>
    <row r="2465" spans="1:9" x14ac:dyDescent="0.25">
      <c r="A2465" t="str">
        <f t="shared" si="56"/>
        <v>51276</v>
      </c>
      <c r="B2465" t="s">
        <v>38</v>
      </c>
      <c r="C2465" t="s">
        <v>1020</v>
      </c>
      <c r="D2465" t="s">
        <v>13</v>
      </c>
      <c r="E2465" t="s">
        <v>14</v>
      </c>
      <c r="F2465" t="s">
        <v>15</v>
      </c>
      <c r="G2465" t="s">
        <v>15</v>
      </c>
      <c r="H2465" t="s">
        <v>15</v>
      </c>
      <c r="I2465" s="1">
        <v>3644021100</v>
      </c>
    </row>
    <row r="2466" spans="1:9" x14ac:dyDescent="0.25">
      <c r="A2466" t="s">
        <v>32</v>
      </c>
      <c r="B2466" t="s">
        <v>40</v>
      </c>
      <c r="C2466" t="s">
        <v>34</v>
      </c>
      <c r="D2466" t="s">
        <v>13</v>
      </c>
      <c r="E2466" t="s">
        <v>14</v>
      </c>
      <c r="F2466" t="s">
        <v>15</v>
      </c>
      <c r="G2466" t="s">
        <v>15</v>
      </c>
      <c r="H2466" t="s">
        <v>15</v>
      </c>
      <c r="I2466" s="1">
        <v>4605774600</v>
      </c>
    </row>
    <row r="2467" spans="1:9" x14ac:dyDescent="0.25">
      <c r="A2467" t="s">
        <v>32</v>
      </c>
      <c r="B2467" t="s">
        <v>41</v>
      </c>
      <c r="C2467" t="s">
        <v>1020</v>
      </c>
      <c r="D2467" t="s">
        <v>13</v>
      </c>
      <c r="E2467" t="s">
        <v>14</v>
      </c>
      <c r="F2467" t="s">
        <v>15</v>
      </c>
      <c r="G2467" t="s">
        <v>15</v>
      </c>
      <c r="H2467" t="s">
        <v>15</v>
      </c>
      <c r="I2467" s="1">
        <v>16050695500</v>
      </c>
    </row>
    <row r="2468" spans="1:9" x14ac:dyDescent="0.25">
      <c r="A2468" t="str">
        <f>"52002"</f>
        <v>52002</v>
      </c>
      <c r="B2468" t="s">
        <v>11</v>
      </c>
      <c r="C2468" t="s">
        <v>1021</v>
      </c>
      <c r="D2468" t="s">
        <v>13</v>
      </c>
      <c r="E2468" t="s">
        <v>14</v>
      </c>
      <c r="F2468" t="s">
        <v>15</v>
      </c>
      <c r="G2468" t="s">
        <v>15</v>
      </c>
      <c r="H2468" t="s">
        <v>15</v>
      </c>
      <c r="I2468" s="1">
        <v>34608400</v>
      </c>
    </row>
    <row r="2469" spans="1:9" x14ac:dyDescent="0.25">
      <c r="A2469" t="str">
        <f>"52004"</f>
        <v>52004</v>
      </c>
      <c r="B2469" t="s">
        <v>11</v>
      </c>
      <c r="C2469" t="s">
        <v>1022</v>
      </c>
      <c r="D2469" t="s">
        <v>13</v>
      </c>
      <c r="E2469" t="s">
        <v>14</v>
      </c>
      <c r="F2469" t="s">
        <v>15</v>
      </c>
      <c r="G2469" t="s">
        <v>15</v>
      </c>
      <c r="H2469" t="s">
        <v>15</v>
      </c>
      <c r="I2469" s="1">
        <v>39069500</v>
      </c>
    </row>
    <row r="2470" spans="1:9" x14ac:dyDescent="0.25">
      <c r="A2470" t="str">
        <f>"52006"</f>
        <v>52006</v>
      </c>
      <c r="B2470" t="s">
        <v>11</v>
      </c>
      <c r="C2470" t="s">
        <v>976</v>
      </c>
      <c r="D2470" t="s">
        <v>13</v>
      </c>
      <c r="E2470" t="s">
        <v>14</v>
      </c>
      <c r="F2470" t="s">
        <v>15</v>
      </c>
      <c r="G2470" t="s">
        <v>15</v>
      </c>
      <c r="H2470" t="s">
        <v>15</v>
      </c>
      <c r="I2470" s="1">
        <v>121906000</v>
      </c>
    </row>
    <row r="2471" spans="1:9" x14ac:dyDescent="0.25">
      <c r="A2471" t="str">
        <f>"52008"</f>
        <v>52008</v>
      </c>
      <c r="B2471" t="s">
        <v>11</v>
      </c>
      <c r="C2471" t="s">
        <v>1023</v>
      </c>
      <c r="D2471" t="s">
        <v>13</v>
      </c>
      <c r="E2471" t="s">
        <v>14</v>
      </c>
      <c r="F2471" t="s">
        <v>15</v>
      </c>
      <c r="G2471" t="s">
        <v>15</v>
      </c>
      <c r="H2471" t="s">
        <v>15</v>
      </c>
      <c r="I2471" s="1">
        <v>55119700</v>
      </c>
    </row>
    <row r="2472" spans="1:9" x14ac:dyDescent="0.25">
      <c r="A2472" t="str">
        <f>"52010"</f>
        <v>52010</v>
      </c>
      <c r="B2472" t="s">
        <v>11</v>
      </c>
      <c r="C2472" t="s">
        <v>1024</v>
      </c>
      <c r="D2472" t="s">
        <v>13</v>
      </c>
      <c r="E2472" t="s">
        <v>14</v>
      </c>
      <c r="F2472" t="s">
        <v>15</v>
      </c>
      <c r="G2472" t="s">
        <v>15</v>
      </c>
      <c r="H2472" t="s">
        <v>15</v>
      </c>
      <c r="I2472" s="1">
        <v>45038600</v>
      </c>
    </row>
    <row r="2473" spans="1:9" x14ac:dyDescent="0.25">
      <c r="A2473" t="str">
        <f>"52012"</f>
        <v>52012</v>
      </c>
      <c r="B2473" t="s">
        <v>11</v>
      </c>
      <c r="C2473" t="s">
        <v>463</v>
      </c>
      <c r="D2473" t="s">
        <v>13</v>
      </c>
      <c r="E2473" t="s">
        <v>14</v>
      </c>
      <c r="F2473" t="s">
        <v>15</v>
      </c>
      <c r="G2473" t="s">
        <v>15</v>
      </c>
      <c r="H2473" t="s">
        <v>15</v>
      </c>
      <c r="I2473" s="1">
        <v>33336700</v>
      </c>
    </row>
    <row r="2474" spans="1:9" x14ac:dyDescent="0.25">
      <c r="A2474" t="str">
        <f>"52014"</f>
        <v>52014</v>
      </c>
      <c r="B2474" t="s">
        <v>11</v>
      </c>
      <c r="C2474" t="s">
        <v>1025</v>
      </c>
      <c r="D2474" t="s">
        <v>13</v>
      </c>
      <c r="E2474" t="s">
        <v>14</v>
      </c>
      <c r="F2474" t="s">
        <v>15</v>
      </c>
      <c r="G2474" t="s">
        <v>15</v>
      </c>
      <c r="H2474" t="s">
        <v>15</v>
      </c>
      <c r="I2474" s="1">
        <v>36738200</v>
      </c>
    </row>
    <row r="2475" spans="1:9" x14ac:dyDescent="0.25">
      <c r="A2475" t="str">
        <f>"52016"</f>
        <v>52016</v>
      </c>
      <c r="B2475" t="s">
        <v>11</v>
      </c>
      <c r="C2475" t="s">
        <v>1026</v>
      </c>
      <c r="D2475" t="s">
        <v>13</v>
      </c>
      <c r="E2475" t="s">
        <v>14</v>
      </c>
      <c r="F2475" t="s">
        <v>15</v>
      </c>
      <c r="G2475" t="s">
        <v>15</v>
      </c>
      <c r="H2475" t="s">
        <v>15</v>
      </c>
      <c r="I2475" s="1">
        <v>50705700</v>
      </c>
    </row>
    <row r="2476" spans="1:9" x14ac:dyDescent="0.25">
      <c r="A2476" t="str">
        <f>"52018"</f>
        <v>52018</v>
      </c>
      <c r="B2476" t="s">
        <v>11</v>
      </c>
      <c r="C2476" t="s">
        <v>338</v>
      </c>
      <c r="D2476" t="s">
        <v>13</v>
      </c>
      <c r="E2476" t="s">
        <v>14</v>
      </c>
      <c r="F2476" t="s">
        <v>15</v>
      </c>
      <c r="G2476" t="s">
        <v>15</v>
      </c>
      <c r="H2476" t="s">
        <v>15</v>
      </c>
      <c r="I2476" s="1">
        <v>44984300</v>
      </c>
    </row>
    <row r="2477" spans="1:9" x14ac:dyDescent="0.25">
      <c r="A2477" t="str">
        <f>"52020"</f>
        <v>52020</v>
      </c>
      <c r="B2477" t="s">
        <v>11</v>
      </c>
      <c r="C2477" t="s">
        <v>1027</v>
      </c>
      <c r="D2477" t="s">
        <v>13</v>
      </c>
      <c r="E2477" t="s">
        <v>14</v>
      </c>
      <c r="F2477" t="s">
        <v>15</v>
      </c>
      <c r="G2477" t="s">
        <v>15</v>
      </c>
      <c r="H2477" t="s">
        <v>15</v>
      </c>
      <c r="I2477" s="1">
        <v>65510800</v>
      </c>
    </row>
    <row r="2478" spans="1:9" x14ac:dyDescent="0.25">
      <c r="A2478" t="str">
        <f>"52022"</f>
        <v>52022</v>
      </c>
      <c r="B2478" t="s">
        <v>11</v>
      </c>
      <c r="C2478" t="s">
        <v>1028</v>
      </c>
      <c r="D2478" t="s">
        <v>13</v>
      </c>
      <c r="E2478" t="s">
        <v>14</v>
      </c>
      <c r="F2478" t="s">
        <v>15</v>
      </c>
      <c r="G2478" t="s">
        <v>15</v>
      </c>
      <c r="H2478" t="s">
        <v>15</v>
      </c>
      <c r="I2478" s="1">
        <v>93441200</v>
      </c>
    </row>
    <row r="2479" spans="1:9" x14ac:dyDescent="0.25">
      <c r="A2479" t="str">
        <f>"52024"</f>
        <v>52024</v>
      </c>
      <c r="B2479" t="s">
        <v>11</v>
      </c>
      <c r="C2479" t="s">
        <v>1029</v>
      </c>
      <c r="D2479" t="s">
        <v>13</v>
      </c>
      <c r="E2479" t="s">
        <v>14</v>
      </c>
      <c r="F2479" t="s">
        <v>15</v>
      </c>
      <c r="G2479" t="s">
        <v>15</v>
      </c>
      <c r="H2479" t="s">
        <v>15</v>
      </c>
      <c r="I2479" s="1">
        <v>43614300</v>
      </c>
    </row>
    <row r="2480" spans="1:9" x14ac:dyDescent="0.25">
      <c r="A2480" t="str">
        <f>"52026"</f>
        <v>52026</v>
      </c>
      <c r="B2480" t="s">
        <v>11</v>
      </c>
      <c r="C2480" t="s">
        <v>1030</v>
      </c>
      <c r="D2480" t="s">
        <v>13</v>
      </c>
      <c r="E2480" t="s">
        <v>14</v>
      </c>
      <c r="F2480" t="s">
        <v>15</v>
      </c>
      <c r="G2480" t="s">
        <v>15</v>
      </c>
      <c r="H2480" t="s">
        <v>15</v>
      </c>
      <c r="I2480" s="1">
        <v>54657800</v>
      </c>
    </row>
    <row r="2481" spans="1:9" x14ac:dyDescent="0.25">
      <c r="A2481" t="str">
        <f>"52028"</f>
        <v>52028</v>
      </c>
      <c r="B2481" t="s">
        <v>11</v>
      </c>
      <c r="C2481" t="s">
        <v>1031</v>
      </c>
      <c r="D2481" t="s">
        <v>13</v>
      </c>
      <c r="E2481" t="s">
        <v>14</v>
      </c>
      <c r="F2481" t="s">
        <v>15</v>
      </c>
      <c r="G2481" t="s">
        <v>15</v>
      </c>
      <c r="H2481" t="s">
        <v>15</v>
      </c>
      <c r="I2481" s="1">
        <v>36718400</v>
      </c>
    </row>
    <row r="2482" spans="1:9" x14ac:dyDescent="0.25">
      <c r="A2482" t="str">
        <f>"52030"</f>
        <v>52030</v>
      </c>
      <c r="B2482" t="s">
        <v>11</v>
      </c>
      <c r="C2482" t="s">
        <v>369</v>
      </c>
      <c r="D2482" t="s">
        <v>13</v>
      </c>
      <c r="E2482" t="s">
        <v>14</v>
      </c>
      <c r="F2482" t="s">
        <v>15</v>
      </c>
      <c r="G2482" t="s">
        <v>15</v>
      </c>
      <c r="H2482" t="s">
        <v>15</v>
      </c>
      <c r="I2482" s="1">
        <v>39442200</v>
      </c>
    </row>
    <row r="2483" spans="1:9" x14ac:dyDescent="0.25">
      <c r="A2483" t="str">
        <f>"52032"</f>
        <v>52032</v>
      </c>
      <c r="B2483" t="s">
        <v>11</v>
      </c>
      <c r="C2483" t="s">
        <v>1032</v>
      </c>
      <c r="D2483" t="s">
        <v>13</v>
      </c>
      <c r="E2483" t="s">
        <v>14</v>
      </c>
      <c r="F2483" t="s">
        <v>15</v>
      </c>
      <c r="G2483" t="s">
        <v>15</v>
      </c>
      <c r="H2483" t="s">
        <v>15</v>
      </c>
      <c r="I2483" s="1">
        <v>38621700</v>
      </c>
    </row>
    <row r="2484" spans="1:9" x14ac:dyDescent="0.25">
      <c r="A2484" t="s">
        <v>32</v>
      </c>
      <c r="B2484" t="s">
        <v>33</v>
      </c>
      <c r="C2484" t="s">
        <v>34</v>
      </c>
      <c r="D2484" t="s">
        <v>13</v>
      </c>
      <c r="E2484" t="s">
        <v>14</v>
      </c>
      <c r="F2484" t="s">
        <v>15</v>
      </c>
      <c r="G2484" t="s">
        <v>15</v>
      </c>
      <c r="H2484" t="s">
        <v>15</v>
      </c>
      <c r="I2484" s="1">
        <v>833513500</v>
      </c>
    </row>
    <row r="2485" spans="1:9" x14ac:dyDescent="0.25">
      <c r="A2485" t="str">
        <f>"52106"</f>
        <v>52106</v>
      </c>
      <c r="B2485" t="s">
        <v>35</v>
      </c>
      <c r="C2485" t="s">
        <v>1033</v>
      </c>
      <c r="D2485" t="s">
        <v>13</v>
      </c>
      <c r="E2485" t="s">
        <v>14</v>
      </c>
      <c r="F2485" t="s">
        <v>15</v>
      </c>
      <c r="G2485" t="s">
        <v>15</v>
      </c>
      <c r="H2485" t="s">
        <v>15</v>
      </c>
      <c r="I2485" s="1">
        <v>3925200</v>
      </c>
    </row>
    <row r="2486" spans="1:9" x14ac:dyDescent="0.25">
      <c r="A2486" t="str">
        <f>"52111"</f>
        <v>52111</v>
      </c>
      <c r="B2486" t="s">
        <v>35</v>
      </c>
      <c r="C2486" t="s">
        <v>1034</v>
      </c>
      <c r="D2486" t="s">
        <v>13</v>
      </c>
      <c r="E2486" t="s">
        <v>14</v>
      </c>
      <c r="F2486" t="s">
        <v>15</v>
      </c>
      <c r="G2486" t="s">
        <v>15</v>
      </c>
      <c r="H2486" t="s">
        <v>15</v>
      </c>
      <c r="I2486" s="1">
        <v>15213200</v>
      </c>
    </row>
    <row r="2487" spans="1:9" x14ac:dyDescent="0.25">
      <c r="A2487" t="str">
        <f>"52146"</f>
        <v>52146</v>
      </c>
      <c r="B2487" t="s">
        <v>35</v>
      </c>
      <c r="C2487" t="s">
        <v>1035</v>
      </c>
      <c r="D2487" t="s">
        <v>13</v>
      </c>
      <c r="E2487" t="s">
        <v>14</v>
      </c>
      <c r="F2487" t="s">
        <v>15</v>
      </c>
      <c r="G2487" t="s">
        <v>15</v>
      </c>
      <c r="H2487" t="s">
        <v>15</v>
      </c>
      <c r="I2487" s="1">
        <v>35989000</v>
      </c>
    </row>
    <row r="2488" spans="1:9" x14ac:dyDescent="0.25">
      <c r="A2488" t="str">
        <f>"52186"</f>
        <v>52186</v>
      </c>
      <c r="B2488" t="s">
        <v>35</v>
      </c>
      <c r="C2488" t="s">
        <v>1036</v>
      </c>
      <c r="D2488" t="str">
        <f>"003"</f>
        <v>003</v>
      </c>
      <c r="E2488">
        <v>1995</v>
      </c>
      <c r="F2488">
        <v>660900</v>
      </c>
      <c r="G2488">
        <v>1102400</v>
      </c>
      <c r="H2488">
        <v>441500</v>
      </c>
    </row>
    <row r="2489" spans="1:9" x14ac:dyDescent="0.25">
      <c r="A2489" t="str">
        <f>"52186"</f>
        <v>52186</v>
      </c>
      <c r="B2489" t="s">
        <v>35</v>
      </c>
      <c r="C2489" t="s">
        <v>1036</v>
      </c>
      <c r="D2489" t="s">
        <v>13</v>
      </c>
      <c r="E2489" t="s">
        <v>14</v>
      </c>
      <c r="F2489" t="s">
        <v>15</v>
      </c>
      <c r="G2489" t="s">
        <v>15</v>
      </c>
      <c r="H2489" t="s">
        <v>15</v>
      </c>
      <c r="I2489" s="1">
        <v>14461400</v>
      </c>
    </row>
    <row r="2490" spans="1:9" x14ac:dyDescent="0.25">
      <c r="A2490" t="str">
        <f>"52196"</f>
        <v>52196</v>
      </c>
      <c r="B2490" t="s">
        <v>35</v>
      </c>
      <c r="C2490" t="s">
        <v>1037</v>
      </c>
      <c r="D2490" t="s">
        <v>13</v>
      </c>
      <c r="E2490" t="s">
        <v>14</v>
      </c>
      <c r="F2490" t="s">
        <v>15</v>
      </c>
      <c r="G2490" t="s">
        <v>15</v>
      </c>
      <c r="H2490" t="s">
        <v>15</v>
      </c>
      <c r="I2490" s="1">
        <v>2390800</v>
      </c>
    </row>
    <row r="2491" spans="1:9" x14ac:dyDescent="0.25">
      <c r="A2491" t="s">
        <v>32</v>
      </c>
      <c r="B2491" t="s">
        <v>37</v>
      </c>
      <c r="C2491" t="s">
        <v>34</v>
      </c>
      <c r="D2491" t="s">
        <v>13</v>
      </c>
      <c r="E2491" t="s">
        <v>14</v>
      </c>
      <c r="F2491" t="s">
        <v>15</v>
      </c>
      <c r="G2491" t="s">
        <v>15</v>
      </c>
      <c r="H2491" t="s">
        <v>15</v>
      </c>
      <c r="I2491" s="1">
        <v>71979600</v>
      </c>
    </row>
    <row r="2492" spans="1:9" x14ac:dyDescent="0.25">
      <c r="A2492" t="str">
        <f>"52276"</f>
        <v>52276</v>
      </c>
      <c r="B2492" t="s">
        <v>38</v>
      </c>
      <c r="C2492" t="s">
        <v>1038</v>
      </c>
      <c r="D2492" t="str">
        <f>"004"</f>
        <v>004</v>
      </c>
      <c r="E2492">
        <v>1995</v>
      </c>
      <c r="F2492">
        <v>15091600</v>
      </c>
      <c r="G2492">
        <v>19056200</v>
      </c>
      <c r="H2492">
        <v>3964600</v>
      </c>
    </row>
    <row r="2493" spans="1:9" x14ac:dyDescent="0.25">
      <c r="A2493" t="str">
        <f>"52276"</f>
        <v>52276</v>
      </c>
      <c r="B2493" t="s">
        <v>38</v>
      </c>
      <c r="C2493" t="s">
        <v>1038</v>
      </c>
      <c r="D2493" t="str">
        <f>"006"</f>
        <v>006</v>
      </c>
      <c r="E2493">
        <v>2017</v>
      </c>
      <c r="F2493">
        <v>28300</v>
      </c>
      <c r="G2493">
        <v>2123200</v>
      </c>
      <c r="H2493">
        <v>2094900</v>
      </c>
    </row>
    <row r="2494" spans="1:9" x14ac:dyDescent="0.25">
      <c r="A2494" t="str">
        <f>"52276"</f>
        <v>52276</v>
      </c>
      <c r="B2494" t="s">
        <v>38</v>
      </c>
      <c r="C2494" t="s">
        <v>1038</v>
      </c>
      <c r="D2494" t="s">
        <v>13</v>
      </c>
      <c r="E2494" t="s">
        <v>14</v>
      </c>
      <c r="F2494" t="s">
        <v>15</v>
      </c>
      <c r="G2494" t="s">
        <v>15</v>
      </c>
      <c r="H2494" t="s">
        <v>15</v>
      </c>
      <c r="I2494" s="1">
        <v>297052300</v>
      </c>
    </row>
    <row r="2495" spans="1:9" x14ac:dyDescent="0.25">
      <c r="A2495" t="s">
        <v>32</v>
      </c>
      <c r="B2495" t="s">
        <v>40</v>
      </c>
      <c r="C2495" t="s">
        <v>34</v>
      </c>
      <c r="D2495" t="s">
        <v>13</v>
      </c>
      <c r="E2495" t="s">
        <v>14</v>
      </c>
      <c r="F2495" t="s">
        <v>15</v>
      </c>
      <c r="G2495" t="s">
        <v>15</v>
      </c>
      <c r="H2495" t="s">
        <v>15</v>
      </c>
      <c r="I2495" s="1">
        <v>297052300</v>
      </c>
    </row>
    <row r="2496" spans="1:9" x14ac:dyDescent="0.25">
      <c r="A2496" t="s">
        <v>32</v>
      </c>
      <c r="B2496" t="s">
        <v>41</v>
      </c>
      <c r="C2496" t="s">
        <v>1028</v>
      </c>
      <c r="D2496" t="s">
        <v>13</v>
      </c>
      <c r="E2496" t="s">
        <v>14</v>
      </c>
      <c r="F2496" t="s">
        <v>15</v>
      </c>
      <c r="G2496" t="s">
        <v>15</v>
      </c>
      <c r="H2496" t="s">
        <v>15</v>
      </c>
      <c r="I2496" s="1">
        <v>1202545400</v>
      </c>
    </row>
    <row r="2497" spans="1:9" x14ac:dyDescent="0.25">
      <c r="A2497" t="str">
        <f>"53002"</f>
        <v>53002</v>
      </c>
      <c r="B2497" t="s">
        <v>11</v>
      </c>
      <c r="C2497" t="s">
        <v>1039</v>
      </c>
      <c r="D2497" t="s">
        <v>13</v>
      </c>
      <c r="E2497" t="s">
        <v>14</v>
      </c>
      <c r="F2497" t="s">
        <v>15</v>
      </c>
      <c r="G2497" t="s">
        <v>15</v>
      </c>
      <c r="H2497" t="s">
        <v>15</v>
      </c>
      <c r="I2497" s="1">
        <v>52152300</v>
      </c>
    </row>
    <row r="2498" spans="1:9" x14ac:dyDescent="0.25">
      <c r="A2498" t="str">
        <f>"53004"</f>
        <v>53004</v>
      </c>
      <c r="B2498" t="s">
        <v>11</v>
      </c>
      <c r="C2498" t="s">
        <v>1040</v>
      </c>
      <c r="D2498" t="s">
        <v>13</v>
      </c>
      <c r="E2498" t="s">
        <v>14</v>
      </c>
      <c r="F2498" t="s">
        <v>15</v>
      </c>
      <c r="G2498" t="s">
        <v>15</v>
      </c>
      <c r="H2498" t="s">
        <v>15</v>
      </c>
      <c r="I2498" s="1">
        <v>512666200</v>
      </c>
    </row>
    <row r="2499" spans="1:9" x14ac:dyDescent="0.25">
      <c r="A2499" t="str">
        <f>"53006"</f>
        <v>53006</v>
      </c>
      <c r="B2499" t="s">
        <v>11</v>
      </c>
      <c r="C2499" t="s">
        <v>1041</v>
      </c>
      <c r="D2499" t="s">
        <v>13</v>
      </c>
      <c r="E2499" t="s">
        <v>14</v>
      </c>
      <c r="F2499" t="s">
        <v>15</v>
      </c>
      <c r="G2499" t="s">
        <v>15</v>
      </c>
      <c r="H2499" t="s">
        <v>15</v>
      </c>
      <c r="I2499" s="1">
        <v>101580100</v>
      </c>
    </row>
    <row r="2500" spans="1:9" x14ac:dyDescent="0.25">
      <c r="A2500" t="str">
        <f>"53008"</f>
        <v>53008</v>
      </c>
      <c r="B2500" t="s">
        <v>11</v>
      </c>
      <c r="C2500" t="s">
        <v>897</v>
      </c>
      <c r="D2500" t="s">
        <v>13</v>
      </c>
      <c r="E2500" t="s">
        <v>14</v>
      </c>
      <c r="F2500" t="s">
        <v>15</v>
      </c>
      <c r="G2500" t="s">
        <v>15</v>
      </c>
      <c r="H2500" t="s">
        <v>15</v>
      </c>
      <c r="I2500" s="1">
        <v>112059400</v>
      </c>
    </row>
    <row r="2501" spans="1:9" x14ac:dyDescent="0.25">
      <c r="A2501" t="str">
        <f>"53010"</f>
        <v>53010</v>
      </c>
      <c r="B2501" t="s">
        <v>11</v>
      </c>
      <c r="C2501" t="s">
        <v>63</v>
      </c>
      <c r="D2501" t="s">
        <v>13</v>
      </c>
      <c r="E2501" t="s">
        <v>14</v>
      </c>
      <c r="F2501" t="s">
        <v>15</v>
      </c>
      <c r="G2501" t="s">
        <v>15</v>
      </c>
      <c r="H2501" t="s">
        <v>15</v>
      </c>
      <c r="I2501" s="1">
        <v>78379400</v>
      </c>
    </row>
    <row r="2502" spans="1:9" x14ac:dyDescent="0.25">
      <c r="A2502" t="str">
        <f>"53012"</f>
        <v>53012</v>
      </c>
      <c r="B2502" t="s">
        <v>11</v>
      </c>
      <c r="C2502" t="s">
        <v>1042</v>
      </c>
      <c r="D2502" t="s">
        <v>13</v>
      </c>
      <c r="E2502" t="s">
        <v>14</v>
      </c>
      <c r="F2502" t="s">
        <v>15</v>
      </c>
      <c r="G2502" t="s">
        <v>15</v>
      </c>
      <c r="H2502" t="s">
        <v>15</v>
      </c>
      <c r="I2502" s="1">
        <v>441978500</v>
      </c>
    </row>
    <row r="2503" spans="1:9" x14ac:dyDescent="0.25">
      <c r="A2503" t="str">
        <f>"53014"</f>
        <v>53014</v>
      </c>
      <c r="B2503" t="s">
        <v>11</v>
      </c>
      <c r="C2503" t="s">
        <v>999</v>
      </c>
      <c r="D2503" t="s">
        <v>13</v>
      </c>
      <c r="E2503" t="s">
        <v>14</v>
      </c>
      <c r="F2503" t="s">
        <v>15</v>
      </c>
      <c r="G2503" t="s">
        <v>15</v>
      </c>
      <c r="H2503" t="s">
        <v>15</v>
      </c>
      <c r="I2503" s="1">
        <v>284955100</v>
      </c>
    </row>
    <row r="2504" spans="1:9" x14ac:dyDescent="0.25">
      <c r="A2504" t="str">
        <f>"53016"</f>
        <v>53016</v>
      </c>
      <c r="B2504" t="s">
        <v>11</v>
      </c>
      <c r="C2504" t="s">
        <v>1043</v>
      </c>
      <c r="D2504" t="s">
        <v>13</v>
      </c>
      <c r="E2504" t="s">
        <v>14</v>
      </c>
      <c r="F2504" t="s">
        <v>15</v>
      </c>
      <c r="G2504" t="s">
        <v>15</v>
      </c>
      <c r="H2504" t="s">
        <v>15</v>
      </c>
      <c r="I2504" s="1">
        <v>444746900</v>
      </c>
    </row>
    <row r="2505" spans="1:9" x14ac:dyDescent="0.25">
      <c r="A2505" t="str">
        <f>"53018"</f>
        <v>53018</v>
      </c>
      <c r="B2505" t="s">
        <v>11</v>
      </c>
      <c r="C2505" t="s">
        <v>959</v>
      </c>
      <c r="D2505" t="s">
        <v>13</v>
      </c>
      <c r="E2505" t="s">
        <v>14</v>
      </c>
      <c r="F2505" t="s">
        <v>15</v>
      </c>
      <c r="G2505" t="s">
        <v>15</v>
      </c>
      <c r="H2505" t="s">
        <v>15</v>
      </c>
      <c r="I2505" s="1">
        <v>87438800</v>
      </c>
    </row>
    <row r="2506" spans="1:9" x14ac:dyDescent="0.25">
      <c r="A2506" t="str">
        <f>"53020"</f>
        <v>53020</v>
      </c>
      <c r="B2506" t="s">
        <v>11</v>
      </c>
      <c r="C2506" t="s">
        <v>1044</v>
      </c>
      <c r="D2506" t="s">
        <v>13</v>
      </c>
      <c r="E2506" t="s">
        <v>14</v>
      </c>
      <c r="F2506" t="s">
        <v>15</v>
      </c>
      <c r="G2506" t="s">
        <v>15</v>
      </c>
      <c r="H2506" t="s">
        <v>15</v>
      </c>
      <c r="I2506" s="1">
        <v>78313200</v>
      </c>
    </row>
    <row r="2507" spans="1:9" x14ac:dyDescent="0.25">
      <c r="A2507" t="str">
        <f>"53022"</f>
        <v>53022</v>
      </c>
      <c r="B2507" t="s">
        <v>11</v>
      </c>
      <c r="C2507" t="s">
        <v>505</v>
      </c>
      <c r="D2507" t="s">
        <v>13</v>
      </c>
      <c r="E2507" t="s">
        <v>14</v>
      </c>
      <c r="F2507" t="s">
        <v>15</v>
      </c>
      <c r="G2507" t="s">
        <v>15</v>
      </c>
      <c r="H2507" t="s">
        <v>15</v>
      </c>
      <c r="I2507" s="1">
        <v>107502800</v>
      </c>
    </row>
    <row r="2508" spans="1:9" x14ac:dyDescent="0.25">
      <c r="A2508" t="str">
        <f>"53024"</f>
        <v>53024</v>
      </c>
      <c r="B2508" t="s">
        <v>11</v>
      </c>
      <c r="C2508" t="s">
        <v>1045</v>
      </c>
      <c r="D2508" t="s">
        <v>13</v>
      </c>
      <c r="E2508" t="s">
        <v>14</v>
      </c>
      <c r="F2508" t="s">
        <v>15</v>
      </c>
      <c r="G2508" t="s">
        <v>15</v>
      </c>
      <c r="H2508" t="s">
        <v>15</v>
      </c>
      <c r="I2508" s="1">
        <v>68789600</v>
      </c>
    </row>
    <row r="2509" spans="1:9" x14ac:dyDescent="0.25">
      <c r="A2509" t="str">
        <f>"53026"</f>
        <v>53026</v>
      </c>
      <c r="B2509" t="s">
        <v>11</v>
      </c>
      <c r="C2509" t="s">
        <v>141</v>
      </c>
      <c r="D2509" t="s">
        <v>13</v>
      </c>
      <c r="E2509" t="s">
        <v>14</v>
      </c>
      <c r="F2509" t="s">
        <v>15</v>
      </c>
      <c r="G2509" t="s">
        <v>15</v>
      </c>
      <c r="H2509" t="s">
        <v>15</v>
      </c>
      <c r="I2509" s="1">
        <v>353310500</v>
      </c>
    </row>
    <row r="2510" spans="1:9" x14ac:dyDescent="0.25">
      <c r="A2510" t="str">
        <f>"53028"</f>
        <v>53028</v>
      </c>
      <c r="B2510" t="s">
        <v>11</v>
      </c>
      <c r="C2510" t="s">
        <v>1046</v>
      </c>
      <c r="D2510" t="s">
        <v>13</v>
      </c>
      <c r="E2510" t="s">
        <v>14</v>
      </c>
      <c r="F2510" t="s">
        <v>15</v>
      </c>
      <c r="G2510" t="s">
        <v>15</v>
      </c>
      <c r="H2510" t="s">
        <v>15</v>
      </c>
      <c r="I2510" s="1">
        <v>132860300</v>
      </c>
    </row>
    <row r="2511" spans="1:9" x14ac:dyDescent="0.25">
      <c r="A2511" t="str">
        <f>"53030"</f>
        <v>53030</v>
      </c>
      <c r="B2511" t="s">
        <v>11</v>
      </c>
      <c r="C2511" t="s">
        <v>631</v>
      </c>
      <c r="D2511" t="s">
        <v>13</v>
      </c>
      <c r="E2511" t="s">
        <v>14</v>
      </c>
      <c r="F2511" t="s">
        <v>15</v>
      </c>
      <c r="G2511" t="s">
        <v>15</v>
      </c>
      <c r="H2511" t="s">
        <v>15</v>
      </c>
      <c r="I2511" s="1">
        <v>101974800</v>
      </c>
    </row>
    <row r="2512" spans="1:9" x14ac:dyDescent="0.25">
      <c r="A2512" t="str">
        <f>"53032"</f>
        <v>53032</v>
      </c>
      <c r="B2512" t="s">
        <v>11</v>
      </c>
      <c r="C2512" t="s">
        <v>1047</v>
      </c>
      <c r="D2512" t="s">
        <v>13</v>
      </c>
      <c r="E2512" t="s">
        <v>14</v>
      </c>
      <c r="F2512" t="s">
        <v>15</v>
      </c>
      <c r="G2512" t="s">
        <v>15</v>
      </c>
      <c r="H2512" t="s">
        <v>15</v>
      </c>
      <c r="I2512" s="1">
        <v>110767900</v>
      </c>
    </row>
    <row r="2513" spans="1:9" x14ac:dyDescent="0.25">
      <c r="A2513" t="str">
        <f>"53034"</f>
        <v>53034</v>
      </c>
      <c r="B2513" t="s">
        <v>11</v>
      </c>
      <c r="C2513" t="s">
        <v>1048</v>
      </c>
      <c r="D2513" t="s">
        <v>13</v>
      </c>
      <c r="E2513" t="s">
        <v>14</v>
      </c>
      <c r="F2513" t="s">
        <v>15</v>
      </c>
      <c r="G2513" t="s">
        <v>15</v>
      </c>
      <c r="H2513" t="s">
        <v>15</v>
      </c>
      <c r="I2513" s="1">
        <v>195167300</v>
      </c>
    </row>
    <row r="2514" spans="1:9" x14ac:dyDescent="0.25">
      <c r="A2514" t="str">
        <f>"53036"</f>
        <v>53036</v>
      </c>
      <c r="B2514" t="s">
        <v>11</v>
      </c>
      <c r="C2514" t="s">
        <v>948</v>
      </c>
      <c r="D2514" t="s">
        <v>13</v>
      </c>
      <c r="E2514" t="s">
        <v>14</v>
      </c>
      <c r="F2514" t="s">
        <v>15</v>
      </c>
      <c r="G2514" t="s">
        <v>15</v>
      </c>
      <c r="H2514" t="s">
        <v>15</v>
      </c>
      <c r="I2514" s="1">
        <v>72188900</v>
      </c>
    </row>
    <row r="2515" spans="1:9" x14ac:dyDescent="0.25">
      <c r="A2515" t="str">
        <f>"53038"</f>
        <v>53038</v>
      </c>
      <c r="B2515" t="s">
        <v>11</v>
      </c>
      <c r="C2515" t="s">
        <v>1049</v>
      </c>
      <c r="D2515" t="s">
        <v>13</v>
      </c>
      <c r="E2515" t="s">
        <v>14</v>
      </c>
      <c r="F2515" t="s">
        <v>15</v>
      </c>
      <c r="G2515" t="s">
        <v>15</v>
      </c>
      <c r="H2515" t="s">
        <v>15</v>
      </c>
      <c r="I2515" s="1">
        <v>210953800</v>
      </c>
    </row>
    <row r="2516" spans="1:9" x14ac:dyDescent="0.25">
      <c r="A2516" t="str">
        <f>"53040"</f>
        <v>53040</v>
      </c>
      <c r="B2516" t="s">
        <v>11</v>
      </c>
      <c r="C2516" t="s">
        <v>165</v>
      </c>
      <c r="D2516" t="s">
        <v>13</v>
      </c>
      <c r="E2516" t="s">
        <v>14</v>
      </c>
      <c r="F2516" t="s">
        <v>15</v>
      </c>
      <c r="G2516" t="s">
        <v>15</v>
      </c>
      <c r="H2516" t="s">
        <v>15</v>
      </c>
      <c r="I2516" s="1">
        <v>191371600</v>
      </c>
    </row>
    <row r="2517" spans="1:9" x14ac:dyDescent="0.25">
      <c r="A2517" t="s">
        <v>32</v>
      </c>
      <c r="B2517" t="s">
        <v>33</v>
      </c>
      <c r="C2517" t="s">
        <v>34</v>
      </c>
      <c r="D2517" t="s">
        <v>13</v>
      </c>
      <c r="E2517" t="s">
        <v>14</v>
      </c>
      <c r="F2517" t="s">
        <v>15</v>
      </c>
      <c r="G2517" t="s">
        <v>15</v>
      </c>
      <c r="H2517" t="s">
        <v>15</v>
      </c>
      <c r="I2517" s="1">
        <v>3739157400</v>
      </c>
    </row>
    <row r="2518" spans="1:9" x14ac:dyDescent="0.25">
      <c r="A2518" t="str">
        <f>"53111"</f>
        <v>53111</v>
      </c>
      <c r="B2518" t="s">
        <v>35</v>
      </c>
      <c r="C2518" t="s">
        <v>63</v>
      </c>
      <c r="D2518" t="str">
        <f>"004"</f>
        <v>004</v>
      </c>
      <c r="E2518">
        <v>1998</v>
      </c>
      <c r="F2518">
        <v>17807300</v>
      </c>
      <c r="G2518">
        <v>39532200</v>
      </c>
      <c r="H2518">
        <v>21724900</v>
      </c>
    </row>
    <row r="2519" spans="1:9" x14ac:dyDescent="0.25">
      <c r="A2519" t="str">
        <f>"53111"</f>
        <v>53111</v>
      </c>
      <c r="B2519" t="s">
        <v>35</v>
      </c>
      <c r="C2519" t="s">
        <v>63</v>
      </c>
      <c r="D2519" t="s">
        <v>13</v>
      </c>
      <c r="E2519" t="s">
        <v>14</v>
      </c>
      <c r="F2519" t="s">
        <v>15</v>
      </c>
      <c r="G2519" t="s">
        <v>15</v>
      </c>
      <c r="H2519" t="s">
        <v>15</v>
      </c>
      <c r="I2519" s="1">
        <v>108022000</v>
      </c>
    </row>
    <row r="2520" spans="1:9" x14ac:dyDescent="0.25">
      <c r="A2520" t="str">
        <f>"53126"</f>
        <v>53126</v>
      </c>
      <c r="B2520" t="s">
        <v>35</v>
      </c>
      <c r="C2520" t="s">
        <v>1050</v>
      </c>
      <c r="D2520" t="str">
        <f>"001"</f>
        <v>001</v>
      </c>
      <c r="E2520">
        <v>2000</v>
      </c>
      <c r="F2520">
        <v>1235300</v>
      </c>
      <c r="G2520">
        <v>12005300</v>
      </c>
      <c r="H2520">
        <v>10770000</v>
      </c>
    </row>
    <row r="2521" spans="1:9" x14ac:dyDescent="0.25">
      <c r="A2521" t="str">
        <f>"53126"</f>
        <v>53126</v>
      </c>
      <c r="B2521" t="s">
        <v>35</v>
      </c>
      <c r="C2521" t="s">
        <v>1050</v>
      </c>
      <c r="D2521" t="s">
        <v>13</v>
      </c>
      <c r="E2521" t="s">
        <v>14</v>
      </c>
      <c r="F2521" t="s">
        <v>15</v>
      </c>
      <c r="G2521" t="s">
        <v>15</v>
      </c>
      <c r="H2521" t="s">
        <v>15</v>
      </c>
      <c r="I2521" s="1">
        <v>36972500</v>
      </c>
    </row>
    <row r="2522" spans="1:9" x14ac:dyDescent="0.25">
      <c r="A2522" t="str">
        <f>"53165"</f>
        <v>53165</v>
      </c>
      <c r="B2522" t="s">
        <v>35</v>
      </c>
      <c r="C2522" t="s">
        <v>1051</v>
      </c>
      <c r="D2522" t="str">
        <f>"003"</f>
        <v>003</v>
      </c>
      <c r="E2522">
        <v>2000</v>
      </c>
      <c r="F2522">
        <v>512700</v>
      </c>
      <c r="G2522">
        <v>8150500</v>
      </c>
      <c r="H2522">
        <v>7637800</v>
      </c>
    </row>
    <row r="2523" spans="1:9" x14ac:dyDescent="0.25">
      <c r="A2523" t="str">
        <f>"53165"</f>
        <v>53165</v>
      </c>
      <c r="B2523" t="s">
        <v>35</v>
      </c>
      <c r="C2523" t="s">
        <v>1051</v>
      </c>
      <c r="D2523" t="s">
        <v>13</v>
      </c>
      <c r="E2523" t="s">
        <v>14</v>
      </c>
      <c r="F2523" t="s">
        <v>15</v>
      </c>
      <c r="G2523" t="s">
        <v>15</v>
      </c>
      <c r="H2523" t="s">
        <v>15</v>
      </c>
      <c r="I2523" s="1">
        <v>71705400</v>
      </c>
    </row>
    <row r="2524" spans="1:9" x14ac:dyDescent="0.25">
      <c r="A2524" t="s">
        <v>32</v>
      </c>
      <c r="B2524" t="s">
        <v>37</v>
      </c>
      <c r="C2524" t="s">
        <v>34</v>
      </c>
      <c r="D2524" t="s">
        <v>13</v>
      </c>
      <c r="E2524" t="s">
        <v>14</v>
      </c>
      <c r="F2524" t="s">
        <v>15</v>
      </c>
      <c r="G2524" t="s">
        <v>15</v>
      </c>
      <c r="H2524" t="s">
        <v>15</v>
      </c>
      <c r="I2524" s="1">
        <v>216699900</v>
      </c>
    </row>
    <row r="2525" spans="1:9" x14ac:dyDescent="0.25">
      <c r="A2525" t="str">
        <f t="shared" ref="A2525:A2532" si="57">"53206"</f>
        <v>53206</v>
      </c>
      <c r="B2525" t="s">
        <v>38</v>
      </c>
      <c r="C2525" t="s">
        <v>1040</v>
      </c>
      <c r="D2525" t="str">
        <f>"008"</f>
        <v>008</v>
      </c>
      <c r="E2525">
        <v>1995</v>
      </c>
      <c r="F2525">
        <v>1646300</v>
      </c>
      <c r="G2525">
        <v>16348900</v>
      </c>
      <c r="H2525">
        <v>14702600</v>
      </c>
    </row>
    <row r="2526" spans="1:9" x14ac:dyDescent="0.25">
      <c r="A2526" t="str">
        <f t="shared" si="57"/>
        <v>53206</v>
      </c>
      <c r="B2526" t="s">
        <v>38</v>
      </c>
      <c r="C2526" t="s">
        <v>1040</v>
      </c>
      <c r="D2526" t="str">
        <f>"009"</f>
        <v>009</v>
      </c>
      <c r="E2526">
        <v>1998</v>
      </c>
      <c r="F2526">
        <v>3666300</v>
      </c>
      <c r="G2526">
        <v>9695400</v>
      </c>
      <c r="H2526">
        <v>6029100</v>
      </c>
    </row>
    <row r="2527" spans="1:9" x14ac:dyDescent="0.25">
      <c r="A2527" t="str">
        <f t="shared" si="57"/>
        <v>53206</v>
      </c>
      <c r="B2527" t="s">
        <v>38</v>
      </c>
      <c r="C2527" t="s">
        <v>1040</v>
      </c>
      <c r="D2527" t="str">
        <f>"010"</f>
        <v>010</v>
      </c>
      <c r="E2527">
        <v>2001</v>
      </c>
      <c r="F2527">
        <v>1763400</v>
      </c>
      <c r="G2527">
        <v>167431900</v>
      </c>
      <c r="H2527">
        <v>165668500</v>
      </c>
    </row>
    <row r="2528" spans="1:9" x14ac:dyDescent="0.25">
      <c r="A2528" t="str">
        <f t="shared" si="57"/>
        <v>53206</v>
      </c>
      <c r="B2528" t="s">
        <v>38</v>
      </c>
      <c r="C2528" t="s">
        <v>1040</v>
      </c>
      <c r="D2528" t="str">
        <f>"011"</f>
        <v>011</v>
      </c>
      <c r="E2528">
        <v>2002</v>
      </c>
      <c r="F2528">
        <v>1963200</v>
      </c>
      <c r="G2528">
        <v>9484600</v>
      </c>
      <c r="H2528">
        <v>7521400</v>
      </c>
    </row>
    <row r="2529" spans="1:9" x14ac:dyDescent="0.25">
      <c r="A2529" t="str">
        <f t="shared" si="57"/>
        <v>53206</v>
      </c>
      <c r="B2529" t="s">
        <v>38</v>
      </c>
      <c r="C2529" t="s">
        <v>1040</v>
      </c>
      <c r="D2529" t="str">
        <f>"012"</f>
        <v>012</v>
      </c>
      <c r="E2529">
        <v>2003</v>
      </c>
      <c r="F2529">
        <v>795300</v>
      </c>
      <c r="G2529">
        <v>2154300</v>
      </c>
      <c r="H2529">
        <v>1359000</v>
      </c>
    </row>
    <row r="2530" spans="1:9" x14ac:dyDescent="0.25">
      <c r="A2530" t="str">
        <f t="shared" si="57"/>
        <v>53206</v>
      </c>
      <c r="B2530" t="s">
        <v>38</v>
      </c>
      <c r="C2530" t="s">
        <v>1040</v>
      </c>
      <c r="D2530" t="str">
        <f>"013"</f>
        <v>013</v>
      </c>
      <c r="E2530">
        <v>2005</v>
      </c>
      <c r="F2530">
        <v>23854500</v>
      </c>
      <c r="G2530">
        <v>51977300</v>
      </c>
      <c r="H2530">
        <v>28122800</v>
      </c>
    </row>
    <row r="2531" spans="1:9" x14ac:dyDescent="0.25">
      <c r="A2531" t="str">
        <f t="shared" si="57"/>
        <v>53206</v>
      </c>
      <c r="B2531" t="s">
        <v>38</v>
      </c>
      <c r="C2531" t="s">
        <v>1040</v>
      </c>
      <c r="D2531" t="str">
        <f>"014"</f>
        <v>014</v>
      </c>
      <c r="E2531">
        <v>2007</v>
      </c>
      <c r="F2531">
        <v>10510700</v>
      </c>
      <c r="G2531">
        <v>13420800</v>
      </c>
      <c r="H2531">
        <v>2910100</v>
      </c>
    </row>
    <row r="2532" spans="1:9" x14ac:dyDescent="0.25">
      <c r="A2532" t="str">
        <f t="shared" si="57"/>
        <v>53206</v>
      </c>
      <c r="B2532" t="s">
        <v>38</v>
      </c>
      <c r="C2532" t="s">
        <v>1040</v>
      </c>
      <c r="D2532" t="s">
        <v>13</v>
      </c>
      <c r="E2532" t="s">
        <v>14</v>
      </c>
      <c r="F2532" t="s">
        <v>15</v>
      </c>
      <c r="G2532" t="s">
        <v>15</v>
      </c>
      <c r="H2532" t="s">
        <v>15</v>
      </c>
      <c r="I2532" s="1">
        <v>1559541400</v>
      </c>
    </row>
    <row r="2533" spans="1:9" x14ac:dyDescent="0.25">
      <c r="A2533" t="str">
        <f>"53210"</f>
        <v>53210</v>
      </c>
      <c r="B2533" t="s">
        <v>38</v>
      </c>
      <c r="C2533" t="s">
        <v>545</v>
      </c>
      <c r="D2533" t="str">
        <f>"006"</f>
        <v>006</v>
      </c>
      <c r="E2533">
        <v>2006</v>
      </c>
      <c r="F2533">
        <v>102100</v>
      </c>
      <c r="G2533">
        <v>1894000</v>
      </c>
      <c r="H2533">
        <v>1791900</v>
      </c>
    </row>
    <row r="2534" spans="1:9" x14ac:dyDescent="0.25">
      <c r="A2534" t="str">
        <f>"53210"</f>
        <v>53210</v>
      </c>
      <c r="B2534" t="s">
        <v>38</v>
      </c>
      <c r="C2534" t="s">
        <v>545</v>
      </c>
      <c r="D2534" t="s">
        <v>13</v>
      </c>
      <c r="E2534" t="s">
        <v>14</v>
      </c>
      <c r="F2534" t="s">
        <v>15</v>
      </c>
      <c r="G2534" t="s">
        <v>15</v>
      </c>
      <c r="H2534" t="s">
        <v>15</v>
      </c>
      <c r="I2534" s="1">
        <v>5848800</v>
      </c>
    </row>
    <row r="2535" spans="1:9" x14ac:dyDescent="0.25">
      <c r="A2535" t="str">
        <f>"53221"</f>
        <v>53221</v>
      </c>
      <c r="B2535" t="s">
        <v>38</v>
      </c>
      <c r="C2535" t="s">
        <v>345</v>
      </c>
      <c r="D2535" t="str">
        <f>"006"</f>
        <v>006</v>
      </c>
      <c r="E2535">
        <v>2000</v>
      </c>
      <c r="F2535">
        <v>10105900</v>
      </c>
      <c r="G2535">
        <v>28721500</v>
      </c>
      <c r="H2535">
        <v>18615600</v>
      </c>
    </row>
    <row r="2536" spans="1:9" x14ac:dyDescent="0.25">
      <c r="A2536" t="str">
        <f>"53221"</f>
        <v>53221</v>
      </c>
      <c r="B2536" t="s">
        <v>38</v>
      </c>
      <c r="C2536" t="s">
        <v>345</v>
      </c>
      <c r="D2536" t="str">
        <f>"007"</f>
        <v>007</v>
      </c>
      <c r="E2536">
        <v>2000</v>
      </c>
      <c r="F2536">
        <v>650100</v>
      </c>
      <c r="G2536">
        <v>2825600</v>
      </c>
      <c r="H2536">
        <v>2175500</v>
      </c>
    </row>
    <row r="2537" spans="1:9" x14ac:dyDescent="0.25">
      <c r="A2537" t="str">
        <f>"53221"</f>
        <v>53221</v>
      </c>
      <c r="B2537" t="s">
        <v>38</v>
      </c>
      <c r="C2537" t="s">
        <v>345</v>
      </c>
      <c r="D2537" t="str">
        <f>"008"</f>
        <v>008</v>
      </c>
      <c r="E2537">
        <v>2005</v>
      </c>
      <c r="F2537">
        <v>7337900</v>
      </c>
      <c r="G2537">
        <v>13113300</v>
      </c>
      <c r="H2537">
        <v>5775400</v>
      </c>
    </row>
    <row r="2538" spans="1:9" x14ac:dyDescent="0.25">
      <c r="A2538" t="str">
        <f>"53221"</f>
        <v>53221</v>
      </c>
      <c r="B2538" t="s">
        <v>38</v>
      </c>
      <c r="C2538" t="s">
        <v>345</v>
      </c>
      <c r="D2538" t="s">
        <v>13</v>
      </c>
      <c r="E2538" t="s">
        <v>14</v>
      </c>
      <c r="F2538" t="s">
        <v>15</v>
      </c>
      <c r="G2538" t="s">
        <v>15</v>
      </c>
      <c r="H2538" t="s">
        <v>15</v>
      </c>
      <c r="I2538" s="1">
        <v>368065800</v>
      </c>
    </row>
    <row r="2539" spans="1:9" x14ac:dyDescent="0.25">
      <c r="A2539" t="str">
        <f t="shared" ref="A2539:A2544" si="58">"53222"</f>
        <v>53222</v>
      </c>
      <c r="B2539" t="s">
        <v>38</v>
      </c>
      <c r="C2539" t="s">
        <v>1052</v>
      </c>
      <c r="D2539" t="str">
        <f>"005"</f>
        <v>005</v>
      </c>
      <c r="E2539">
        <v>2004</v>
      </c>
      <c r="F2539">
        <v>11299100</v>
      </c>
      <c r="G2539">
        <v>20871900</v>
      </c>
      <c r="H2539">
        <v>9572800</v>
      </c>
    </row>
    <row r="2540" spans="1:9" x14ac:dyDescent="0.25">
      <c r="A2540" t="str">
        <f t="shared" si="58"/>
        <v>53222</v>
      </c>
      <c r="B2540" t="s">
        <v>38</v>
      </c>
      <c r="C2540" t="s">
        <v>1052</v>
      </c>
      <c r="D2540" t="str">
        <f>"006"</f>
        <v>006</v>
      </c>
      <c r="E2540">
        <v>2006</v>
      </c>
      <c r="F2540">
        <v>1927800</v>
      </c>
      <c r="G2540">
        <v>6393700</v>
      </c>
      <c r="H2540">
        <v>4465900</v>
      </c>
    </row>
    <row r="2541" spans="1:9" x14ac:dyDescent="0.25">
      <c r="A2541" t="str">
        <f t="shared" si="58"/>
        <v>53222</v>
      </c>
      <c r="B2541" t="s">
        <v>38</v>
      </c>
      <c r="C2541" t="s">
        <v>1052</v>
      </c>
      <c r="D2541" t="str">
        <f>"007"</f>
        <v>007</v>
      </c>
      <c r="E2541">
        <v>2007</v>
      </c>
      <c r="F2541">
        <v>6101700</v>
      </c>
      <c r="G2541">
        <v>7532700</v>
      </c>
      <c r="H2541">
        <v>1431000</v>
      </c>
    </row>
    <row r="2542" spans="1:9" x14ac:dyDescent="0.25">
      <c r="A2542" t="str">
        <f t="shared" si="58"/>
        <v>53222</v>
      </c>
      <c r="B2542" t="s">
        <v>38</v>
      </c>
      <c r="C2542" t="s">
        <v>1052</v>
      </c>
      <c r="D2542" t="str">
        <f>"008"</f>
        <v>008</v>
      </c>
      <c r="E2542">
        <v>2008</v>
      </c>
      <c r="F2542">
        <v>2695300</v>
      </c>
      <c r="G2542">
        <v>4858800</v>
      </c>
      <c r="H2542">
        <v>2163500</v>
      </c>
    </row>
    <row r="2543" spans="1:9" x14ac:dyDescent="0.25">
      <c r="A2543" t="str">
        <f t="shared" si="58"/>
        <v>53222</v>
      </c>
      <c r="B2543" t="s">
        <v>38</v>
      </c>
      <c r="C2543" t="s">
        <v>1052</v>
      </c>
      <c r="D2543" t="str">
        <f>"009"</f>
        <v>009</v>
      </c>
      <c r="E2543">
        <v>2018</v>
      </c>
      <c r="F2543">
        <v>500</v>
      </c>
      <c r="G2543">
        <v>291100</v>
      </c>
      <c r="H2543">
        <v>290600</v>
      </c>
    </row>
    <row r="2544" spans="1:9" x14ac:dyDescent="0.25">
      <c r="A2544" t="str">
        <f t="shared" si="58"/>
        <v>53222</v>
      </c>
      <c r="B2544" t="s">
        <v>38</v>
      </c>
      <c r="C2544" t="s">
        <v>1052</v>
      </c>
      <c r="D2544" t="s">
        <v>13</v>
      </c>
      <c r="E2544" t="s">
        <v>14</v>
      </c>
      <c r="F2544" t="s">
        <v>15</v>
      </c>
      <c r="G2544" t="s">
        <v>15</v>
      </c>
      <c r="H2544" t="s">
        <v>15</v>
      </c>
      <c r="I2544" s="1">
        <v>419103500</v>
      </c>
    </row>
    <row r="2545" spans="1:9" x14ac:dyDescent="0.25">
      <c r="A2545" t="str">
        <f t="shared" ref="A2545:A2559" si="59">"53241"</f>
        <v>53241</v>
      </c>
      <c r="B2545" t="s">
        <v>38</v>
      </c>
      <c r="C2545" t="s">
        <v>1043</v>
      </c>
      <c r="D2545" t="str">
        <f>"017"</f>
        <v>017</v>
      </c>
      <c r="E2545">
        <v>1997</v>
      </c>
      <c r="F2545">
        <v>1407500</v>
      </c>
      <c r="G2545">
        <v>3043700</v>
      </c>
      <c r="H2545">
        <v>1636200</v>
      </c>
    </row>
    <row r="2546" spans="1:9" x14ac:dyDescent="0.25">
      <c r="A2546" t="str">
        <f t="shared" si="59"/>
        <v>53241</v>
      </c>
      <c r="B2546" t="s">
        <v>38</v>
      </c>
      <c r="C2546" t="s">
        <v>1043</v>
      </c>
      <c r="D2546" t="str">
        <f>"021"</f>
        <v>021</v>
      </c>
      <c r="E2546">
        <v>1999</v>
      </c>
      <c r="F2546">
        <v>2200</v>
      </c>
      <c r="G2546">
        <v>11763700</v>
      </c>
      <c r="H2546">
        <v>11761500</v>
      </c>
    </row>
    <row r="2547" spans="1:9" x14ac:dyDescent="0.25">
      <c r="A2547" t="str">
        <f t="shared" si="59"/>
        <v>53241</v>
      </c>
      <c r="B2547" t="s">
        <v>38</v>
      </c>
      <c r="C2547" t="s">
        <v>1043</v>
      </c>
      <c r="D2547" t="str">
        <f>"022"</f>
        <v>022</v>
      </c>
      <c r="E2547">
        <v>1999</v>
      </c>
      <c r="F2547">
        <v>5508500</v>
      </c>
      <c r="G2547">
        <v>61496200</v>
      </c>
      <c r="H2547">
        <v>55987700</v>
      </c>
    </row>
    <row r="2548" spans="1:9" x14ac:dyDescent="0.25">
      <c r="A2548" t="str">
        <f t="shared" si="59"/>
        <v>53241</v>
      </c>
      <c r="B2548" t="s">
        <v>38</v>
      </c>
      <c r="C2548" t="s">
        <v>1043</v>
      </c>
      <c r="D2548" t="str">
        <f>"023"</f>
        <v>023</v>
      </c>
      <c r="E2548">
        <v>2002</v>
      </c>
      <c r="F2548">
        <v>4973700</v>
      </c>
      <c r="G2548">
        <v>7650700</v>
      </c>
      <c r="H2548">
        <v>2677000</v>
      </c>
    </row>
    <row r="2549" spans="1:9" x14ac:dyDescent="0.25">
      <c r="A2549" t="str">
        <f t="shared" si="59"/>
        <v>53241</v>
      </c>
      <c r="B2549" t="s">
        <v>38</v>
      </c>
      <c r="C2549" t="s">
        <v>1043</v>
      </c>
      <c r="D2549" t="str">
        <f>"025"</f>
        <v>025</v>
      </c>
      <c r="E2549">
        <v>2003</v>
      </c>
      <c r="F2549">
        <v>12900</v>
      </c>
      <c r="G2549">
        <v>13958000</v>
      </c>
      <c r="H2549">
        <v>13945100</v>
      </c>
    </row>
    <row r="2550" spans="1:9" x14ac:dyDescent="0.25">
      <c r="A2550" t="str">
        <f t="shared" si="59"/>
        <v>53241</v>
      </c>
      <c r="B2550" t="s">
        <v>38</v>
      </c>
      <c r="C2550" t="s">
        <v>1043</v>
      </c>
      <c r="D2550" t="str">
        <f>"026"</f>
        <v>026</v>
      </c>
      <c r="E2550">
        <v>2004</v>
      </c>
      <c r="F2550">
        <v>33643100</v>
      </c>
      <c r="G2550">
        <v>48349900</v>
      </c>
      <c r="H2550">
        <v>14706800</v>
      </c>
    </row>
    <row r="2551" spans="1:9" x14ac:dyDescent="0.25">
      <c r="A2551" t="str">
        <f t="shared" si="59"/>
        <v>53241</v>
      </c>
      <c r="B2551" t="s">
        <v>38</v>
      </c>
      <c r="C2551" t="s">
        <v>1043</v>
      </c>
      <c r="D2551" t="str">
        <f>"027"</f>
        <v>027</v>
      </c>
      <c r="E2551">
        <v>2003</v>
      </c>
      <c r="F2551">
        <v>4064800</v>
      </c>
      <c r="G2551">
        <v>4339500</v>
      </c>
      <c r="H2551">
        <v>274700</v>
      </c>
    </row>
    <row r="2552" spans="1:9" x14ac:dyDescent="0.25">
      <c r="A2552" t="str">
        <f t="shared" si="59"/>
        <v>53241</v>
      </c>
      <c r="B2552" t="s">
        <v>38</v>
      </c>
      <c r="C2552" t="s">
        <v>1043</v>
      </c>
      <c r="D2552" t="str">
        <f>"028"</f>
        <v>028</v>
      </c>
      <c r="E2552">
        <v>2006</v>
      </c>
      <c r="F2552">
        <v>2471400</v>
      </c>
      <c r="G2552">
        <v>2489700</v>
      </c>
      <c r="H2552">
        <v>18300</v>
      </c>
    </row>
    <row r="2553" spans="1:9" x14ac:dyDescent="0.25">
      <c r="A2553" t="str">
        <f t="shared" si="59"/>
        <v>53241</v>
      </c>
      <c r="B2553" t="s">
        <v>38</v>
      </c>
      <c r="C2553" t="s">
        <v>1043</v>
      </c>
      <c r="D2553" t="str">
        <f>"029"</f>
        <v>029</v>
      </c>
      <c r="E2553">
        <v>2007</v>
      </c>
      <c r="F2553">
        <v>6610100</v>
      </c>
      <c r="G2553">
        <v>9151100</v>
      </c>
      <c r="H2553">
        <v>2541000</v>
      </c>
    </row>
    <row r="2554" spans="1:9" x14ac:dyDescent="0.25">
      <c r="A2554" t="str">
        <f t="shared" si="59"/>
        <v>53241</v>
      </c>
      <c r="B2554" t="s">
        <v>38</v>
      </c>
      <c r="C2554" t="s">
        <v>1043</v>
      </c>
      <c r="D2554" t="str">
        <f>"032"</f>
        <v>032</v>
      </c>
      <c r="E2554">
        <v>2008</v>
      </c>
      <c r="F2554">
        <v>54834800</v>
      </c>
      <c r="G2554">
        <v>117965200</v>
      </c>
      <c r="H2554">
        <v>63130400</v>
      </c>
    </row>
    <row r="2555" spans="1:9" x14ac:dyDescent="0.25">
      <c r="A2555" t="str">
        <f t="shared" si="59"/>
        <v>53241</v>
      </c>
      <c r="B2555" t="s">
        <v>38</v>
      </c>
      <c r="C2555" t="s">
        <v>1043</v>
      </c>
      <c r="D2555" t="str">
        <f>"033"</f>
        <v>033</v>
      </c>
      <c r="E2555">
        <v>2008</v>
      </c>
      <c r="F2555">
        <v>7048500</v>
      </c>
      <c r="G2555">
        <v>19024100</v>
      </c>
      <c r="H2555">
        <v>11975600</v>
      </c>
    </row>
    <row r="2556" spans="1:9" x14ac:dyDescent="0.25">
      <c r="A2556" t="str">
        <f t="shared" si="59"/>
        <v>53241</v>
      </c>
      <c r="B2556" t="s">
        <v>38</v>
      </c>
      <c r="C2556" t="s">
        <v>1043</v>
      </c>
      <c r="D2556" t="str">
        <f>"035"</f>
        <v>035</v>
      </c>
      <c r="E2556">
        <v>2011</v>
      </c>
      <c r="F2556">
        <v>27730500</v>
      </c>
      <c r="G2556">
        <v>83879600</v>
      </c>
      <c r="H2556">
        <v>56149100</v>
      </c>
    </row>
    <row r="2557" spans="1:9" x14ac:dyDescent="0.25">
      <c r="A2557" t="str">
        <f t="shared" si="59"/>
        <v>53241</v>
      </c>
      <c r="B2557" t="s">
        <v>38</v>
      </c>
      <c r="C2557" t="s">
        <v>1043</v>
      </c>
      <c r="D2557" t="str">
        <f>"036"</f>
        <v>036</v>
      </c>
      <c r="E2557">
        <v>2016</v>
      </c>
      <c r="F2557">
        <v>89009600</v>
      </c>
      <c r="G2557">
        <v>96046100</v>
      </c>
      <c r="H2557">
        <v>7036500</v>
      </c>
    </row>
    <row r="2558" spans="1:9" x14ac:dyDescent="0.25">
      <c r="A2558" t="str">
        <f t="shared" si="59"/>
        <v>53241</v>
      </c>
      <c r="B2558" t="s">
        <v>38</v>
      </c>
      <c r="C2558" t="s">
        <v>1043</v>
      </c>
      <c r="D2558" t="str">
        <f>"037"</f>
        <v>037</v>
      </c>
      <c r="E2558">
        <v>2017</v>
      </c>
      <c r="F2558">
        <v>7260400</v>
      </c>
      <c r="G2558">
        <v>20124100</v>
      </c>
      <c r="H2558">
        <v>12863700</v>
      </c>
    </row>
    <row r="2559" spans="1:9" x14ac:dyDescent="0.25">
      <c r="A2559" t="str">
        <f t="shared" si="59"/>
        <v>53241</v>
      </c>
      <c r="B2559" t="s">
        <v>38</v>
      </c>
      <c r="C2559" t="s">
        <v>1043</v>
      </c>
      <c r="D2559" t="s">
        <v>13</v>
      </c>
      <c r="E2559" t="s">
        <v>14</v>
      </c>
      <c r="F2559" t="s">
        <v>15</v>
      </c>
      <c r="G2559" t="s">
        <v>15</v>
      </c>
      <c r="H2559" t="s">
        <v>15</v>
      </c>
      <c r="I2559" s="1">
        <v>5061218500</v>
      </c>
    </row>
    <row r="2560" spans="1:9" x14ac:dyDescent="0.25">
      <c r="A2560" t="str">
        <f>"53257"</f>
        <v>53257</v>
      </c>
      <c r="B2560" t="s">
        <v>38</v>
      </c>
      <c r="C2560" t="s">
        <v>141</v>
      </c>
      <c r="D2560" t="str">
        <f>"006"</f>
        <v>006</v>
      </c>
      <c r="E2560">
        <v>2003</v>
      </c>
      <c r="F2560">
        <v>3330300</v>
      </c>
      <c r="G2560">
        <v>41931400</v>
      </c>
      <c r="H2560">
        <v>38601100</v>
      </c>
    </row>
    <row r="2561" spans="1:9" x14ac:dyDescent="0.25">
      <c r="A2561" t="str">
        <f>"53257"</f>
        <v>53257</v>
      </c>
      <c r="B2561" t="s">
        <v>38</v>
      </c>
      <c r="C2561" t="s">
        <v>141</v>
      </c>
      <c r="D2561" t="str">
        <f>"007"</f>
        <v>007</v>
      </c>
      <c r="E2561">
        <v>2004</v>
      </c>
      <c r="F2561">
        <v>8567500</v>
      </c>
      <c r="G2561">
        <v>14253300</v>
      </c>
      <c r="H2561">
        <v>5685800</v>
      </c>
    </row>
    <row r="2562" spans="1:9" x14ac:dyDescent="0.25">
      <c r="A2562" t="str">
        <f>"53257"</f>
        <v>53257</v>
      </c>
      <c r="B2562" t="s">
        <v>38</v>
      </c>
      <c r="C2562" t="s">
        <v>141</v>
      </c>
      <c r="D2562" t="str">
        <f>"009"</f>
        <v>009</v>
      </c>
      <c r="E2562">
        <v>2016</v>
      </c>
      <c r="F2562">
        <v>174700</v>
      </c>
      <c r="G2562">
        <v>8718000</v>
      </c>
      <c r="H2562">
        <v>8543300</v>
      </c>
    </row>
    <row r="2563" spans="1:9" x14ac:dyDescent="0.25">
      <c r="A2563" t="str">
        <f>"53257"</f>
        <v>53257</v>
      </c>
      <c r="B2563" t="s">
        <v>38</v>
      </c>
      <c r="C2563" t="s">
        <v>141</v>
      </c>
      <c r="D2563" t="str">
        <f>"010"</f>
        <v>010</v>
      </c>
      <c r="E2563">
        <v>2018</v>
      </c>
      <c r="F2563">
        <v>20754200</v>
      </c>
      <c r="G2563">
        <v>22147300</v>
      </c>
      <c r="H2563">
        <v>1393100</v>
      </c>
    </row>
    <row r="2564" spans="1:9" x14ac:dyDescent="0.25">
      <c r="A2564" t="str">
        <f>"53257"</f>
        <v>53257</v>
      </c>
      <c r="B2564" t="s">
        <v>38</v>
      </c>
      <c r="C2564" t="s">
        <v>141</v>
      </c>
      <c r="D2564" t="s">
        <v>13</v>
      </c>
      <c r="E2564" t="s">
        <v>14</v>
      </c>
      <c r="F2564" t="s">
        <v>15</v>
      </c>
      <c r="G2564" t="s">
        <v>15</v>
      </c>
      <c r="H2564" t="s">
        <v>15</v>
      </c>
      <c r="I2564" s="1">
        <v>373222000</v>
      </c>
    </row>
    <row r="2565" spans="1:9" x14ac:dyDescent="0.25">
      <c r="A2565" t="s">
        <v>32</v>
      </c>
      <c r="B2565" t="s">
        <v>40</v>
      </c>
      <c r="C2565" t="s">
        <v>34</v>
      </c>
      <c r="D2565" t="s">
        <v>13</v>
      </c>
      <c r="E2565" t="s">
        <v>14</v>
      </c>
      <c r="F2565" t="s">
        <v>15</v>
      </c>
      <c r="G2565" t="s">
        <v>15</v>
      </c>
      <c r="H2565" t="s">
        <v>15</v>
      </c>
      <c r="I2565" s="1">
        <v>7787000000</v>
      </c>
    </row>
    <row r="2566" spans="1:9" x14ac:dyDescent="0.25">
      <c r="A2566" t="s">
        <v>32</v>
      </c>
      <c r="B2566" t="s">
        <v>41</v>
      </c>
      <c r="C2566" t="s">
        <v>1048</v>
      </c>
      <c r="D2566" t="s">
        <v>13</v>
      </c>
      <c r="E2566" t="s">
        <v>14</v>
      </c>
      <c r="F2566" t="s">
        <v>15</v>
      </c>
      <c r="G2566" t="s">
        <v>15</v>
      </c>
      <c r="H2566" t="s">
        <v>15</v>
      </c>
      <c r="I2566" s="1">
        <v>11742857300</v>
      </c>
    </row>
    <row r="2567" spans="1:9" x14ac:dyDescent="0.25">
      <c r="A2567" t="str">
        <f>"54002"</f>
        <v>54002</v>
      </c>
      <c r="B2567" t="s">
        <v>11</v>
      </c>
      <c r="C2567" t="s">
        <v>1053</v>
      </c>
      <c r="D2567" t="s">
        <v>13</v>
      </c>
      <c r="E2567" t="s">
        <v>14</v>
      </c>
      <c r="F2567" t="s">
        <v>15</v>
      </c>
      <c r="G2567" t="s">
        <v>15</v>
      </c>
      <c r="H2567" t="s">
        <v>15</v>
      </c>
      <c r="I2567" s="1">
        <v>47704200</v>
      </c>
    </row>
    <row r="2568" spans="1:9" x14ac:dyDescent="0.25">
      <c r="A2568" t="str">
        <f>"54004"</f>
        <v>54004</v>
      </c>
      <c r="B2568" t="s">
        <v>11</v>
      </c>
      <c r="C2568" t="s">
        <v>1054</v>
      </c>
      <c r="D2568" t="s">
        <v>13</v>
      </c>
      <c r="E2568" t="s">
        <v>14</v>
      </c>
      <c r="F2568" t="s">
        <v>15</v>
      </c>
      <c r="G2568" t="s">
        <v>15</v>
      </c>
      <c r="H2568" t="s">
        <v>15</v>
      </c>
      <c r="I2568" s="1">
        <v>124005600</v>
      </c>
    </row>
    <row r="2569" spans="1:9" x14ac:dyDescent="0.25">
      <c r="A2569" t="str">
        <f>"54006"</f>
        <v>54006</v>
      </c>
      <c r="B2569" t="s">
        <v>11</v>
      </c>
      <c r="C2569" t="s">
        <v>1055</v>
      </c>
      <c r="D2569" t="s">
        <v>13</v>
      </c>
      <c r="E2569" t="s">
        <v>14</v>
      </c>
      <c r="F2569" t="s">
        <v>15</v>
      </c>
      <c r="G2569" t="s">
        <v>15</v>
      </c>
      <c r="H2569" t="s">
        <v>15</v>
      </c>
      <c r="I2569" s="1">
        <v>12627300</v>
      </c>
    </row>
    <row r="2570" spans="1:9" x14ac:dyDescent="0.25">
      <c r="A2570" t="str">
        <f>"54008"</f>
        <v>54008</v>
      </c>
      <c r="B2570" t="s">
        <v>11</v>
      </c>
      <c r="C2570" t="s">
        <v>1056</v>
      </c>
      <c r="D2570" t="s">
        <v>13</v>
      </c>
      <c r="E2570" t="s">
        <v>14</v>
      </c>
      <c r="F2570" t="s">
        <v>15</v>
      </c>
      <c r="G2570" t="s">
        <v>15</v>
      </c>
      <c r="H2570" t="s">
        <v>15</v>
      </c>
      <c r="I2570" s="1">
        <v>3760000</v>
      </c>
    </row>
    <row r="2571" spans="1:9" x14ac:dyDescent="0.25">
      <c r="A2571" t="str">
        <f>"54010"</f>
        <v>54010</v>
      </c>
      <c r="B2571" t="s">
        <v>11</v>
      </c>
      <c r="C2571" t="s">
        <v>154</v>
      </c>
      <c r="D2571" t="s">
        <v>13</v>
      </c>
      <c r="E2571" t="s">
        <v>14</v>
      </c>
      <c r="F2571" t="s">
        <v>15</v>
      </c>
      <c r="G2571" t="s">
        <v>15</v>
      </c>
      <c r="H2571" t="s">
        <v>15</v>
      </c>
      <c r="I2571" s="1">
        <v>69681700</v>
      </c>
    </row>
    <row r="2572" spans="1:9" x14ac:dyDescent="0.25">
      <c r="A2572" t="str">
        <f>"54012"</f>
        <v>54012</v>
      </c>
      <c r="B2572" t="s">
        <v>11</v>
      </c>
      <c r="C2572" t="s">
        <v>997</v>
      </c>
      <c r="D2572" t="s">
        <v>13</v>
      </c>
      <c r="E2572" t="s">
        <v>14</v>
      </c>
      <c r="F2572" t="s">
        <v>15</v>
      </c>
      <c r="G2572" t="s">
        <v>15</v>
      </c>
      <c r="H2572" t="s">
        <v>15</v>
      </c>
      <c r="I2572" s="1">
        <v>71761100</v>
      </c>
    </row>
    <row r="2573" spans="1:9" x14ac:dyDescent="0.25">
      <c r="A2573" t="str">
        <f>"54014"</f>
        <v>54014</v>
      </c>
      <c r="B2573" t="s">
        <v>11</v>
      </c>
      <c r="C2573" t="s">
        <v>221</v>
      </c>
      <c r="D2573" t="s">
        <v>13</v>
      </c>
      <c r="E2573" t="s">
        <v>14</v>
      </c>
      <c r="F2573" t="s">
        <v>15</v>
      </c>
      <c r="G2573" t="s">
        <v>15</v>
      </c>
      <c r="H2573" t="s">
        <v>15</v>
      </c>
      <c r="I2573" s="1">
        <v>49214800</v>
      </c>
    </row>
    <row r="2574" spans="1:9" x14ac:dyDescent="0.25">
      <c r="A2574" t="str">
        <f>"54016"</f>
        <v>54016</v>
      </c>
      <c r="B2574" t="s">
        <v>11</v>
      </c>
      <c r="C2574" t="s">
        <v>1057</v>
      </c>
      <c r="D2574" t="s">
        <v>13</v>
      </c>
      <c r="E2574" t="s">
        <v>14</v>
      </c>
      <c r="F2574" t="s">
        <v>15</v>
      </c>
      <c r="G2574" t="s">
        <v>15</v>
      </c>
      <c r="H2574" t="s">
        <v>15</v>
      </c>
      <c r="I2574" s="1">
        <v>23567500</v>
      </c>
    </row>
    <row r="2575" spans="1:9" x14ac:dyDescent="0.25">
      <c r="A2575" t="str">
        <f>"54018"</f>
        <v>54018</v>
      </c>
      <c r="B2575" t="s">
        <v>11</v>
      </c>
      <c r="C2575" t="s">
        <v>1058</v>
      </c>
      <c r="D2575" t="s">
        <v>13</v>
      </c>
      <c r="E2575" t="s">
        <v>14</v>
      </c>
      <c r="F2575" t="s">
        <v>15</v>
      </c>
      <c r="G2575" t="s">
        <v>15</v>
      </c>
      <c r="H2575" t="s">
        <v>15</v>
      </c>
      <c r="I2575" s="1">
        <v>16284300</v>
      </c>
    </row>
    <row r="2576" spans="1:9" x14ac:dyDescent="0.25">
      <c r="A2576" t="str">
        <f>"54020"</f>
        <v>54020</v>
      </c>
      <c r="B2576" t="s">
        <v>11</v>
      </c>
      <c r="C2576" t="s">
        <v>358</v>
      </c>
      <c r="D2576" t="s">
        <v>13</v>
      </c>
      <c r="E2576" t="s">
        <v>14</v>
      </c>
      <c r="F2576" t="s">
        <v>15</v>
      </c>
      <c r="G2576" t="s">
        <v>15</v>
      </c>
      <c r="H2576" t="s">
        <v>15</v>
      </c>
      <c r="I2576" s="1">
        <v>20241900</v>
      </c>
    </row>
    <row r="2577" spans="1:9" x14ac:dyDescent="0.25">
      <c r="A2577" t="str">
        <f>"54022"</f>
        <v>54022</v>
      </c>
      <c r="B2577" t="s">
        <v>11</v>
      </c>
      <c r="C2577" t="s">
        <v>114</v>
      </c>
      <c r="D2577" t="s">
        <v>13</v>
      </c>
      <c r="E2577" t="s">
        <v>14</v>
      </c>
      <c r="F2577" t="s">
        <v>15</v>
      </c>
      <c r="G2577" t="s">
        <v>15</v>
      </c>
      <c r="H2577" t="s">
        <v>15</v>
      </c>
      <c r="I2577" s="1">
        <v>21208400</v>
      </c>
    </row>
    <row r="2578" spans="1:9" x14ac:dyDescent="0.25">
      <c r="A2578" t="str">
        <f>"54024"</f>
        <v>54024</v>
      </c>
      <c r="B2578" t="s">
        <v>11</v>
      </c>
      <c r="C2578" t="s">
        <v>338</v>
      </c>
      <c r="D2578" t="s">
        <v>13</v>
      </c>
      <c r="E2578" t="s">
        <v>14</v>
      </c>
      <c r="F2578" t="s">
        <v>15</v>
      </c>
      <c r="G2578" t="s">
        <v>15</v>
      </c>
      <c r="H2578" t="s">
        <v>15</v>
      </c>
      <c r="I2578" s="1">
        <v>28596400</v>
      </c>
    </row>
    <row r="2579" spans="1:9" x14ac:dyDescent="0.25">
      <c r="A2579" t="str">
        <f>"54026"</f>
        <v>54026</v>
      </c>
      <c r="B2579" t="s">
        <v>11</v>
      </c>
      <c r="C2579" t="s">
        <v>1059</v>
      </c>
      <c r="D2579" t="s">
        <v>13</v>
      </c>
      <c r="E2579" t="s">
        <v>14</v>
      </c>
      <c r="F2579" t="s">
        <v>15</v>
      </c>
      <c r="G2579" t="s">
        <v>15</v>
      </c>
      <c r="H2579" t="s">
        <v>15</v>
      </c>
      <c r="I2579" s="1">
        <v>26916800</v>
      </c>
    </row>
    <row r="2580" spans="1:9" x14ac:dyDescent="0.25">
      <c r="A2580" t="str">
        <f>"54028"</f>
        <v>54028</v>
      </c>
      <c r="B2580" t="s">
        <v>11</v>
      </c>
      <c r="C2580" t="s">
        <v>1028</v>
      </c>
      <c r="D2580" t="s">
        <v>13</v>
      </c>
      <c r="E2580" t="s">
        <v>14</v>
      </c>
      <c r="F2580" t="s">
        <v>15</v>
      </c>
      <c r="G2580" t="s">
        <v>15</v>
      </c>
      <c r="H2580" t="s">
        <v>15</v>
      </c>
      <c r="I2580" s="1">
        <v>20339200</v>
      </c>
    </row>
    <row r="2581" spans="1:9" x14ac:dyDescent="0.25">
      <c r="A2581" t="str">
        <f>"54030"</f>
        <v>54030</v>
      </c>
      <c r="B2581" t="s">
        <v>11</v>
      </c>
      <c r="C2581" t="s">
        <v>160</v>
      </c>
      <c r="D2581" t="s">
        <v>13</v>
      </c>
      <c r="E2581" t="s">
        <v>14</v>
      </c>
      <c r="F2581" t="s">
        <v>15</v>
      </c>
      <c r="G2581" t="s">
        <v>15</v>
      </c>
      <c r="H2581" t="s">
        <v>15</v>
      </c>
      <c r="I2581" s="1">
        <v>130290100</v>
      </c>
    </row>
    <row r="2582" spans="1:9" x14ac:dyDescent="0.25">
      <c r="A2582" t="str">
        <f>"54032"</f>
        <v>54032</v>
      </c>
      <c r="B2582" t="s">
        <v>11</v>
      </c>
      <c r="C2582" t="s">
        <v>1060</v>
      </c>
      <c r="D2582" t="s">
        <v>13</v>
      </c>
      <c r="E2582" t="s">
        <v>14</v>
      </c>
      <c r="F2582" t="s">
        <v>15</v>
      </c>
      <c r="G2582" t="s">
        <v>15</v>
      </c>
      <c r="H2582" t="s">
        <v>15</v>
      </c>
      <c r="I2582" s="1">
        <v>11779100</v>
      </c>
    </row>
    <row r="2583" spans="1:9" x14ac:dyDescent="0.25">
      <c r="A2583" t="str">
        <f>"54034"</f>
        <v>54034</v>
      </c>
      <c r="B2583" t="s">
        <v>11</v>
      </c>
      <c r="C2583" t="s">
        <v>1061</v>
      </c>
      <c r="D2583" t="s">
        <v>13</v>
      </c>
      <c r="E2583" t="s">
        <v>14</v>
      </c>
      <c r="F2583" t="s">
        <v>15</v>
      </c>
      <c r="G2583" t="s">
        <v>15</v>
      </c>
      <c r="H2583" t="s">
        <v>15</v>
      </c>
      <c r="I2583" s="1">
        <v>29618500</v>
      </c>
    </row>
    <row r="2584" spans="1:9" x14ac:dyDescent="0.25">
      <c r="A2584" t="str">
        <f>"54036"</f>
        <v>54036</v>
      </c>
      <c r="B2584" t="s">
        <v>11</v>
      </c>
      <c r="C2584" t="s">
        <v>1062</v>
      </c>
      <c r="D2584" t="s">
        <v>13</v>
      </c>
      <c r="E2584" t="s">
        <v>14</v>
      </c>
      <c r="F2584" t="s">
        <v>15</v>
      </c>
      <c r="G2584" t="s">
        <v>15</v>
      </c>
      <c r="H2584" t="s">
        <v>15</v>
      </c>
      <c r="I2584" s="1">
        <v>58198800</v>
      </c>
    </row>
    <row r="2585" spans="1:9" x14ac:dyDescent="0.25">
      <c r="A2585" t="str">
        <f>"54038"</f>
        <v>54038</v>
      </c>
      <c r="B2585" t="s">
        <v>11</v>
      </c>
      <c r="C2585" t="s">
        <v>1063</v>
      </c>
      <c r="D2585" t="s">
        <v>13</v>
      </c>
      <c r="E2585" t="s">
        <v>14</v>
      </c>
      <c r="F2585" t="s">
        <v>15</v>
      </c>
      <c r="G2585" t="s">
        <v>15</v>
      </c>
      <c r="H2585" t="s">
        <v>15</v>
      </c>
      <c r="I2585" s="1">
        <v>63481800</v>
      </c>
    </row>
    <row r="2586" spans="1:9" x14ac:dyDescent="0.25">
      <c r="A2586" t="str">
        <f>"54040"</f>
        <v>54040</v>
      </c>
      <c r="B2586" t="s">
        <v>11</v>
      </c>
      <c r="C2586" t="s">
        <v>1064</v>
      </c>
      <c r="D2586" t="s">
        <v>13</v>
      </c>
      <c r="E2586" t="s">
        <v>14</v>
      </c>
      <c r="F2586" t="s">
        <v>15</v>
      </c>
      <c r="G2586" t="s">
        <v>15</v>
      </c>
      <c r="H2586" t="s">
        <v>15</v>
      </c>
      <c r="I2586" s="1">
        <v>16741600</v>
      </c>
    </row>
    <row r="2587" spans="1:9" x14ac:dyDescent="0.25">
      <c r="A2587" t="str">
        <f>"54042"</f>
        <v>54042</v>
      </c>
      <c r="B2587" t="s">
        <v>11</v>
      </c>
      <c r="C2587" t="s">
        <v>393</v>
      </c>
      <c r="D2587" t="s">
        <v>13</v>
      </c>
      <c r="E2587" t="s">
        <v>14</v>
      </c>
      <c r="F2587" t="s">
        <v>15</v>
      </c>
      <c r="G2587" t="s">
        <v>15</v>
      </c>
      <c r="H2587" t="s">
        <v>15</v>
      </c>
      <c r="I2587" s="1">
        <v>73322000</v>
      </c>
    </row>
    <row r="2588" spans="1:9" x14ac:dyDescent="0.25">
      <c r="A2588" t="str">
        <f>"54044"</f>
        <v>54044</v>
      </c>
      <c r="B2588" t="s">
        <v>11</v>
      </c>
      <c r="C2588" t="s">
        <v>1065</v>
      </c>
      <c r="D2588" t="s">
        <v>13</v>
      </c>
      <c r="E2588" t="s">
        <v>14</v>
      </c>
      <c r="F2588" t="s">
        <v>15</v>
      </c>
      <c r="G2588" t="s">
        <v>15</v>
      </c>
      <c r="H2588" t="s">
        <v>15</v>
      </c>
      <c r="I2588" s="1">
        <v>7206300</v>
      </c>
    </row>
    <row r="2589" spans="1:9" x14ac:dyDescent="0.25">
      <c r="A2589" t="str">
        <f>"54046"</f>
        <v>54046</v>
      </c>
      <c r="B2589" t="s">
        <v>11</v>
      </c>
      <c r="C2589" t="s">
        <v>1066</v>
      </c>
      <c r="D2589" t="s">
        <v>13</v>
      </c>
      <c r="E2589" t="s">
        <v>14</v>
      </c>
      <c r="F2589" t="s">
        <v>15</v>
      </c>
      <c r="G2589" t="s">
        <v>15</v>
      </c>
      <c r="H2589" t="s">
        <v>15</v>
      </c>
      <c r="I2589" s="1">
        <v>74363900</v>
      </c>
    </row>
    <row r="2590" spans="1:9" x14ac:dyDescent="0.25">
      <c r="A2590" t="str">
        <f>"54048"</f>
        <v>54048</v>
      </c>
      <c r="B2590" t="s">
        <v>11</v>
      </c>
      <c r="C2590" t="s">
        <v>431</v>
      </c>
      <c r="D2590" t="s">
        <v>13</v>
      </c>
      <c r="E2590" t="s">
        <v>14</v>
      </c>
      <c r="F2590" t="s">
        <v>15</v>
      </c>
      <c r="G2590" t="s">
        <v>15</v>
      </c>
      <c r="H2590" t="s">
        <v>15</v>
      </c>
      <c r="I2590" s="1">
        <v>11434000</v>
      </c>
    </row>
    <row r="2591" spans="1:9" x14ac:dyDescent="0.25">
      <c r="A2591" t="s">
        <v>32</v>
      </c>
      <c r="B2591" t="s">
        <v>33</v>
      </c>
      <c r="C2591" t="s">
        <v>34</v>
      </c>
      <c r="D2591" t="s">
        <v>13</v>
      </c>
      <c r="E2591" t="s">
        <v>14</v>
      </c>
      <c r="F2591" t="s">
        <v>15</v>
      </c>
      <c r="G2591" t="s">
        <v>15</v>
      </c>
      <c r="H2591" t="s">
        <v>15</v>
      </c>
      <c r="I2591" s="1">
        <v>1012345300</v>
      </c>
    </row>
    <row r="2592" spans="1:9" x14ac:dyDescent="0.25">
      <c r="A2592" t="str">
        <f>"54106"</f>
        <v>54106</v>
      </c>
      <c r="B2592" t="s">
        <v>35</v>
      </c>
      <c r="C2592" t="s">
        <v>1067</v>
      </c>
      <c r="D2592" t="str">
        <f>"001"</f>
        <v>001</v>
      </c>
      <c r="E2592">
        <v>1998</v>
      </c>
      <c r="F2592">
        <v>11300</v>
      </c>
      <c r="G2592">
        <v>85000</v>
      </c>
      <c r="H2592">
        <v>73700</v>
      </c>
    </row>
    <row r="2593" spans="1:9" x14ac:dyDescent="0.25">
      <c r="A2593" t="str">
        <f>"54106"</f>
        <v>54106</v>
      </c>
      <c r="B2593" t="s">
        <v>35</v>
      </c>
      <c r="C2593" t="s">
        <v>1067</v>
      </c>
      <c r="D2593" t="str">
        <f>"002"</f>
        <v>002</v>
      </c>
      <c r="E2593">
        <v>2002</v>
      </c>
      <c r="F2593">
        <v>1272400</v>
      </c>
      <c r="G2593">
        <v>2049300</v>
      </c>
      <c r="H2593">
        <v>776900</v>
      </c>
    </row>
    <row r="2594" spans="1:9" x14ac:dyDescent="0.25">
      <c r="A2594" t="str">
        <f>"54106"</f>
        <v>54106</v>
      </c>
      <c r="B2594" t="s">
        <v>35</v>
      </c>
      <c r="C2594" t="s">
        <v>1067</v>
      </c>
      <c r="D2594" t="s">
        <v>13</v>
      </c>
      <c r="E2594" t="s">
        <v>14</v>
      </c>
      <c r="F2594" t="s">
        <v>15</v>
      </c>
      <c r="G2594" t="s">
        <v>15</v>
      </c>
      <c r="H2594" t="s">
        <v>15</v>
      </c>
      <c r="I2594" s="1">
        <v>31194200</v>
      </c>
    </row>
    <row r="2595" spans="1:9" x14ac:dyDescent="0.25">
      <c r="A2595" t="str">
        <f>"54111"</f>
        <v>54111</v>
      </c>
      <c r="B2595" t="s">
        <v>35</v>
      </c>
      <c r="C2595" t="s">
        <v>1068</v>
      </c>
      <c r="D2595" t="s">
        <v>13</v>
      </c>
      <c r="E2595" t="s">
        <v>14</v>
      </c>
      <c r="F2595" t="s">
        <v>15</v>
      </c>
      <c r="G2595" t="s">
        <v>15</v>
      </c>
      <c r="H2595" t="s">
        <v>15</v>
      </c>
      <c r="I2595" s="1">
        <v>3301000</v>
      </c>
    </row>
    <row r="2596" spans="1:9" x14ac:dyDescent="0.25">
      <c r="A2596" t="str">
        <f>"54131"</f>
        <v>54131</v>
      </c>
      <c r="B2596" t="s">
        <v>35</v>
      </c>
      <c r="C2596" t="s">
        <v>1069</v>
      </c>
      <c r="D2596" t="s">
        <v>13</v>
      </c>
      <c r="E2596" t="s">
        <v>14</v>
      </c>
      <c r="F2596" t="s">
        <v>15</v>
      </c>
      <c r="G2596" t="s">
        <v>15</v>
      </c>
      <c r="H2596" t="s">
        <v>15</v>
      </c>
      <c r="I2596" s="1">
        <v>5560100</v>
      </c>
    </row>
    <row r="2597" spans="1:9" x14ac:dyDescent="0.25">
      <c r="A2597" t="str">
        <f>"54136"</f>
        <v>54136</v>
      </c>
      <c r="B2597" t="s">
        <v>35</v>
      </c>
      <c r="C2597" t="s">
        <v>1058</v>
      </c>
      <c r="D2597" t="str">
        <f>"002"</f>
        <v>002</v>
      </c>
      <c r="E2597">
        <v>2005</v>
      </c>
      <c r="F2597">
        <v>59400</v>
      </c>
      <c r="G2597">
        <v>0</v>
      </c>
      <c r="H2597">
        <v>0</v>
      </c>
    </row>
    <row r="2598" spans="1:9" x14ac:dyDescent="0.25">
      <c r="A2598" t="str">
        <f>"54136"</f>
        <v>54136</v>
      </c>
      <c r="B2598" t="s">
        <v>35</v>
      </c>
      <c r="C2598" t="s">
        <v>1058</v>
      </c>
      <c r="D2598" t="str">
        <f>"003"</f>
        <v>003</v>
      </c>
      <c r="E2598">
        <v>2010</v>
      </c>
      <c r="F2598">
        <v>96600</v>
      </c>
      <c r="G2598">
        <v>652700</v>
      </c>
      <c r="H2598">
        <v>556100</v>
      </c>
    </row>
    <row r="2599" spans="1:9" x14ac:dyDescent="0.25">
      <c r="A2599" t="str">
        <f>"54136"</f>
        <v>54136</v>
      </c>
      <c r="B2599" t="s">
        <v>35</v>
      </c>
      <c r="C2599" t="s">
        <v>1058</v>
      </c>
      <c r="D2599" t="s">
        <v>13</v>
      </c>
      <c r="E2599" t="s">
        <v>14</v>
      </c>
      <c r="F2599" t="s">
        <v>15</v>
      </c>
      <c r="G2599" t="s">
        <v>15</v>
      </c>
      <c r="H2599" t="s">
        <v>15</v>
      </c>
      <c r="I2599" s="1">
        <v>13876000</v>
      </c>
    </row>
    <row r="2600" spans="1:9" x14ac:dyDescent="0.25">
      <c r="A2600" t="str">
        <f>"54141"</f>
        <v>54141</v>
      </c>
      <c r="B2600" t="s">
        <v>35</v>
      </c>
      <c r="C2600" t="s">
        <v>1070</v>
      </c>
      <c r="D2600" t="s">
        <v>13</v>
      </c>
      <c r="E2600" t="s">
        <v>14</v>
      </c>
      <c r="F2600" t="s">
        <v>15</v>
      </c>
      <c r="G2600" t="s">
        <v>15</v>
      </c>
      <c r="H2600" t="s">
        <v>15</v>
      </c>
      <c r="I2600" s="1">
        <v>1797700</v>
      </c>
    </row>
    <row r="2601" spans="1:9" x14ac:dyDescent="0.25">
      <c r="A2601" t="str">
        <f>"54181"</f>
        <v>54181</v>
      </c>
      <c r="B2601" t="s">
        <v>35</v>
      </c>
      <c r="C2601" t="s">
        <v>837</v>
      </c>
      <c r="D2601" t="s">
        <v>13</v>
      </c>
      <c r="E2601" t="s">
        <v>14</v>
      </c>
      <c r="F2601" t="s">
        <v>15</v>
      </c>
      <c r="G2601" t="s">
        <v>15</v>
      </c>
      <c r="H2601" t="s">
        <v>15</v>
      </c>
      <c r="I2601" s="1">
        <v>8889400</v>
      </c>
    </row>
    <row r="2602" spans="1:9" x14ac:dyDescent="0.25">
      <c r="A2602" t="str">
        <f>"54186"</f>
        <v>54186</v>
      </c>
      <c r="B2602" t="s">
        <v>35</v>
      </c>
      <c r="C2602" t="s">
        <v>1071</v>
      </c>
      <c r="D2602" t="s">
        <v>13</v>
      </c>
      <c r="E2602" t="s">
        <v>14</v>
      </c>
      <c r="F2602" t="s">
        <v>15</v>
      </c>
      <c r="G2602" t="s">
        <v>15</v>
      </c>
      <c r="H2602" t="s">
        <v>15</v>
      </c>
      <c r="I2602" s="1">
        <v>4611200</v>
      </c>
    </row>
    <row r="2603" spans="1:9" x14ac:dyDescent="0.25">
      <c r="A2603" t="str">
        <f>"54191"</f>
        <v>54191</v>
      </c>
      <c r="B2603" t="s">
        <v>35</v>
      </c>
      <c r="C2603" t="s">
        <v>1072</v>
      </c>
      <c r="D2603" t="str">
        <f>"001"</f>
        <v>001</v>
      </c>
      <c r="E2603">
        <v>2013</v>
      </c>
      <c r="F2603">
        <v>728700</v>
      </c>
      <c r="G2603">
        <v>19898300</v>
      </c>
      <c r="H2603">
        <v>19169600</v>
      </c>
    </row>
    <row r="2604" spans="1:9" x14ac:dyDescent="0.25">
      <c r="A2604" t="str">
        <f>"54191"</f>
        <v>54191</v>
      </c>
      <c r="B2604" t="s">
        <v>35</v>
      </c>
      <c r="C2604" t="s">
        <v>1072</v>
      </c>
      <c r="D2604" t="s">
        <v>13</v>
      </c>
      <c r="E2604" t="s">
        <v>14</v>
      </c>
      <c r="F2604" t="s">
        <v>15</v>
      </c>
      <c r="G2604" t="s">
        <v>15</v>
      </c>
      <c r="H2604" t="s">
        <v>15</v>
      </c>
      <c r="I2604" s="1">
        <v>9725700</v>
      </c>
    </row>
    <row r="2605" spans="1:9" x14ac:dyDescent="0.25">
      <c r="A2605" t="s">
        <v>32</v>
      </c>
      <c r="B2605" t="s">
        <v>37</v>
      </c>
      <c r="C2605" t="s">
        <v>34</v>
      </c>
      <c r="D2605" t="s">
        <v>13</v>
      </c>
      <c r="E2605" t="s">
        <v>14</v>
      </c>
      <c r="F2605" t="s">
        <v>15</v>
      </c>
      <c r="G2605" t="s">
        <v>15</v>
      </c>
      <c r="H2605" t="s">
        <v>15</v>
      </c>
      <c r="I2605" s="1">
        <v>78955300</v>
      </c>
    </row>
    <row r="2606" spans="1:9" x14ac:dyDescent="0.25">
      <c r="A2606" t="str">
        <f t="shared" ref="A2606:A2611" si="60">"54246"</f>
        <v>54246</v>
      </c>
      <c r="B2606" t="s">
        <v>38</v>
      </c>
      <c r="C2606" t="s">
        <v>1073</v>
      </c>
      <c r="D2606" t="str">
        <f>"005"</f>
        <v>005</v>
      </c>
      <c r="E2606">
        <v>1997</v>
      </c>
      <c r="F2606">
        <v>2962000</v>
      </c>
      <c r="G2606">
        <v>4627900</v>
      </c>
      <c r="H2606">
        <v>1665900</v>
      </c>
    </row>
    <row r="2607" spans="1:9" x14ac:dyDescent="0.25">
      <c r="A2607" t="str">
        <f t="shared" si="60"/>
        <v>54246</v>
      </c>
      <c r="B2607" t="s">
        <v>38</v>
      </c>
      <c r="C2607" t="s">
        <v>1073</v>
      </c>
      <c r="D2607" t="str">
        <f>"008"</f>
        <v>008</v>
      </c>
      <c r="E2607">
        <v>2003</v>
      </c>
      <c r="F2607">
        <v>860000</v>
      </c>
      <c r="G2607">
        <v>5847000</v>
      </c>
      <c r="H2607">
        <v>4987000</v>
      </c>
    </row>
    <row r="2608" spans="1:9" x14ac:dyDescent="0.25">
      <c r="A2608" t="str">
        <f t="shared" si="60"/>
        <v>54246</v>
      </c>
      <c r="B2608" t="s">
        <v>38</v>
      </c>
      <c r="C2608" t="s">
        <v>1073</v>
      </c>
      <c r="D2608" t="str">
        <f>"009"</f>
        <v>009</v>
      </c>
      <c r="E2608">
        <v>2006</v>
      </c>
      <c r="F2608">
        <v>2883600</v>
      </c>
      <c r="G2608">
        <v>10001800</v>
      </c>
      <c r="H2608">
        <v>7118200</v>
      </c>
    </row>
    <row r="2609" spans="1:9" x14ac:dyDescent="0.25">
      <c r="A2609" t="str">
        <f t="shared" si="60"/>
        <v>54246</v>
      </c>
      <c r="B2609" t="s">
        <v>38</v>
      </c>
      <c r="C2609" t="s">
        <v>1073</v>
      </c>
      <c r="D2609" t="str">
        <f>"010"</f>
        <v>010</v>
      </c>
      <c r="E2609">
        <v>2007</v>
      </c>
      <c r="F2609">
        <v>403500</v>
      </c>
      <c r="G2609">
        <v>1867900</v>
      </c>
      <c r="H2609">
        <v>1464400</v>
      </c>
    </row>
    <row r="2610" spans="1:9" x14ac:dyDescent="0.25">
      <c r="A2610" t="str">
        <f t="shared" si="60"/>
        <v>54246</v>
      </c>
      <c r="B2610" t="s">
        <v>38</v>
      </c>
      <c r="C2610" t="s">
        <v>1073</v>
      </c>
      <c r="D2610" t="str">
        <f>"011"</f>
        <v>011</v>
      </c>
      <c r="E2610">
        <v>2011</v>
      </c>
      <c r="F2610">
        <v>30200</v>
      </c>
      <c r="G2610">
        <v>7823200</v>
      </c>
      <c r="H2610">
        <v>7793000</v>
      </c>
    </row>
    <row r="2611" spans="1:9" x14ac:dyDescent="0.25">
      <c r="A2611" t="str">
        <f t="shared" si="60"/>
        <v>54246</v>
      </c>
      <c r="B2611" t="s">
        <v>38</v>
      </c>
      <c r="C2611" t="s">
        <v>1073</v>
      </c>
      <c r="D2611" t="s">
        <v>13</v>
      </c>
      <c r="E2611" t="s">
        <v>14</v>
      </c>
      <c r="F2611" t="s">
        <v>15</v>
      </c>
      <c r="G2611" t="s">
        <v>15</v>
      </c>
      <c r="H2611" t="s">
        <v>15</v>
      </c>
      <c r="I2611" s="1">
        <v>144063800</v>
      </c>
    </row>
    <row r="2612" spans="1:9" x14ac:dyDescent="0.25">
      <c r="A2612" t="s">
        <v>32</v>
      </c>
      <c r="B2612" t="s">
        <v>40</v>
      </c>
      <c r="C2612" t="s">
        <v>34</v>
      </c>
      <c r="D2612" t="s">
        <v>13</v>
      </c>
      <c r="E2612" t="s">
        <v>14</v>
      </c>
      <c r="F2612" t="s">
        <v>15</v>
      </c>
      <c r="G2612" t="s">
        <v>15</v>
      </c>
      <c r="H2612" t="s">
        <v>15</v>
      </c>
      <c r="I2612" s="1">
        <v>144063800</v>
      </c>
    </row>
    <row r="2613" spans="1:9" x14ac:dyDescent="0.25">
      <c r="A2613" t="s">
        <v>32</v>
      </c>
      <c r="B2613" t="s">
        <v>41</v>
      </c>
      <c r="C2613" t="s">
        <v>160</v>
      </c>
      <c r="D2613" t="s">
        <v>13</v>
      </c>
      <c r="E2613" t="s">
        <v>14</v>
      </c>
      <c r="F2613" t="s">
        <v>15</v>
      </c>
      <c r="G2613" t="s">
        <v>15</v>
      </c>
      <c r="H2613" t="s">
        <v>15</v>
      </c>
      <c r="I2613" s="1">
        <v>1235364400</v>
      </c>
    </row>
    <row r="2614" spans="1:9" x14ac:dyDescent="0.25">
      <c r="A2614" t="str">
        <f>"55002"</f>
        <v>55002</v>
      </c>
      <c r="B2614" t="s">
        <v>11</v>
      </c>
      <c r="C2614" t="s">
        <v>1074</v>
      </c>
      <c r="D2614" t="s">
        <v>13</v>
      </c>
      <c r="E2614" t="s">
        <v>14</v>
      </c>
      <c r="F2614" t="s">
        <v>15</v>
      </c>
      <c r="G2614" t="s">
        <v>15</v>
      </c>
      <c r="H2614" t="s">
        <v>15</v>
      </c>
      <c r="I2614" s="1">
        <v>92953500</v>
      </c>
    </row>
    <row r="2615" spans="1:9" x14ac:dyDescent="0.25">
      <c r="A2615" t="str">
        <f>"55004"</f>
        <v>55004</v>
      </c>
      <c r="B2615" t="s">
        <v>11</v>
      </c>
      <c r="C2615" t="s">
        <v>1075</v>
      </c>
      <c r="D2615" t="s">
        <v>13</v>
      </c>
      <c r="E2615" t="s">
        <v>14</v>
      </c>
      <c r="F2615" t="s">
        <v>15</v>
      </c>
      <c r="G2615" t="s">
        <v>15</v>
      </c>
      <c r="H2615" t="s">
        <v>15</v>
      </c>
      <c r="I2615" s="1">
        <v>80949600</v>
      </c>
    </row>
    <row r="2616" spans="1:9" x14ac:dyDescent="0.25">
      <c r="A2616" t="str">
        <f>"55006"</f>
        <v>55006</v>
      </c>
      <c r="B2616" t="s">
        <v>11</v>
      </c>
      <c r="C2616" t="s">
        <v>1076</v>
      </c>
      <c r="D2616" t="s">
        <v>13</v>
      </c>
      <c r="E2616" t="s">
        <v>14</v>
      </c>
      <c r="F2616" t="s">
        <v>15</v>
      </c>
      <c r="G2616" t="s">
        <v>15</v>
      </c>
      <c r="H2616" t="s">
        <v>15</v>
      </c>
      <c r="I2616" s="1">
        <v>57990400</v>
      </c>
    </row>
    <row r="2617" spans="1:9" x14ac:dyDescent="0.25">
      <c r="A2617" t="str">
        <f>"55008"</f>
        <v>55008</v>
      </c>
      <c r="B2617" t="s">
        <v>11</v>
      </c>
      <c r="C2617" t="s">
        <v>416</v>
      </c>
      <c r="D2617" t="s">
        <v>13</v>
      </c>
      <c r="E2617" t="s">
        <v>14</v>
      </c>
      <c r="F2617" t="s">
        <v>15</v>
      </c>
      <c r="G2617" t="s">
        <v>15</v>
      </c>
      <c r="H2617" t="s">
        <v>15</v>
      </c>
      <c r="I2617" s="1">
        <v>120027400</v>
      </c>
    </row>
    <row r="2618" spans="1:9" x14ac:dyDescent="0.25">
      <c r="A2618" t="str">
        <f>"55010"</f>
        <v>55010</v>
      </c>
      <c r="B2618" t="s">
        <v>11</v>
      </c>
      <c r="C2618" t="s">
        <v>1077</v>
      </c>
      <c r="D2618" t="s">
        <v>13</v>
      </c>
      <c r="E2618" t="s">
        <v>14</v>
      </c>
      <c r="F2618" t="s">
        <v>15</v>
      </c>
      <c r="G2618" t="s">
        <v>15</v>
      </c>
      <c r="H2618" t="s">
        <v>15</v>
      </c>
      <c r="I2618" s="1">
        <v>69799000</v>
      </c>
    </row>
    <row r="2619" spans="1:9" x14ac:dyDescent="0.25">
      <c r="A2619" t="str">
        <f>"55012"</f>
        <v>55012</v>
      </c>
      <c r="B2619" t="s">
        <v>11</v>
      </c>
      <c r="C2619" t="s">
        <v>1078</v>
      </c>
      <c r="D2619" t="s">
        <v>13</v>
      </c>
      <c r="E2619" t="s">
        <v>14</v>
      </c>
      <c r="F2619" t="s">
        <v>15</v>
      </c>
      <c r="G2619" t="s">
        <v>15</v>
      </c>
      <c r="H2619" t="s">
        <v>15</v>
      </c>
      <c r="I2619" s="1">
        <v>78212400</v>
      </c>
    </row>
    <row r="2620" spans="1:9" x14ac:dyDescent="0.25">
      <c r="A2620" t="str">
        <f>"55014"</f>
        <v>55014</v>
      </c>
      <c r="B2620" t="s">
        <v>11</v>
      </c>
      <c r="C2620" t="s">
        <v>463</v>
      </c>
      <c r="D2620" t="s">
        <v>13</v>
      </c>
      <c r="E2620" t="s">
        <v>14</v>
      </c>
      <c r="F2620" t="s">
        <v>15</v>
      </c>
      <c r="G2620" t="s">
        <v>15</v>
      </c>
      <c r="H2620" t="s">
        <v>15</v>
      </c>
      <c r="I2620" s="1">
        <v>50435100</v>
      </c>
    </row>
    <row r="2621" spans="1:9" x14ac:dyDescent="0.25">
      <c r="A2621" t="str">
        <f>"55016"</f>
        <v>55016</v>
      </c>
      <c r="B2621" t="s">
        <v>11</v>
      </c>
      <c r="C2621" t="s">
        <v>1079</v>
      </c>
      <c r="D2621" t="s">
        <v>13</v>
      </c>
      <c r="E2621" t="s">
        <v>14</v>
      </c>
      <c r="F2621" t="s">
        <v>15</v>
      </c>
      <c r="G2621" t="s">
        <v>15</v>
      </c>
      <c r="H2621" t="s">
        <v>15</v>
      </c>
      <c r="I2621" s="1">
        <v>61377300</v>
      </c>
    </row>
    <row r="2622" spans="1:9" x14ac:dyDescent="0.25">
      <c r="A2622" t="str">
        <f>"55018"</f>
        <v>55018</v>
      </c>
      <c r="B2622" t="s">
        <v>11</v>
      </c>
      <c r="C2622" t="s">
        <v>1080</v>
      </c>
      <c r="D2622" t="s">
        <v>13</v>
      </c>
      <c r="E2622" t="s">
        <v>14</v>
      </c>
      <c r="F2622" t="s">
        <v>15</v>
      </c>
      <c r="G2622" t="s">
        <v>15</v>
      </c>
      <c r="H2622" t="s">
        <v>15</v>
      </c>
      <c r="I2622" s="1">
        <v>243195900</v>
      </c>
    </row>
    <row r="2623" spans="1:9" x14ac:dyDescent="0.25">
      <c r="A2623" t="str">
        <f>"55020"</f>
        <v>55020</v>
      </c>
      <c r="B2623" t="s">
        <v>11</v>
      </c>
      <c r="C2623" t="s">
        <v>1081</v>
      </c>
      <c r="D2623" t="s">
        <v>13</v>
      </c>
      <c r="E2623" t="s">
        <v>14</v>
      </c>
      <c r="F2623" t="s">
        <v>15</v>
      </c>
      <c r="G2623" t="s">
        <v>15</v>
      </c>
      <c r="H2623" t="s">
        <v>15</v>
      </c>
      <c r="I2623" s="1">
        <v>1160416700</v>
      </c>
    </row>
    <row r="2624" spans="1:9" x14ac:dyDescent="0.25">
      <c r="A2624" t="str">
        <f>"55022"</f>
        <v>55022</v>
      </c>
      <c r="B2624" t="s">
        <v>11</v>
      </c>
      <c r="C2624" t="s">
        <v>1082</v>
      </c>
      <c r="D2624" t="s">
        <v>13</v>
      </c>
      <c r="E2624" t="s">
        <v>14</v>
      </c>
      <c r="F2624" t="s">
        <v>15</v>
      </c>
      <c r="G2624" t="s">
        <v>15</v>
      </c>
      <c r="H2624" t="s">
        <v>15</v>
      </c>
      <c r="I2624" s="1">
        <v>239227200</v>
      </c>
    </row>
    <row r="2625" spans="1:9" x14ac:dyDescent="0.25">
      <c r="A2625" t="str">
        <f>"55024"</f>
        <v>55024</v>
      </c>
      <c r="B2625" t="s">
        <v>11</v>
      </c>
      <c r="C2625" t="s">
        <v>443</v>
      </c>
      <c r="D2625" t="s">
        <v>13</v>
      </c>
      <c r="E2625" t="s">
        <v>14</v>
      </c>
      <c r="F2625" t="s">
        <v>15</v>
      </c>
      <c r="G2625" t="s">
        <v>15</v>
      </c>
      <c r="H2625" t="s">
        <v>15</v>
      </c>
      <c r="I2625" s="1">
        <v>59128800</v>
      </c>
    </row>
    <row r="2626" spans="1:9" x14ac:dyDescent="0.25">
      <c r="A2626" t="str">
        <f>"55026"</f>
        <v>55026</v>
      </c>
      <c r="B2626" t="s">
        <v>11</v>
      </c>
      <c r="C2626" t="s">
        <v>1083</v>
      </c>
      <c r="D2626" t="s">
        <v>13</v>
      </c>
      <c r="E2626" t="s">
        <v>14</v>
      </c>
      <c r="F2626" t="s">
        <v>15</v>
      </c>
      <c r="G2626" t="s">
        <v>15</v>
      </c>
      <c r="H2626" t="s">
        <v>15</v>
      </c>
      <c r="I2626" s="1">
        <v>400258500</v>
      </c>
    </row>
    <row r="2627" spans="1:9" x14ac:dyDescent="0.25">
      <c r="A2627" t="str">
        <f>"55028"</f>
        <v>55028</v>
      </c>
      <c r="B2627" t="s">
        <v>11</v>
      </c>
      <c r="C2627" t="s">
        <v>1084</v>
      </c>
      <c r="D2627" t="s">
        <v>13</v>
      </c>
      <c r="E2627" t="s">
        <v>14</v>
      </c>
      <c r="F2627" t="s">
        <v>15</v>
      </c>
      <c r="G2627" t="s">
        <v>15</v>
      </c>
      <c r="H2627" t="s">
        <v>15</v>
      </c>
      <c r="I2627" s="1">
        <v>48668700</v>
      </c>
    </row>
    <row r="2628" spans="1:9" x14ac:dyDescent="0.25">
      <c r="A2628" t="str">
        <f>"55030"</f>
        <v>55030</v>
      </c>
      <c r="B2628" t="s">
        <v>11</v>
      </c>
      <c r="C2628" t="s">
        <v>1085</v>
      </c>
      <c r="D2628" t="s">
        <v>13</v>
      </c>
      <c r="E2628" t="s">
        <v>14</v>
      </c>
      <c r="F2628" t="s">
        <v>15</v>
      </c>
      <c r="G2628" t="s">
        <v>15</v>
      </c>
      <c r="H2628" t="s">
        <v>15</v>
      </c>
      <c r="I2628" s="1">
        <v>688041400</v>
      </c>
    </row>
    <row r="2629" spans="1:9" x14ac:dyDescent="0.25">
      <c r="A2629" t="str">
        <f>"55032"</f>
        <v>55032</v>
      </c>
      <c r="B2629" t="s">
        <v>11</v>
      </c>
      <c r="C2629" t="s">
        <v>1086</v>
      </c>
      <c r="D2629" t="s">
        <v>13</v>
      </c>
      <c r="E2629" t="s">
        <v>14</v>
      </c>
      <c r="F2629" t="s">
        <v>15</v>
      </c>
      <c r="G2629" t="s">
        <v>15</v>
      </c>
      <c r="H2629" t="s">
        <v>15</v>
      </c>
      <c r="I2629" s="1">
        <v>554044300</v>
      </c>
    </row>
    <row r="2630" spans="1:9" x14ac:dyDescent="0.25">
      <c r="A2630" t="str">
        <f>"55034"</f>
        <v>55034</v>
      </c>
      <c r="B2630" t="s">
        <v>11</v>
      </c>
      <c r="C2630" t="s">
        <v>327</v>
      </c>
      <c r="D2630" t="s">
        <v>13</v>
      </c>
      <c r="E2630" t="s">
        <v>14</v>
      </c>
      <c r="F2630" t="s">
        <v>15</v>
      </c>
      <c r="G2630" t="s">
        <v>15</v>
      </c>
      <c r="H2630" t="s">
        <v>15</v>
      </c>
      <c r="I2630" s="1">
        <v>75409400</v>
      </c>
    </row>
    <row r="2631" spans="1:9" x14ac:dyDescent="0.25">
      <c r="A2631" t="str">
        <f>"55036"</f>
        <v>55036</v>
      </c>
      <c r="B2631" t="s">
        <v>11</v>
      </c>
      <c r="C2631" t="s">
        <v>428</v>
      </c>
      <c r="D2631" t="s">
        <v>13</v>
      </c>
      <c r="E2631" t="s">
        <v>14</v>
      </c>
      <c r="F2631" t="s">
        <v>15</v>
      </c>
      <c r="G2631" t="s">
        <v>15</v>
      </c>
      <c r="H2631" t="s">
        <v>15</v>
      </c>
      <c r="I2631" s="1">
        <v>85902800</v>
      </c>
    </row>
    <row r="2632" spans="1:9" x14ac:dyDescent="0.25">
      <c r="A2632" t="str">
        <f>"55038"</f>
        <v>55038</v>
      </c>
      <c r="B2632" t="s">
        <v>11</v>
      </c>
      <c r="C2632" t="s">
        <v>1087</v>
      </c>
      <c r="D2632" t="s">
        <v>13</v>
      </c>
      <c r="E2632" t="s">
        <v>14</v>
      </c>
      <c r="F2632" t="s">
        <v>15</v>
      </c>
      <c r="G2632" t="s">
        <v>15</v>
      </c>
      <c r="H2632" t="s">
        <v>15</v>
      </c>
      <c r="I2632" s="1">
        <v>366864700</v>
      </c>
    </row>
    <row r="2633" spans="1:9" x14ac:dyDescent="0.25">
      <c r="A2633" t="str">
        <f>"55040"</f>
        <v>55040</v>
      </c>
      <c r="B2633" t="s">
        <v>11</v>
      </c>
      <c r="C2633" t="s">
        <v>1088</v>
      </c>
      <c r="D2633" t="s">
        <v>13</v>
      </c>
      <c r="E2633" t="s">
        <v>14</v>
      </c>
      <c r="F2633" t="s">
        <v>15</v>
      </c>
      <c r="G2633" t="s">
        <v>15</v>
      </c>
      <c r="H2633" t="s">
        <v>15</v>
      </c>
      <c r="I2633" s="1">
        <v>934875500</v>
      </c>
    </row>
    <row r="2634" spans="1:9" x14ac:dyDescent="0.25">
      <c r="A2634" t="str">
        <f>"55042"</f>
        <v>55042</v>
      </c>
      <c r="B2634" t="s">
        <v>11</v>
      </c>
      <c r="C2634" t="s">
        <v>1089</v>
      </c>
      <c r="D2634" t="s">
        <v>13</v>
      </c>
      <c r="E2634" t="s">
        <v>14</v>
      </c>
      <c r="F2634" t="s">
        <v>15</v>
      </c>
      <c r="G2634" t="s">
        <v>15</v>
      </c>
      <c r="H2634" t="s">
        <v>15</v>
      </c>
      <c r="I2634" s="1">
        <v>201666200</v>
      </c>
    </row>
    <row r="2635" spans="1:9" x14ac:dyDescent="0.25">
      <c r="A2635" t="s">
        <v>32</v>
      </c>
      <c r="B2635" t="s">
        <v>33</v>
      </c>
      <c r="C2635" t="s">
        <v>34</v>
      </c>
      <c r="D2635" t="s">
        <v>13</v>
      </c>
      <c r="E2635" t="s">
        <v>14</v>
      </c>
      <c r="F2635" t="s">
        <v>15</v>
      </c>
      <c r="G2635" t="s">
        <v>15</v>
      </c>
      <c r="H2635" t="s">
        <v>15</v>
      </c>
      <c r="I2635" s="1">
        <v>5669444800</v>
      </c>
    </row>
    <row r="2636" spans="1:9" x14ac:dyDescent="0.25">
      <c r="A2636" t="str">
        <f>"55106"</f>
        <v>55106</v>
      </c>
      <c r="B2636" t="s">
        <v>35</v>
      </c>
      <c r="C2636" t="s">
        <v>1074</v>
      </c>
      <c r="D2636" t="str">
        <f>"005"</f>
        <v>005</v>
      </c>
      <c r="E2636">
        <v>1995</v>
      </c>
      <c r="F2636">
        <v>22500</v>
      </c>
      <c r="G2636">
        <v>3071500</v>
      </c>
      <c r="H2636">
        <v>3049000</v>
      </c>
    </row>
    <row r="2637" spans="1:9" x14ac:dyDescent="0.25">
      <c r="A2637" t="str">
        <f>"55106"</f>
        <v>55106</v>
      </c>
      <c r="B2637" t="s">
        <v>35</v>
      </c>
      <c r="C2637" t="s">
        <v>1074</v>
      </c>
      <c r="D2637" t="str">
        <f>"006"</f>
        <v>006</v>
      </c>
      <c r="E2637">
        <v>2005</v>
      </c>
      <c r="F2637">
        <v>12224500</v>
      </c>
      <c r="G2637">
        <v>13544700</v>
      </c>
      <c r="H2637">
        <v>1320200</v>
      </c>
    </row>
    <row r="2638" spans="1:9" x14ac:dyDescent="0.25">
      <c r="A2638" t="str">
        <f>"55106"</f>
        <v>55106</v>
      </c>
      <c r="B2638" t="s">
        <v>35</v>
      </c>
      <c r="C2638" t="s">
        <v>1074</v>
      </c>
      <c r="D2638" t="str">
        <f>"007"</f>
        <v>007</v>
      </c>
      <c r="E2638">
        <v>2007</v>
      </c>
      <c r="F2638">
        <v>5002200</v>
      </c>
      <c r="G2638">
        <v>11410400</v>
      </c>
      <c r="H2638">
        <v>6408200</v>
      </c>
    </row>
    <row r="2639" spans="1:9" x14ac:dyDescent="0.25">
      <c r="A2639" t="str">
        <f>"55106"</f>
        <v>55106</v>
      </c>
      <c r="B2639" t="s">
        <v>35</v>
      </c>
      <c r="C2639" t="s">
        <v>1074</v>
      </c>
      <c r="D2639" t="s">
        <v>13</v>
      </c>
      <c r="E2639" t="s">
        <v>14</v>
      </c>
      <c r="F2639" t="s">
        <v>15</v>
      </c>
      <c r="G2639" t="s">
        <v>15</v>
      </c>
      <c r="H2639" t="s">
        <v>15</v>
      </c>
      <c r="I2639" s="1">
        <v>314720000</v>
      </c>
    </row>
    <row r="2640" spans="1:9" x14ac:dyDescent="0.25">
      <c r="A2640" t="str">
        <f>"55116"</f>
        <v>55116</v>
      </c>
      <c r="B2640" t="s">
        <v>35</v>
      </c>
      <c r="C2640" t="s">
        <v>1090</v>
      </c>
      <c r="D2640" t="s">
        <v>13</v>
      </c>
      <c r="E2640" t="s">
        <v>14</v>
      </c>
      <c r="F2640" t="s">
        <v>15</v>
      </c>
      <c r="G2640" t="s">
        <v>15</v>
      </c>
      <c r="H2640" t="s">
        <v>15</v>
      </c>
      <c r="I2640" s="1">
        <v>13948100</v>
      </c>
    </row>
    <row r="2641" spans="1:9" x14ac:dyDescent="0.25">
      <c r="A2641" t="str">
        <f>"55136"</f>
        <v>55136</v>
      </c>
      <c r="B2641" t="s">
        <v>35</v>
      </c>
      <c r="C2641" t="s">
        <v>1080</v>
      </c>
      <c r="D2641" t="str">
        <f>"003"</f>
        <v>003</v>
      </c>
      <c r="E2641">
        <v>1993</v>
      </c>
      <c r="F2641">
        <v>139200</v>
      </c>
      <c r="G2641">
        <v>535500</v>
      </c>
      <c r="H2641">
        <v>396300</v>
      </c>
    </row>
    <row r="2642" spans="1:9" x14ac:dyDescent="0.25">
      <c r="A2642" t="str">
        <f>"55136"</f>
        <v>55136</v>
      </c>
      <c r="B2642" t="s">
        <v>35</v>
      </c>
      <c r="C2642" t="s">
        <v>1080</v>
      </c>
      <c r="D2642" t="str">
        <f>"004"</f>
        <v>004</v>
      </c>
      <c r="E2642">
        <v>1993</v>
      </c>
      <c r="F2642">
        <v>201100</v>
      </c>
      <c r="G2642">
        <v>522600</v>
      </c>
      <c r="H2642">
        <v>321500</v>
      </c>
    </row>
    <row r="2643" spans="1:9" x14ac:dyDescent="0.25">
      <c r="A2643" t="str">
        <f>"55136"</f>
        <v>55136</v>
      </c>
      <c r="B2643" t="s">
        <v>35</v>
      </c>
      <c r="C2643" t="s">
        <v>1080</v>
      </c>
      <c r="D2643" t="str">
        <f>"005"</f>
        <v>005</v>
      </c>
      <c r="E2643">
        <v>1995</v>
      </c>
      <c r="F2643">
        <v>142600</v>
      </c>
      <c r="G2643">
        <v>14334700</v>
      </c>
      <c r="H2643">
        <v>14192100</v>
      </c>
    </row>
    <row r="2644" spans="1:9" x14ac:dyDescent="0.25">
      <c r="A2644" t="str">
        <f>"55136"</f>
        <v>55136</v>
      </c>
      <c r="B2644" t="s">
        <v>35</v>
      </c>
      <c r="C2644" t="s">
        <v>1080</v>
      </c>
      <c r="D2644" t="s">
        <v>13</v>
      </c>
      <c r="E2644" t="s">
        <v>14</v>
      </c>
      <c r="F2644" t="s">
        <v>15</v>
      </c>
      <c r="G2644" t="s">
        <v>15</v>
      </c>
      <c r="H2644" t="s">
        <v>15</v>
      </c>
      <c r="I2644" s="1">
        <v>125704700</v>
      </c>
    </row>
    <row r="2645" spans="1:9" x14ac:dyDescent="0.25">
      <c r="A2645" t="str">
        <f>"55161"</f>
        <v>55161</v>
      </c>
      <c r="B2645" t="s">
        <v>35</v>
      </c>
      <c r="C2645" t="s">
        <v>1091</v>
      </c>
      <c r="D2645" t="s">
        <v>13</v>
      </c>
      <c r="E2645" t="s">
        <v>14</v>
      </c>
      <c r="F2645" t="s">
        <v>15</v>
      </c>
      <c r="G2645" t="s">
        <v>15</v>
      </c>
      <c r="H2645" t="s">
        <v>15</v>
      </c>
      <c r="I2645" s="1">
        <v>438959100</v>
      </c>
    </row>
    <row r="2646" spans="1:9" x14ac:dyDescent="0.25">
      <c r="A2646" t="str">
        <f>"55176"</f>
        <v>55176</v>
      </c>
      <c r="B2646" t="s">
        <v>35</v>
      </c>
      <c r="C2646" t="s">
        <v>1092</v>
      </c>
      <c r="D2646" t="str">
        <f>"001"</f>
        <v>001</v>
      </c>
      <c r="E2646">
        <v>1997</v>
      </c>
      <c r="F2646">
        <v>4435100</v>
      </c>
      <c r="G2646">
        <v>24461500</v>
      </c>
      <c r="H2646">
        <v>20026400</v>
      </c>
    </row>
    <row r="2647" spans="1:9" x14ac:dyDescent="0.25">
      <c r="A2647" t="str">
        <f>"55176"</f>
        <v>55176</v>
      </c>
      <c r="B2647" t="s">
        <v>35</v>
      </c>
      <c r="C2647" t="s">
        <v>1092</v>
      </c>
      <c r="D2647" t="s">
        <v>13</v>
      </c>
      <c r="E2647" t="s">
        <v>14</v>
      </c>
      <c r="F2647" t="s">
        <v>15</v>
      </c>
      <c r="G2647" t="s">
        <v>15</v>
      </c>
      <c r="H2647" t="s">
        <v>15</v>
      </c>
      <c r="I2647" s="1">
        <v>135963500</v>
      </c>
    </row>
    <row r="2648" spans="1:9" x14ac:dyDescent="0.25">
      <c r="A2648" t="str">
        <f>"55181"</f>
        <v>55181</v>
      </c>
      <c r="B2648" t="s">
        <v>35</v>
      </c>
      <c r="C2648" t="s">
        <v>1086</v>
      </c>
      <c r="D2648" t="str">
        <f>"002"</f>
        <v>002</v>
      </c>
      <c r="E2648">
        <v>1996</v>
      </c>
      <c r="F2648">
        <v>1890600</v>
      </c>
      <c r="G2648">
        <v>36273100</v>
      </c>
      <c r="H2648">
        <v>34382500</v>
      </c>
    </row>
    <row r="2649" spans="1:9" x14ac:dyDescent="0.25">
      <c r="A2649" t="str">
        <f>"55181"</f>
        <v>55181</v>
      </c>
      <c r="B2649" t="s">
        <v>35</v>
      </c>
      <c r="C2649" t="s">
        <v>1086</v>
      </c>
      <c r="D2649" t="str">
        <f>"003"</f>
        <v>003</v>
      </c>
      <c r="E2649">
        <v>2005</v>
      </c>
      <c r="F2649">
        <v>1135500</v>
      </c>
      <c r="G2649">
        <v>1236300</v>
      </c>
      <c r="H2649">
        <v>100800</v>
      </c>
    </row>
    <row r="2650" spans="1:9" x14ac:dyDescent="0.25">
      <c r="A2650" t="str">
        <f>"55181"</f>
        <v>55181</v>
      </c>
      <c r="B2650" t="s">
        <v>35</v>
      </c>
      <c r="C2650" t="s">
        <v>1086</v>
      </c>
      <c r="D2650" t="str">
        <f>"004"</f>
        <v>004</v>
      </c>
      <c r="E2650">
        <v>2008</v>
      </c>
      <c r="F2650">
        <v>1085700</v>
      </c>
      <c r="G2650">
        <v>164200</v>
      </c>
      <c r="H2650">
        <v>0</v>
      </c>
    </row>
    <row r="2651" spans="1:9" x14ac:dyDescent="0.25">
      <c r="A2651" t="str">
        <f>"55181"</f>
        <v>55181</v>
      </c>
      <c r="B2651" t="s">
        <v>35</v>
      </c>
      <c r="C2651" t="s">
        <v>1086</v>
      </c>
      <c r="D2651" t="s">
        <v>13</v>
      </c>
      <c r="E2651" t="s">
        <v>14</v>
      </c>
      <c r="F2651" t="s">
        <v>15</v>
      </c>
      <c r="G2651" t="s">
        <v>15</v>
      </c>
      <c r="H2651" t="s">
        <v>15</v>
      </c>
      <c r="I2651" s="1">
        <v>205301100</v>
      </c>
    </row>
    <row r="2652" spans="1:9" x14ac:dyDescent="0.25">
      <c r="A2652" t="str">
        <f>"55182"</f>
        <v>55182</v>
      </c>
      <c r="B2652" t="s">
        <v>35</v>
      </c>
      <c r="C2652" t="s">
        <v>1087</v>
      </c>
      <c r="D2652" t="s">
        <v>13</v>
      </c>
      <c r="E2652" t="s">
        <v>14</v>
      </c>
      <c r="F2652" t="s">
        <v>15</v>
      </c>
      <c r="G2652" t="s">
        <v>15</v>
      </c>
      <c r="H2652" t="s">
        <v>15</v>
      </c>
      <c r="I2652" s="1">
        <v>43922700</v>
      </c>
    </row>
    <row r="2653" spans="1:9" x14ac:dyDescent="0.25">
      <c r="A2653" t="str">
        <f>"55184"</f>
        <v>55184</v>
      </c>
      <c r="B2653" t="s">
        <v>35</v>
      </c>
      <c r="C2653" t="s">
        <v>948</v>
      </c>
      <c r="D2653" t="s">
        <v>13</v>
      </c>
      <c r="E2653" t="s">
        <v>14</v>
      </c>
      <c r="F2653" t="s">
        <v>15</v>
      </c>
      <c r="G2653" t="s">
        <v>15</v>
      </c>
      <c r="H2653" t="s">
        <v>15</v>
      </c>
      <c r="I2653" s="1">
        <v>1374000</v>
      </c>
    </row>
    <row r="2654" spans="1:9" x14ac:dyDescent="0.25">
      <c r="A2654" t="str">
        <f>"55191"</f>
        <v>55191</v>
      </c>
      <c r="B2654" t="s">
        <v>35</v>
      </c>
      <c r="C2654" t="s">
        <v>431</v>
      </c>
      <c r="D2654" t="s">
        <v>13</v>
      </c>
      <c r="E2654" t="s">
        <v>14</v>
      </c>
      <c r="F2654" t="s">
        <v>15</v>
      </c>
      <c r="G2654" t="s">
        <v>15</v>
      </c>
      <c r="H2654" t="s">
        <v>15</v>
      </c>
      <c r="I2654" s="1">
        <v>10962400</v>
      </c>
    </row>
    <row r="2655" spans="1:9" x14ac:dyDescent="0.25">
      <c r="A2655" t="str">
        <f>"55192"</f>
        <v>55192</v>
      </c>
      <c r="B2655" t="s">
        <v>35</v>
      </c>
      <c r="C2655" t="s">
        <v>179</v>
      </c>
      <c r="D2655" t="str">
        <f>"003"</f>
        <v>003</v>
      </c>
      <c r="E2655">
        <v>1995</v>
      </c>
      <c r="F2655">
        <v>1001000</v>
      </c>
      <c r="G2655">
        <v>25248500</v>
      </c>
      <c r="H2655">
        <v>24247500</v>
      </c>
    </row>
    <row r="2656" spans="1:9" x14ac:dyDescent="0.25">
      <c r="A2656" t="str">
        <f>"55192"</f>
        <v>55192</v>
      </c>
      <c r="B2656" t="s">
        <v>35</v>
      </c>
      <c r="C2656" t="s">
        <v>179</v>
      </c>
      <c r="D2656" t="str">
        <f>"004"</f>
        <v>004</v>
      </c>
      <c r="E2656">
        <v>2005</v>
      </c>
      <c r="F2656">
        <v>193600</v>
      </c>
      <c r="G2656">
        <v>842200</v>
      </c>
      <c r="H2656">
        <v>648600</v>
      </c>
    </row>
    <row r="2657" spans="1:9" x14ac:dyDescent="0.25">
      <c r="A2657" t="str">
        <f>"55192"</f>
        <v>55192</v>
      </c>
      <c r="B2657" t="s">
        <v>35</v>
      </c>
      <c r="C2657" t="s">
        <v>179</v>
      </c>
      <c r="D2657" t="s">
        <v>13</v>
      </c>
      <c r="E2657" t="s">
        <v>14</v>
      </c>
      <c r="F2657" t="s">
        <v>15</v>
      </c>
      <c r="G2657" t="s">
        <v>15</v>
      </c>
      <c r="H2657" t="s">
        <v>15</v>
      </c>
      <c r="I2657" s="1">
        <v>73891500</v>
      </c>
    </row>
    <row r="2658" spans="1:9" x14ac:dyDescent="0.25">
      <c r="A2658" t="s">
        <v>32</v>
      </c>
      <c r="B2658" t="s">
        <v>37</v>
      </c>
      <c r="C2658" t="s">
        <v>34</v>
      </c>
      <c r="D2658" t="s">
        <v>13</v>
      </c>
      <c r="E2658" t="s">
        <v>14</v>
      </c>
      <c r="F2658" t="s">
        <v>15</v>
      </c>
      <c r="G2658" t="s">
        <v>15</v>
      </c>
      <c r="H2658" t="s">
        <v>15</v>
      </c>
      <c r="I2658" s="1">
        <v>1364747100</v>
      </c>
    </row>
    <row r="2659" spans="1:9" x14ac:dyDescent="0.25">
      <c r="A2659" t="str">
        <f>"55231"</f>
        <v>55231</v>
      </c>
      <c r="B2659" t="s">
        <v>38</v>
      </c>
      <c r="C2659" t="s">
        <v>1093</v>
      </c>
      <c r="D2659" t="s">
        <v>13</v>
      </c>
      <c r="E2659" t="s">
        <v>14</v>
      </c>
      <c r="F2659" t="s">
        <v>15</v>
      </c>
      <c r="G2659" t="s">
        <v>15</v>
      </c>
      <c r="H2659" t="s">
        <v>15</v>
      </c>
      <c r="I2659" s="1">
        <v>68296800</v>
      </c>
    </row>
    <row r="2660" spans="1:9" x14ac:dyDescent="0.25">
      <c r="A2660" t="str">
        <f>"55236"</f>
        <v>55236</v>
      </c>
      <c r="B2660" t="s">
        <v>38</v>
      </c>
      <c r="C2660" t="s">
        <v>1081</v>
      </c>
      <c r="D2660" t="str">
        <f>"005"</f>
        <v>005</v>
      </c>
      <c r="E2660">
        <v>2017</v>
      </c>
      <c r="F2660">
        <v>6322400</v>
      </c>
      <c r="G2660">
        <v>17903200</v>
      </c>
      <c r="H2660">
        <v>11580800</v>
      </c>
    </row>
    <row r="2661" spans="1:9" x14ac:dyDescent="0.25">
      <c r="A2661" t="str">
        <f>"55236"</f>
        <v>55236</v>
      </c>
      <c r="B2661" t="s">
        <v>38</v>
      </c>
      <c r="C2661" t="s">
        <v>1081</v>
      </c>
      <c r="D2661" t="str">
        <f>"006"</f>
        <v>006</v>
      </c>
      <c r="E2661">
        <v>2018</v>
      </c>
      <c r="F2661">
        <v>97875200</v>
      </c>
      <c r="G2661">
        <v>110407400</v>
      </c>
      <c r="H2661">
        <v>12532200</v>
      </c>
    </row>
    <row r="2662" spans="1:9" x14ac:dyDescent="0.25">
      <c r="A2662" t="str">
        <f>"55236"</f>
        <v>55236</v>
      </c>
      <c r="B2662" t="s">
        <v>38</v>
      </c>
      <c r="C2662" t="s">
        <v>1081</v>
      </c>
      <c r="D2662" t="s">
        <v>13</v>
      </c>
      <c r="E2662" t="s">
        <v>14</v>
      </c>
      <c r="F2662" t="s">
        <v>15</v>
      </c>
      <c r="G2662" t="s">
        <v>15</v>
      </c>
      <c r="H2662" t="s">
        <v>15</v>
      </c>
      <c r="I2662" s="1">
        <v>2108618200</v>
      </c>
    </row>
    <row r="2663" spans="1:9" x14ac:dyDescent="0.25">
      <c r="A2663" t="str">
        <f t="shared" ref="A2663:A2669" si="61">"55261"</f>
        <v>55261</v>
      </c>
      <c r="B2663" t="s">
        <v>38</v>
      </c>
      <c r="C2663" t="s">
        <v>1094</v>
      </c>
      <c r="D2663" t="str">
        <f>"005"</f>
        <v>005</v>
      </c>
      <c r="E2663">
        <v>1987</v>
      </c>
      <c r="F2663">
        <v>77900</v>
      </c>
      <c r="G2663">
        <v>21441200</v>
      </c>
      <c r="H2663">
        <v>21363300</v>
      </c>
    </row>
    <row r="2664" spans="1:9" x14ac:dyDescent="0.25">
      <c r="A2664" t="str">
        <f t="shared" si="61"/>
        <v>55261</v>
      </c>
      <c r="B2664" t="s">
        <v>38</v>
      </c>
      <c r="C2664" t="s">
        <v>1094</v>
      </c>
      <c r="D2664" t="str">
        <f>"006"</f>
        <v>006</v>
      </c>
      <c r="E2664">
        <v>1995</v>
      </c>
      <c r="F2664">
        <v>228500</v>
      </c>
      <c r="G2664">
        <v>27714700</v>
      </c>
      <c r="H2664">
        <v>27486200</v>
      </c>
    </row>
    <row r="2665" spans="1:9" x14ac:dyDescent="0.25">
      <c r="A2665" t="str">
        <f t="shared" si="61"/>
        <v>55261</v>
      </c>
      <c r="B2665" t="s">
        <v>38</v>
      </c>
      <c r="C2665" t="s">
        <v>1094</v>
      </c>
      <c r="D2665" t="str">
        <f>"007"</f>
        <v>007</v>
      </c>
      <c r="E2665">
        <v>2003</v>
      </c>
      <c r="F2665">
        <v>2557800</v>
      </c>
      <c r="G2665">
        <v>6994800</v>
      </c>
      <c r="H2665">
        <v>4437000</v>
      </c>
    </row>
    <row r="2666" spans="1:9" x14ac:dyDescent="0.25">
      <c r="A2666" t="str">
        <f t="shared" si="61"/>
        <v>55261</v>
      </c>
      <c r="B2666" t="s">
        <v>38</v>
      </c>
      <c r="C2666" t="s">
        <v>1094</v>
      </c>
      <c r="D2666" t="str">
        <f>"008"</f>
        <v>008</v>
      </c>
      <c r="E2666">
        <v>2005</v>
      </c>
      <c r="F2666">
        <v>15731300</v>
      </c>
      <c r="G2666">
        <v>28888100</v>
      </c>
      <c r="H2666">
        <v>13156800</v>
      </c>
    </row>
    <row r="2667" spans="1:9" x14ac:dyDescent="0.25">
      <c r="A2667" t="str">
        <f t="shared" si="61"/>
        <v>55261</v>
      </c>
      <c r="B2667" t="s">
        <v>38</v>
      </c>
      <c r="C2667" t="s">
        <v>1094</v>
      </c>
      <c r="D2667" t="str">
        <f>"009"</f>
        <v>009</v>
      </c>
      <c r="E2667">
        <v>2008</v>
      </c>
      <c r="F2667">
        <v>6476100</v>
      </c>
      <c r="G2667">
        <v>9135100</v>
      </c>
      <c r="H2667">
        <v>2659000</v>
      </c>
    </row>
    <row r="2668" spans="1:9" x14ac:dyDescent="0.25">
      <c r="A2668" t="str">
        <f t="shared" si="61"/>
        <v>55261</v>
      </c>
      <c r="B2668" t="s">
        <v>38</v>
      </c>
      <c r="C2668" t="s">
        <v>1094</v>
      </c>
      <c r="D2668" t="str">
        <f>"010"</f>
        <v>010</v>
      </c>
      <c r="E2668">
        <v>2014</v>
      </c>
      <c r="F2668">
        <v>3853800</v>
      </c>
      <c r="G2668">
        <v>10206100</v>
      </c>
      <c r="H2668">
        <v>6352300</v>
      </c>
    </row>
    <row r="2669" spans="1:9" x14ac:dyDescent="0.25">
      <c r="A2669" t="str">
        <f t="shared" si="61"/>
        <v>55261</v>
      </c>
      <c r="B2669" t="s">
        <v>38</v>
      </c>
      <c r="C2669" t="s">
        <v>1094</v>
      </c>
      <c r="D2669" t="s">
        <v>13</v>
      </c>
      <c r="E2669" t="s">
        <v>14</v>
      </c>
      <c r="F2669" t="s">
        <v>15</v>
      </c>
      <c r="G2669" t="s">
        <v>15</v>
      </c>
      <c r="H2669" t="s">
        <v>15</v>
      </c>
      <c r="I2669" s="1">
        <v>803944900</v>
      </c>
    </row>
    <row r="2670" spans="1:9" x14ac:dyDescent="0.25">
      <c r="A2670" t="str">
        <f t="shared" ref="A2670:A2675" si="62">"55276"</f>
        <v>55276</v>
      </c>
      <c r="B2670" t="s">
        <v>38</v>
      </c>
      <c r="C2670" t="s">
        <v>940</v>
      </c>
      <c r="D2670" t="str">
        <f>"005"</f>
        <v>005</v>
      </c>
      <c r="E2670">
        <v>1994</v>
      </c>
      <c r="F2670">
        <v>467400</v>
      </c>
      <c r="G2670">
        <v>26065400</v>
      </c>
      <c r="H2670">
        <v>25598000</v>
      </c>
    </row>
    <row r="2671" spans="1:9" x14ac:dyDescent="0.25">
      <c r="A2671" t="str">
        <f t="shared" si="62"/>
        <v>55276</v>
      </c>
      <c r="B2671" t="s">
        <v>38</v>
      </c>
      <c r="C2671" t="s">
        <v>940</v>
      </c>
      <c r="D2671" t="str">
        <f>"010"</f>
        <v>010</v>
      </c>
      <c r="E2671">
        <v>2014</v>
      </c>
      <c r="F2671">
        <v>133300</v>
      </c>
      <c r="G2671">
        <v>21438800</v>
      </c>
      <c r="H2671">
        <v>21305500</v>
      </c>
    </row>
    <row r="2672" spans="1:9" x14ac:dyDescent="0.25">
      <c r="A2672" t="str">
        <f t="shared" si="62"/>
        <v>55276</v>
      </c>
      <c r="B2672" t="s">
        <v>38</v>
      </c>
      <c r="C2672" t="s">
        <v>940</v>
      </c>
      <c r="D2672" t="str">
        <f>"011"</f>
        <v>011</v>
      </c>
      <c r="E2672">
        <v>2016</v>
      </c>
      <c r="F2672">
        <v>7860500</v>
      </c>
      <c r="G2672">
        <v>7912600</v>
      </c>
      <c r="H2672">
        <v>52100</v>
      </c>
    </row>
    <row r="2673" spans="1:9" x14ac:dyDescent="0.25">
      <c r="A2673" t="str">
        <f t="shared" si="62"/>
        <v>55276</v>
      </c>
      <c r="B2673" t="s">
        <v>38</v>
      </c>
      <c r="C2673" t="s">
        <v>940</v>
      </c>
      <c r="D2673" t="str">
        <f>"012"</f>
        <v>012</v>
      </c>
      <c r="E2673">
        <v>2016</v>
      </c>
      <c r="F2673">
        <v>0</v>
      </c>
      <c r="G2673">
        <v>2074000</v>
      </c>
      <c r="H2673">
        <v>2074000</v>
      </c>
    </row>
    <row r="2674" spans="1:9" x14ac:dyDescent="0.25">
      <c r="A2674" t="str">
        <f t="shared" si="62"/>
        <v>55276</v>
      </c>
      <c r="B2674" t="s">
        <v>38</v>
      </c>
      <c r="C2674" t="s">
        <v>940</v>
      </c>
      <c r="D2674" t="str">
        <f>"013"</f>
        <v>013</v>
      </c>
      <c r="E2674">
        <v>2018</v>
      </c>
      <c r="F2674">
        <v>6703500</v>
      </c>
      <c r="G2674">
        <v>9556500</v>
      </c>
      <c r="H2674">
        <v>2853000</v>
      </c>
    </row>
    <row r="2675" spans="1:9" x14ac:dyDescent="0.25">
      <c r="A2675" t="str">
        <f t="shared" si="62"/>
        <v>55276</v>
      </c>
      <c r="B2675" t="s">
        <v>38</v>
      </c>
      <c r="C2675" t="s">
        <v>940</v>
      </c>
      <c r="D2675" t="s">
        <v>13</v>
      </c>
      <c r="E2675" t="s">
        <v>14</v>
      </c>
      <c r="F2675" t="s">
        <v>15</v>
      </c>
      <c r="G2675" t="s">
        <v>15</v>
      </c>
      <c r="H2675" t="s">
        <v>15</v>
      </c>
      <c r="I2675" s="1">
        <v>348723100</v>
      </c>
    </row>
    <row r="2676" spans="1:9" x14ac:dyDescent="0.25">
      <c r="A2676" t="s">
        <v>32</v>
      </c>
      <c r="B2676" t="s">
        <v>40</v>
      </c>
      <c r="C2676" t="s">
        <v>34</v>
      </c>
      <c r="D2676" t="s">
        <v>13</v>
      </c>
      <c r="E2676" t="s">
        <v>14</v>
      </c>
      <c r="F2676" t="s">
        <v>15</v>
      </c>
      <c r="G2676" t="s">
        <v>15</v>
      </c>
      <c r="H2676" t="s">
        <v>15</v>
      </c>
      <c r="I2676" s="1">
        <v>3329583000</v>
      </c>
    </row>
    <row r="2677" spans="1:9" x14ac:dyDescent="0.25">
      <c r="A2677" t="s">
        <v>32</v>
      </c>
      <c r="B2677" t="s">
        <v>41</v>
      </c>
      <c r="C2677" t="s">
        <v>1095</v>
      </c>
      <c r="D2677" t="s">
        <v>13</v>
      </c>
      <c r="E2677" t="s">
        <v>14</v>
      </c>
      <c r="F2677" t="s">
        <v>15</v>
      </c>
      <c r="G2677" t="s">
        <v>15</v>
      </c>
      <c r="H2677" t="s">
        <v>15</v>
      </c>
      <c r="I2677" s="1">
        <v>10363774900</v>
      </c>
    </row>
    <row r="2678" spans="1:9" x14ac:dyDescent="0.25">
      <c r="A2678" t="str">
        <f>"56002"</f>
        <v>56002</v>
      </c>
      <c r="B2678" t="s">
        <v>11</v>
      </c>
      <c r="C2678" t="s">
        <v>1096</v>
      </c>
      <c r="D2678" t="s">
        <v>13</v>
      </c>
      <c r="E2678" t="s">
        <v>14</v>
      </c>
      <c r="F2678" t="s">
        <v>15</v>
      </c>
      <c r="G2678" t="s">
        <v>15</v>
      </c>
      <c r="H2678" t="s">
        <v>15</v>
      </c>
      <c r="I2678" s="1">
        <v>227892100</v>
      </c>
    </row>
    <row r="2679" spans="1:9" x14ac:dyDescent="0.25">
      <c r="A2679" t="str">
        <f>"56004"</f>
        <v>56004</v>
      </c>
      <c r="B2679" t="s">
        <v>11</v>
      </c>
      <c r="C2679" t="s">
        <v>908</v>
      </c>
      <c r="D2679" t="s">
        <v>13</v>
      </c>
      <c r="E2679" t="s">
        <v>14</v>
      </c>
      <c r="F2679" t="s">
        <v>15</v>
      </c>
      <c r="G2679" t="s">
        <v>15</v>
      </c>
      <c r="H2679" t="s">
        <v>15</v>
      </c>
      <c r="I2679" s="1">
        <v>69892700</v>
      </c>
    </row>
    <row r="2680" spans="1:9" x14ac:dyDescent="0.25">
      <c r="A2680" t="str">
        <f>"56006"</f>
        <v>56006</v>
      </c>
      <c r="B2680" t="s">
        <v>11</v>
      </c>
      <c r="C2680" t="s">
        <v>1097</v>
      </c>
      <c r="D2680" t="s">
        <v>13</v>
      </c>
      <c r="E2680" t="s">
        <v>14</v>
      </c>
      <c r="F2680" t="s">
        <v>15</v>
      </c>
      <c r="G2680" t="s">
        <v>15</v>
      </c>
      <c r="H2680" t="s">
        <v>15</v>
      </c>
      <c r="I2680" s="1">
        <v>224759000</v>
      </c>
    </row>
    <row r="2681" spans="1:9" x14ac:dyDescent="0.25">
      <c r="A2681" t="str">
        <f>"56008"</f>
        <v>56008</v>
      </c>
      <c r="B2681" t="s">
        <v>11</v>
      </c>
      <c r="C2681" t="s">
        <v>1098</v>
      </c>
      <c r="D2681" t="s">
        <v>13</v>
      </c>
      <c r="E2681" t="s">
        <v>14</v>
      </c>
      <c r="F2681" t="s">
        <v>15</v>
      </c>
      <c r="G2681" t="s">
        <v>15</v>
      </c>
      <c r="H2681" t="s">
        <v>15</v>
      </c>
      <c r="I2681" s="1">
        <v>309624300</v>
      </c>
    </row>
    <row r="2682" spans="1:9" x14ac:dyDescent="0.25">
      <c r="A2682" t="str">
        <f>"56010"</f>
        <v>56010</v>
      </c>
      <c r="B2682" t="s">
        <v>11</v>
      </c>
      <c r="C2682" t="s">
        <v>1099</v>
      </c>
      <c r="D2682" t="s">
        <v>13</v>
      </c>
      <c r="E2682" t="s">
        <v>14</v>
      </c>
      <c r="F2682" t="s">
        <v>15</v>
      </c>
      <c r="G2682" t="s">
        <v>15</v>
      </c>
      <c r="H2682" t="s">
        <v>15</v>
      </c>
      <c r="I2682" s="1">
        <v>158342400</v>
      </c>
    </row>
    <row r="2683" spans="1:9" x14ac:dyDescent="0.25">
      <c r="A2683" t="str">
        <f>"56012"</f>
        <v>56012</v>
      </c>
      <c r="B2683" t="s">
        <v>11</v>
      </c>
      <c r="C2683" t="s">
        <v>1100</v>
      </c>
      <c r="D2683" t="s">
        <v>13</v>
      </c>
      <c r="E2683" t="s">
        <v>14</v>
      </c>
      <c r="F2683" t="s">
        <v>15</v>
      </c>
      <c r="G2683" t="s">
        <v>15</v>
      </c>
      <c r="H2683" t="s">
        <v>15</v>
      </c>
      <c r="I2683" s="1">
        <v>118563500</v>
      </c>
    </row>
    <row r="2684" spans="1:9" x14ac:dyDescent="0.25">
      <c r="A2684" t="str">
        <f>"56014"</f>
        <v>56014</v>
      </c>
      <c r="B2684" t="s">
        <v>11</v>
      </c>
      <c r="C2684" t="s">
        <v>589</v>
      </c>
      <c r="D2684" t="s">
        <v>13</v>
      </c>
      <c r="E2684" t="s">
        <v>14</v>
      </c>
      <c r="F2684" t="s">
        <v>15</v>
      </c>
      <c r="G2684" t="s">
        <v>15</v>
      </c>
      <c r="H2684" t="s">
        <v>15</v>
      </c>
      <c r="I2684" s="1">
        <v>77816100</v>
      </c>
    </row>
    <row r="2685" spans="1:9" x14ac:dyDescent="0.25">
      <c r="A2685" t="str">
        <f>"56016"</f>
        <v>56016</v>
      </c>
      <c r="B2685" t="s">
        <v>11</v>
      </c>
      <c r="C2685" t="s">
        <v>485</v>
      </c>
      <c r="D2685" t="s">
        <v>13</v>
      </c>
      <c r="E2685" t="s">
        <v>14</v>
      </c>
      <c r="F2685" t="s">
        <v>15</v>
      </c>
      <c r="G2685" t="s">
        <v>15</v>
      </c>
      <c r="H2685" t="s">
        <v>15</v>
      </c>
      <c r="I2685" s="1">
        <v>60660900</v>
      </c>
    </row>
    <row r="2686" spans="1:9" x14ac:dyDescent="0.25">
      <c r="A2686" t="str">
        <f>"56018"</f>
        <v>56018</v>
      </c>
      <c r="B2686" t="s">
        <v>11</v>
      </c>
      <c r="C2686" t="s">
        <v>665</v>
      </c>
      <c r="D2686" t="s">
        <v>13</v>
      </c>
      <c r="E2686" t="s">
        <v>14</v>
      </c>
      <c r="F2686" t="s">
        <v>15</v>
      </c>
      <c r="G2686" t="s">
        <v>15</v>
      </c>
      <c r="H2686" t="s">
        <v>15</v>
      </c>
      <c r="I2686" s="1">
        <v>120556300</v>
      </c>
    </row>
    <row r="2687" spans="1:9" x14ac:dyDescent="0.25">
      <c r="A2687" t="str">
        <f>"56020"</f>
        <v>56020</v>
      </c>
      <c r="B2687" t="s">
        <v>11</v>
      </c>
      <c r="C2687" t="s">
        <v>1101</v>
      </c>
      <c r="D2687" t="s">
        <v>13</v>
      </c>
      <c r="E2687" t="s">
        <v>14</v>
      </c>
      <c r="F2687" t="s">
        <v>15</v>
      </c>
      <c r="G2687" t="s">
        <v>15</v>
      </c>
      <c r="H2687" t="s">
        <v>15</v>
      </c>
      <c r="I2687" s="1">
        <v>91570500</v>
      </c>
    </row>
    <row r="2688" spans="1:9" x14ac:dyDescent="0.25">
      <c r="A2688" t="str">
        <f>"56022"</f>
        <v>56022</v>
      </c>
      <c r="B2688" t="s">
        <v>11</v>
      </c>
      <c r="C2688" t="s">
        <v>1102</v>
      </c>
      <c r="D2688" t="s">
        <v>13</v>
      </c>
      <c r="E2688" t="s">
        <v>14</v>
      </c>
      <c r="F2688" t="s">
        <v>15</v>
      </c>
      <c r="G2688" t="s">
        <v>15</v>
      </c>
      <c r="H2688" t="s">
        <v>15</v>
      </c>
      <c r="I2688" s="1">
        <v>57857300</v>
      </c>
    </row>
    <row r="2689" spans="1:9" x14ac:dyDescent="0.25">
      <c r="A2689" t="str">
        <f>"56024"</f>
        <v>56024</v>
      </c>
      <c r="B2689" t="s">
        <v>11</v>
      </c>
      <c r="C2689" t="s">
        <v>1103</v>
      </c>
      <c r="D2689" t="s">
        <v>13</v>
      </c>
      <c r="E2689" t="s">
        <v>14</v>
      </c>
      <c r="F2689" t="s">
        <v>15</v>
      </c>
      <c r="G2689" t="s">
        <v>15</v>
      </c>
      <c r="H2689" t="s">
        <v>15</v>
      </c>
      <c r="I2689" s="1">
        <v>369909200</v>
      </c>
    </row>
    <row r="2690" spans="1:9" x14ac:dyDescent="0.25">
      <c r="A2690" t="str">
        <f>"56026"</f>
        <v>56026</v>
      </c>
      <c r="B2690" t="s">
        <v>11</v>
      </c>
      <c r="C2690" t="s">
        <v>1104</v>
      </c>
      <c r="D2690" t="s">
        <v>13</v>
      </c>
      <c r="E2690" t="s">
        <v>14</v>
      </c>
      <c r="F2690" t="s">
        <v>15</v>
      </c>
      <c r="G2690" t="s">
        <v>15</v>
      </c>
      <c r="H2690" t="s">
        <v>15</v>
      </c>
      <c r="I2690" s="1">
        <v>286774400</v>
      </c>
    </row>
    <row r="2691" spans="1:9" x14ac:dyDescent="0.25">
      <c r="A2691" t="str">
        <f>"56028"</f>
        <v>56028</v>
      </c>
      <c r="B2691" t="s">
        <v>11</v>
      </c>
      <c r="C2691" t="s">
        <v>1105</v>
      </c>
      <c r="D2691" t="s">
        <v>13</v>
      </c>
      <c r="E2691" t="s">
        <v>14</v>
      </c>
      <c r="F2691" t="s">
        <v>15</v>
      </c>
      <c r="G2691" t="s">
        <v>15</v>
      </c>
      <c r="H2691" t="s">
        <v>15</v>
      </c>
      <c r="I2691" s="1">
        <v>164489200</v>
      </c>
    </row>
    <row r="2692" spans="1:9" x14ac:dyDescent="0.25">
      <c r="A2692" t="str">
        <f>"56030"</f>
        <v>56030</v>
      </c>
      <c r="B2692" t="s">
        <v>11</v>
      </c>
      <c r="C2692" t="s">
        <v>1106</v>
      </c>
      <c r="D2692" t="s">
        <v>13</v>
      </c>
      <c r="E2692" t="s">
        <v>14</v>
      </c>
      <c r="F2692" t="s">
        <v>15</v>
      </c>
      <c r="G2692" t="s">
        <v>15</v>
      </c>
      <c r="H2692" t="s">
        <v>15</v>
      </c>
      <c r="I2692" s="1">
        <v>113949700</v>
      </c>
    </row>
    <row r="2693" spans="1:9" x14ac:dyDescent="0.25">
      <c r="A2693" t="str">
        <f>"56032"</f>
        <v>56032</v>
      </c>
      <c r="B2693" t="s">
        <v>11</v>
      </c>
      <c r="C2693" t="s">
        <v>1107</v>
      </c>
      <c r="D2693" t="s">
        <v>13</v>
      </c>
      <c r="E2693" t="s">
        <v>14</v>
      </c>
      <c r="F2693" t="s">
        <v>15</v>
      </c>
      <c r="G2693" t="s">
        <v>15</v>
      </c>
      <c r="H2693" t="s">
        <v>15</v>
      </c>
      <c r="I2693" s="1">
        <v>185982400</v>
      </c>
    </row>
    <row r="2694" spans="1:9" x14ac:dyDescent="0.25">
      <c r="A2694" t="str">
        <f>"56034"</f>
        <v>56034</v>
      </c>
      <c r="B2694" t="s">
        <v>11</v>
      </c>
      <c r="C2694" t="s">
        <v>1108</v>
      </c>
      <c r="D2694" t="s">
        <v>13</v>
      </c>
      <c r="E2694" t="s">
        <v>14</v>
      </c>
      <c r="F2694" t="s">
        <v>15</v>
      </c>
      <c r="G2694" t="s">
        <v>15</v>
      </c>
      <c r="H2694" t="s">
        <v>15</v>
      </c>
      <c r="I2694" s="1">
        <v>70129100</v>
      </c>
    </row>
    <row r="2695" spans="1:9" x14ac:dyDescent="0.25">
      <c r="A2695" t="str">
        <f>"56036"</f>
        <v>56036</v>
      </c>
      <c r="B2695" t="s">
        <v>11</v>
      </c>
      <c r="C2695" t="s">
        <v>1088</v>
      </c>
      <c r="D2695" t="s">
        <v>13</v>
      </c>
      <c r="E2695" t="s">
        <v>14</v>
      </c>
      <c r="F2695" t="s">
        <v>15</v>
      </c>
      <c r="G2695" t="s">
        <v>15</v>
      </c>
      <c r="H2695" t="s">
        <v>15</v>
      </c>
      <c r="I2695" s="1">
        <v>98793500</v>
      </c>
    </row>
    <row r="2696" spans="1:9" x14ac:dyDescent="0.25">
      <c r="A2696" t="str">
        <f>"56038"</f>
        <v>56038</v>
      </c>
      <c r="B2696" t="s">
        <v>11</v>
      </c>
      <c r="C2696" t="s">
        <v>393</v>
      </c>
      <c r="D2696" t="s">
        <v>13</v>
      </c>
      <c r="E2696" t="s">
        <v>14</v>
      </c>
      <c r="F2696" t="s">
        <v>15</v>
      </c>
      <c r="G2696" t="s">
        <v>15</v>
      </c>
      <c r="H2696" t="s">
        <v>15</v>
      </c>
      <c r="I2696" s="1">
        <v>67585700</v>
      </c>
    </row>
    <row r="2697" spans="1:9" x14ac:dyDescent="0.25">
      <c r="A2697" t="str">
        <f>"56040"</f>
        <v>56040</v>
      </c>
      <c r="B2697" t="s">
        <v>11</v>
      </c>
      <c r="C2697" t="s">
        <v>809</v>
      </c>
      <c r="D2697" t="s">
        <v>13</v>
      </c>
      <c r="E2697" t="s">
        <v>14</v>
      </c>
      <c r="F2697" t="s">
        <v>15</v>
      </c>
      <c r="G2697" t="s">
        <v>15</v>
      </c>
      <c r="H2697" t="s">
        <v>15</v>
      </c>
      <c r="I2697" s="1">
        <v>55432500</v>
      </c>
    </row>
    <row r="2698" spans="1:9" x14ac:dyDescent="0.25">
      <c r="A2698" t="str">
        <f>"56042"</f>
        <v>56042</v>
      </c>
      <c r="B2698" t="s">
        <v>11</v>
      </c>
      <c r="C2698" t="s">
        <v>1109</v>
      </c>
      <c r="D2698" t="s">
        <v>13</v>
      </c>
      <c r="E2698" t="s">
        <v>14</v>
      </c>
      <c r="F2698" t="s">
        <v>15</v>
      </c>
      <c r="G2698" t="s">
        <v>15</v>
      </c>
      <c r="H2698" t="s">
        <v>15</v>
      </c>
      <c r="I2698" s="1">
        <v>96713500</v>
      </c>
    </row>
    <row r="2699" spans="1:9" x14ac:dyDescent="0.25">
      <c r="A2699" t="str">
        <f>"56044"</f>
        <v>56044</v>
      </c>
      <c r="B2699" t="s">
        <v>11</v>
      </c>
      <c r="C2699" t="s">
        <v>1110</v>
      </c>
      <c r="D2699" t="s">
        <v>13</v>
      </c>
      <c r="E2699" t="s">
        <v>14</v>
      </c>
      <c r="F2699" t="s">
        <v>15</v>
      </c>
      <c r="G2699" t="s">
        <v>15</v>
      </c>
      <c r="H2699" t="s">
        <v>15</v>
      </c>
      <c r="I2699" s="1">
        <v>92828000</v>
      </c>
    </row>
    <row r="2700" spans="1:9" x14ac:dyDescent="0.25">
      <c r="A2700" t="s">
        <v>32</v>
      </c>
      <c r="B2700" t="s">
        <v>33</v>
      </c>
      <c r="C2700" t="s">
        <v>34</v>
      </c>
      <c r="D2700" t="s">
        <v>13</v>
      </c>
      <c r="E2700" t="s">
        <v>14</v>
      </c>
      <c r="F2700" t="s">
        <v>15</v>
      </c>
      <c r="G2700" t="s">
        <v>15</v>
      </c>
      <c r="H2700" t="s">
        <v>15</v>
      </c>
      <c r="I2700" s="1">
        <v>3120122300</v>
      </c>
    </row>
    <row r="2701" spans="1:9" x14ac:dyDescent="0.25">
      <c r="A2701" t="str">
        <f>"56111"</f>
        <v>56111</v>
      </c>
      <c r="B2701" t="s">
        <v>35</v>
      </c>
      <c r="C2701" t="s">
        <v>1034</v>
      </c>
      <c r="D2701" t="s">
        <v>13</v>
      </c>
      <c r="E2701" t="s">
        <v>14</v>
      </c>
      <c r="F2701" t="s">
        <v>15</v>
      </c>
      <c r="G2701" t="s">
        <v>15</v>
      </c>
      <c r="H2701" t="s">
        <v>15</v>
      </c>
      <c r="I2701" s="1">
        <v>708400</v>
      </c>
    </row>
    <row r="2702" spans="1:9" x14ac:dyDescent="0.25">
      <c r="A2702" t="str">
        <f>"56141"</f>
        <v>56141</v>
      </c>
      <c r="B2702" t="s">
        <v>35</v>
      </c>
      <c r="C2702" t="s">
        <v>1102</v>
      </c>
      <c r="D2702" t="s">
        <v>13</v>
      </c>
      <c r="E2702" t="s">
        <v>14</v>
      </c>
      <c r="F2702" t="s">
        <v>15</v>
      </c>
      <c r="G2702" t="s">
        <v>15</v>
      </c>
      <c r="H2702" t="s">
        <v>15</v>
      </c>
      <c r="I2702" s="1">
        <v>7919000</v>
      </c>
    </row>
    <row r="2703" spans="1:9" x14ac:dyDescent="0.25">
      <c r="A2703" t="str">
        <f>"56146"</f>
        <v>56146</v>
      </c>
      <c r="B2703" t="s">
        <v>35</v>
      </c>
      <c r="C2703" t="s">
        <v>1111</v>
      </c>
      <c r="D2703" t="str">
        <f>"002"</f>
        <v>002</v>
      </c>
      <c r="E2703">
        <v>2000</v>
      </c>
      <c r="F2703">
        <v>36368600</v>
      </c>
      <c r="G2703">
        <v>97752600</v>
      </c>
      <c r="H2703">
        <v>61384000</v>
      </c>
    </row>
    <row r="2704" spans="1:9" x14ac:dyDescent="0.25">
      <c r="A2704" t="str">
        <f>"56146"</f>
        <v>56146</v>
      </c>
      <c r="B2704" t="s">
        <v>35</v>
      </c>
      <c r="C2704" t="s">
        <v>1111</v>
      </c>
      <c r="D2704" t="str">
        <f>"003"</f>
        <v>003</v>
      </c>
      <c r="E2704">
        <v>2005</v>
      </c>
      <c r="F2704">
        <v>43963700</v>
      </c>
      <c r="G2704">
        <v>347044500</v>
      </c>
      <c r="H2704">
        <v>303080800</v>
      </c>
    </row>
    <row r="2705" spans="1:9" x14ac:dyDescent="0.25">
      <c r="A2705" t="str">
        <f>"56146"</f>
        <v>56146</v>
      </c>
      <c r="B2705" t="s">
        <v>35</v>
      </c>
      <c r="C2705" t="s">
        <v>1111</v>
      </c>
      <c r="D2705" t="str">
        <f>"004"</f>
        <v>004</v>
      </c>
      <c r="E2705">
        <v>2007</v>
      </c>
      <c r="F2705">
        <v>31741000</v>
      </c>
      <c r="G2705">
        <v>57393100</v>
      </c>
      <c r="H2705">
        <v>25652100</v>
      </c>
    </row>
    <row r="2706" spans="1:9" x14ac:dyDescent="0.25">
      <c r="A2706" t="str">
        <f>"56146"</f>
        <v>56146</v>
      </c>
      <c r="B2706" t="s">
        <v>35</v>
      </c>
      <c r="C2706" t="s">
        <v>1111</v>
      </c>
      <c r="D2706" t="s">
        <v>13</v>
      </c>
      <c r="E2706" t="s">
        <v>14</v>
      </c>
      <c r="F2706" t="s">
        <v>15</v>
      </c>
      <c r="G2706" t="s">
        <v>15</v>
      </c>
      <c r="H2706" t="s">
        <v>15</v>
      </c>
      <c r="I2706" s="1">
        <v>1193455200</v>
      </c>
    </row>
    <row r="2707" spans="1:9" x14ac:dyDescent="0.25">
      <c r="A2707" t="str">
        <f>"56147"</f>
        <v>56147</v>
      </c>
      <c r="B2707" t="s">
        <v>35</v>
      </c>
      <c r="C2707" t="s">
        <v>1103</v>
      </c>
      <c r="D2707" t="s">
        <v>13</v>
      </c>
      <c r="E2707" t="s">
        <v>14</v>
      </c>
      <c r="F2707" t="s">
        <v>15</v>
      </c>
      <c r="G2707" t="s">
        <v>15</v>
      </c>
      <c r="H2707" t="s">
        <v>15</v>
      </c>
      <c r="I2707" s="1">
        <v>15972900</v>
      </c>
    </row>
    <row r="2708" spans="1:9" x14ac:dyDescent="0.25">
      <c r="A2708" t="str">
        <f>"56148"</f>
        <v>56148</v>
      </c>
      <c r="B2708" t="s">
        <v>35</v>
      </c>
      <c r="C2708" t="s">
        <v>1112</v>
      </c>
      <c r="D2708" t="s">
        <v>13</v>
      </c>
      <c r="E2708" t="s">
        <v>14</v>
      </c>
      <c r="F2708" t="s">
        <v>15</v>
      </c>
      <c r="G2708" t="s">
        <v>15</v>
      </c>
      <c r="H2708" t="s">
        <v>15</v>
      </c>
      <c r="I2708" s="1">
        <v>9903500</v>
      </c>
    </row>
    <row r="2709" spans="1:9" x14ac:dyDescent="0.25">
      <c r="A2709" t="str">
        <f>"56149"</f>
        <v>56149</v>
      </c>
      <c r="B2709" t="s">
        <v>35</v>
      </c>
      <c r="C2709" t="s">
        <v>1113</v>
      </c>
      <c r="D2709" t="str">
        <f>"002"</f>
        <v>002</v>
      </c>
      <c r="E2709">
        <v>2018</v>
      </c>
      <c r="F2709">
        <v>1739100</v>
      </c>
      <c r="G2709">
        <v>1814000</v>
      </c>
      <c r="H2709">
        <v>74900</v>
      </c>
    </row>
    <row r="2710" spans="1:9" x14ac:dyDescent="0.25">
      <c r="A2710" t="str">
        <f>"56149"</f>
        <v>56149</v>
      </c>
      <c r="B2710" t="s">
        <v>35</v>
      </c>
      <c r="C2710" t="s">
        <v>1113</v>
      </c>
      <c r="D2710" t="s">
        <v>13</v>
      </c>
      <c r="E2710" t="s">
        <v>14</v>
      </c>
      <c r="F2710" t="s">
        <v>15</v>
      </c>
      <c r="G2710" t="s">
        <v>15</v>
      </c>
      <c r="H2710" t="s">
        <v>15</v>
      </c>
      <c r="I2710" s="1">
        <v>15247100</v>
      </c>
    </row>
    <row r="2711" spans="1:9" x14ac:dyDescent="0.25">
      <c r="A2711" t="str">
        <f>"56151"</f>
        <v>56151</v>
      </c>
      <c r="B2711" t="s">
        <v>35</v>
      </c>
      <c r="C2711" t="s">
        <v>1104</v>
      </c>
      <c r="D2711" t="s">
        <v>13</v>
      </c>
      <c r="E2711" t="s">
        <v>14</v>
      </c>
      <c r="F2711" t="s">
        <v>15</v>
      </c>
      <c r="G2711" t="s">
        <v>15</v>
      </c>
      <c r="H2711" t="s">
        <v>15</v>
      </c>
      <c r="I2711" s="1">
        <v>79038600</v>
      </c>
    </row>
    <row r="2712" spans="1:9" x14ac:dyDescent="0.25">
      <c r="A2712" t="str">
        <f>"56161"</f>
        <v>56161</v>
      </c>
      <c r="B2712" t="s">
        <v>35</v>
      </c>
      <c r="C2712" t="s">
        <v>1114</v>
      </c>
      <c r="D2712" t="str">
        <f>"001"</f>
        <v>001</v>
      </c>
      <c r="E2712">
        <v>1997</v>
      </c>
      <c r="F2712">
        <v>3027800</v>
      </c>
      <c r="G2712">
        <v>5366500</v>
      </c>
      <c r="H2712">
        <v>2338700</v>
      </c>
    </row>
    <row r="2713" spans="1:9" x14ac:dyDescent="0.25">
      <c r="A2713" t="str">
        <f>"56161"</f>
        <v>56161</v>
      </c>
      <c r="B2713" t="s">
        <v>35</v>
      </c>
      <c r="C2713" t="s">
        <v>1114</v>
      </c>
      <c r="D2713" t="s">
        <v>13</v>
      </c>
      <c r="E2713" t="s">
        <v>14</v>
      </c>
      <c r="F2713" t="s">
        <v>15</v>
      </c>
      <c r="G2713" t="s">
        <v>15</v>
      </c>
      <c r="H2713" t="s">
        <v>15</v>
      </c>
      <c r="I2713" s="1">
        <v>23646600</v>
      </c>
    </row>
    <row r="2714" spans="1:9" x14ac:dyDescent="0.25">
      <c r="A2714" t="str">
        <f>"56171"</f>
        <v>56171</v>
      </c>
      <c r="B2714" t="s">
        <v>35</v>
      </c>
      <c r="C2714" t="s">
        <v>1115</v>
      </c>
      <c r="D2714" t="str">
        <f>"002"</f>
        <v>002</v>
      </c>
      <c r="E2714">
        <v>2006</v>
      </c>
      <c r="F2714">
        <v>169500</v>
      </c>
      <c r="G2714">
        <v>3628500</v>
      </c>
      <c r="H2714">
        <v>3459000</v>
      </c>
    </row>
    <row r="2715" spans="1:9" x14ac:dyDescent="0.25">
      <c r="A2715" t="str">
        <f>"56171"</f>
        <v>56171</v>
      </c>
      <c r="B2715" t="s">
        <v>35</v>
      </c>
      <c r="C2715" t="s">
        <v>1115</v>
      </c>
      <c r="D2715" t="s">
        <v>13</v>
      </c>
      <c r="E2715" t="s">
        <v>14</v>
      </c>
      <c r="F2715" t="s">
        <v>15</v>
      </c>
      <c r="G2715" t="s">
        <v>15</v>
      </c>
      <c r="H2715" t="s">
        <v>15</v>
      </c>
      <c r="I2715" s="1">
        <v>67830700</v>
      </c>
    </row>
    <row r="2716" spans="1:9" x14ac:dyDescent="0.25">
      <c r="A2716" t="str">
        <f>"56172"</f>
        <v>56172</v>
      </c>
      <c r="B2716" t="s">
        <v>35</v>
      </c>
      <c r="C2716" t="s">
        <v>1105</v>
      </c>
      <c r="D2716" t="str">
        <f>"004"</f>
        <v>004</v>
      </c>
      <c r="E2716">
        <v>2008</v>
      </c>
      <c r="F2716">
        <v>483300</v>
      </c>
      <c r="G2716">
        <v>15907000</v>
      </c>
      <c r="H2716">
        <v>15423700</v>
      </c>
    </row>
    <row r="2717" spans="1:9" x14ac:dyDescent="0.25">
      <c r="A2717" t="str">
        <f>"56172"</f>
        <v>56172</v>
      </c>
      <c r="B2717" t="s">
        <v>35</v>
      </c>
      <c r="C2717" t="s">
        <v>1105</v>
      </c>
      <c r="D2717" t="str">
        <f>"005"</f>
        <v>005</v>
      </c>
      <c r="E2717">
        <v>2018</v>
      </c>
      <c r="F2717">
        <v>142200</v>
      </c>
      <c r="G2717">
        <v>794100</v>
      </c>
      <c r="H2717">
        <v>651900</v>
      </c>
    </row>
    <row r="2718" spans="1:9" x14ac:dyDescent="0.25">
      <c r="A2718" t="str">
        <f>"56172"</f>
        <v>56172</v>
      </c>
      <c r="B2718" t="s">
        <v>35</v>
      </c>
      <c r="C2718" t="s">
        <v>1105</v>
      </c>
      <c r="D2718" t="str">
        <f>"006"</f>
        <v>006</v>
      </c>
      <c r="E2718">
        <v>2018</v>
      </c>
      <c r="F2718">
        <v>10871000</v>
      </c>
      <c r="G2718">
        <v>10297100</v>
      </c>
      <c r="H2718">
        <v>0</v>
      </c>
    </row>
    <row r="2719" spans="1:9" x14ac:dyDescent="0.25">
      <c r="A2719" t="str">
        <f>"56172"</f>
        <v>56172</v>
      </c>
      <c r="B2719" t="s">
        <v>35</v>
      </c>
      <c r="C2719" t="s">
        <v>1105</v>
      </c>
      <c r="D2719" t="s">
        <v>13</v>
      </c>
      <c r="E2719" t="s">
        <v>14</v>
      </c>
      <c r="F2719" t="s">
        <v>15</v>
      </c>
      <c r="G2719" t="s">
        <v>15</v>
      </c>
      <c r="H2719" t="s">
        <v>15</v>
      </c>
      <c r="I2719" s="1">
        <v>433781600</v>
      </c>
    </row>
    <row r="2720" spans="1:9" x14ac:dyDescent="0.25">
      <c r="A2720" t="str">
        <f>"56176"</f>
        <v>56176</v>
      </c>
      <c r="B2720" t="s">
        <v>35</v>
      </c>
      <c r="C2720" t="s">
        <v>1116</v>
      </c>
      <c r="D2720" t="s">
        <v>13</v>
      </c>
      <c r="E2720" t="s">
        <v>14</v>
      </c>
      <c r="F2720" t="s">
        <v>15</v>
      </c>
      <c r="G2720" t="s">
        <v>15</v>
      </c>
      <c r="H2720" t="s">
        <v>15</v>
      </c>
      <c r="I2720" s="1">
        <v>23289600</v>
      </c>
    </row>
    <row r="2721" spans="1:9" x14ac:dyDescent="0.25">
      <c r="A2721" t="str">
        <f>"56181"</f>
        <v>56181</v>
      </c>
      <c r="B2721" t="s">
        <v>35</v>
      </c>
      <c r="C2721" t="s">
        <v>1117</v>
      </c>
      <c r="D2721" t="str">
        <f>"006"</f>
        <v>006</v>
      </c>
      <c r="E2721">
        <v>2002</v>
      </c>
      <c r="F2721">
        <v>1206300</v>
      </c>
      <c r="G2721">
        <v>7390700</v>
      </c>
      <c r="H2721">
        <v>6184400</v>
      </c>
    </row>
    <row r="2722" spans="1:9" x14ac:dyDescent="0.25">
      <c r="A2722" t="str">
        <f>"56181"</f>
        <v>56181</v>
      </c>
      <c r="B2722" t="s">
        <v>35</v>
      </c>
      <c r="C2722" t="s">
        <v>1117</v>
      </c>
      <c r="D2722" t="str">
        <f>"007"</f>
        <v>007</v>
      </c>
      <c r="E2722">
        <v>2005</v>
      </c>
      <c r="F2722">
        <v>706200</v>
      </c>
      <c r="G2722">
        <v>3592300</v>
      </c>
      <c r="H2722">
        <v>2886100</v>
      </c>
    </row>
    <row r="2723" spans="1:9" x14ac:dyDescent="0.25">
      <c r="A2723" t="str">
        <f>"56181"</f>
        <v>56181</v>
      </c>
      <c r="B2723" t="s">
        <v>35</v>
      </c>
      <c r="C2723" t="s">
        <v>1117</v>
      </c>
      <c r="D2723" t="str">
        <f>"008"</f>
        <v>008</v>
      </c>
      <c r="E2723">
        <v>2005</v>
      </c>
      <c r="F2723">
        <v>14893500</v>
      </c>
      <c r="G2723">
        <v>25629600</v>
      </c>
      <c r="H2723">
        <v>10736100</v>
      </c>
    </row>
    <row r="2724" spans="1:9" x14ac:dyDescent="0.25">
      <c r="A2724" t="str">
        <f>"56181"</f>
        <v>56181</v>
      </c>
      <c r="B2724" t="s">
        <v>35</v>
      </c>
      <c r="C2724" t="s">
        <v>1117</v>
      </c>
      <c r="D2724" t="str">
        <f>"009"</f>
        <v>009</v>
      </c>
      <c r="E2724">
        <v>2015</v>
      </c>
      <c r="F2724">
        <v>3331900</v>
      </c>
      <c r="G2724">
        <v>2768500</v>
      </c>
      <c r="H2724">
        <v>0</v>
      </c>
    </row>
    <row r="2725" spans="1:9" x14ac:dyDescent="0.25">
      <c r="A2725" t="str">
        <f>"56181"</f>
        <v>56181</v>
      </c>
      <c r="B2725" t="s">
        <v>35</v>
      </c>
      <c r="C2725" t="s">
        <v>1117</v>
      </c>
      <c r="D2725" t="s">
        <v>13</v>
      </c>
      <c r="E2725" t="s">
        <v>14</v>
      </c>
      <c r="F2725" t="s">
        <v>15</v>
      </c>
      <c r="G2725" t="s">
        <v>15</v>
      </c>
      <c r="H2725" t="s">
        <v>15</v>
      </c>
      <c r="I2725" s="1">
        <v>355235100</v>
      </c>
    </row>
    <row r="2726" spans="1:9" x14ac:dyDescent="0.25">
      <c r="A2726" t="str">
        <f>"56182"</f>
        <v>56182</v>
      </c>
      <c r="B2726" t="s">
        <v>35</v>
      </c>
      <c r="C2726" t="s">
        <v>1107</v>
      </c>
      <c r="D2726" t="str">
        <f>"006"</f>
        <v>006</v>
      </c>
      <c r="E2726">
        <v>2017</v>
      </c>
      <c r="F2726">
        <v>18338500</v>
      </c>
      <c r="G2726">
        <v>21961200</v>
      </c>
      <c r="H2726">
        <v>3622700</v>
      </c>
    </row>
    <row r="2727" spans="1:9" x14ac:dyDescent="0.25">
      <c r="A2727" t="str">
        <f>"56182"</f>
        <v>56182</v>
      </c>
      <c r="B2727" t="s">
        <v>35</v>
      </c>
      <c r="C2727" t="s">
        <v>1107</v>
      </c>
      <c r="D2727" t="s">
        <v>13</v>
      </c>
      <c r="E2727" t="s">
        <v>14</v>
      </c>
      <c r="F2727" t="s">
        <v>15</v>
      </c>
      <c r="G2727" t="s">
        <v>15</v>
      </c>
      <c r="H2727" t="s">
        <v>15</v>
      </c>
      <c r="I2727" s="1">
        <v>170308600</v>
      </c>
    </row>
    <row r="2728" spans="1:9" x14ac:dyDescent="0.25">
      <c r="A2728" t="str">
        <f>"56191"</f>
        <v>56191</v>
      </c>
      <c r="B2728" t="s">
        <v>35</v>
      </c>
      <c r="C2728" t="s">
        <v>1118</v>
      </c>
      <c r="D2728" t="str">
        <f>"002"</f>
        <v>002</v>
      </c>
      <c r="E2728">
        <v>1997</v>
      </c>
      <c r="F2728">
        <v>15081600</v>
      </c>
      <c r="G2728">
        <v>36126400</v>
      </c>
      <c r="H2728">
        <v>21044800</v>
      </c>
    </row>
    <row r="2729" spans="1:9" x14ac:dyDescent="0.25">
      <c r="A2729" t="str">
        <f>"56191"</f>
        <v>56191</v>
      </c>
      <c r="B2729" t="s">
        <v>35</v>
      </c>
      <c r="C2729" t="s">
        <v>1118</v>
      </c>
      <c r="D2729" t="str">
        <f>"003"</f>
        <v>003</v>
      </c>
      <c r="E2729">
        <v>2018</v>
      </c>
      <c r="F2729">
        <v>10611600</v>
      </c>
      <c r="G2729">
        <v>20772000</v>
      </c>
      <c r="H2729">
        <v>10160400</v>
      </c>
    </row>
    <row r="2730" spans="1:9" x14ac:dyDescent="0.25">
      <c r="A2730" t="str">
        <f>"56191"</f>
        <v>56191</v>
      </c>
      <c r="B2730" t="s">
        <v>35</v>
      </c>
      <c r="C2730" t="s">
        <v>1118</v>
      </c>
      <c r="D2730" t="s">
        <v>13</v>
      </c>
      <c r="E2730" t="s">
        <v>14</v>
      </c>
      <c r="F2730" t="s">
        <v>15</v>
      </c>
      <c r="G2730" t="s">
        <v>15</v>
      </c>
      <c r="H2730" t="s">
        <v>15</v>
      </c>
      <c r="I2730" s="1">
        <v>96807000</v>
      </c>
    </row>
    <row r="2731" spans="1:9" x14ac:dyDescent="0.25">
      <c r="A2731" t="s">
        <v>32</v>
      </c>
      <c r="B2731" t="s">
        <v>37</v>
      </c>
      <c r="C2731" t="s">
        <v>34</v>
      </c>
      <c r="D2731" t="s">
        <v>13</v>
      </c>
      <c r="E2731" t="s">
        <v>14</v>
      </c>
      <c r="F2731" t="s">
        <v>15</v>
      </c>
      <c r="G2731" t="s">
        <v>15</v>
      </c>
      <c r="H2731" t="s">
        <v>15</v>
      </c>
      <c r="I2731" s="1">
        <v>2493143900</v>
      </c>
    </row>
    <row r="2732" spans="1:9" x14ac:dyDescent="0.25">
      <c r="A2732" t="str">
        <f>"56206"</f>
        <v>56206</v>
      </c>
      <c r="B2732" t="s">
        <v>38</v>
      </c>
      <c r="C2732" t="s">
        <v>1096</v>
      </c>
      <c r="D2732" t="str">
        <f>"006"</f>
        <v>006</v>
      </c>
      <c r="E2732">
        <v>1999</v>
      </c>
      <c r="F2732">
        <v>8158000</v>
      </c>
      <c r="G2732">
        <v>37854800</v>
      </c>
      <c r="H2732">
        <v>29696800</v>
      </c>
    </row>
    <row r="2733" spans="1:9" x14ac:dyDescent="0.25">
      <c r="A2733" t="str">
        <f>"56206"</f>
        <v>56206</v>
      </c>
      <c r="B2733" t="s">
        <v>38</v>
      </c>
      <c r="C2733" t="s">
        <v>1096</v>
      </c>
      <c r="D2733" t="str">
        <f>"007"</f>
        <v>007</v>
      </c>
      <c r="E2733">
        <v>2006</v>
      </c>
      <c r="F2733">
        <v>248300</v>
      </c>
      <c r="G2733">
        <v>9005100</v>
      </c>
      <c r="H2733">
        <v>8756800</v>
      </c>
    </row>
    <row r="2734" spans="1:9" x14ac:dyDescent="0.25">
      <c r="A2734" t="str">
        <f>"56206"</f>
        <v>56206</v>
      </c>
      <c r="B2734" t="s">
        <v>38</v>
      </c>
      <c r="C2734" t="s">
        <v>1096</v>
      </c>
      <c r="D2734" t="str">
        <f>"008"</f>
        <v>008</v>
      </c>
      <c r="E2734">
        <v>2006</v>
      </c>
      <c r="F2734">
        <v>17516600</v>
      </c>
      <c r="G2734">
        <v>19273700</v>
      </c>
      <c r="H2734">
        <v>1757100</v>
      </c>
    </row>
    <row r="2735" spans="1:9" x14ac:dyDescent="0.25">
      <c r="A2735" t="str">
        <f>"56206"</f>
        <v>56206</v>
      </c>
      <c r="B2735" t="s">
        <v>38</v>
      </c>
      <c r="C2735" t="s">
        <v>1096</v>
      </c>
      <c r="D2735" t="str">
        <f>"009"</f>
        <v>009</v>
      </c>
      <c r="E2735">
        <v>2008</v>
      </c>
      <c r="F2735">
        <v>344100</v>
      </c>
      <c r="G2735">
        <v>0</v>
      </c>
      <c r="H2735">
        <v>0</v>
      </c>
    </row>
    <row r="2736" spans="1:9" x14ac:dyDescent="0.25">
      <c r="A2736" t="str">
        <f>"56206"</f>
        <v>56206</v>
      </c>
      <c r="B2736" t="s">
        <v>38</v>
      </c>
      <c r="C2736" t="s">
        <v>1096</v>
      </c>
      <c r="D2736" t="s">
        <v>13</v>
      </c>
      <c r="E2736" t="s">
        <v>14</v>
      </c>
      <c r="F2736" t="s">
        <v>15</v>
      </c>
      <c r="G2736" t="s">
        <v>15</v>
      </c>
      <c r="H2736" t="s">
        <v>15</v>
      </c>
      <c r="I2736" s="1">
        <v>825313400</v>
      </c>
    </row>
    <row r="2737" spans="1:9" x14ac:dyDescent="0.25">
      <c r="A2737" t="str">
        <f t="shared" ref="A2737:A2744" si="63">"56276"</f>
        <v>56276</v>
      </c>
      <c r="B2737" t="s">
        <v>38</v>
      </c>
      <c r="C2737" t="s">
        <v>1106</v>
      </c>
      <c r="D2737" t="str">
        <f>"003"</f>
        <v>003</v>
      </c>
      <c r="E2737">
        <v>1998</v>
      </c>
      <c r="F2737">
        <v>1249400</v>
      </c>
      <c r="G2737">
        <v>4462500</v>
      </c>
      <c r="H2737">
        <v>3213100</v>
      </c>
    </row>
    <row r="2738" spans="1:9" x14ac:dyDescent="0.25">
      <c r="A2738" t="str">
        <f t="shared" si="63"/>
        <v>56276</v>
      </c>
      <c r="B2738" t="s">
        <v>38</v>
      </c>
      <c r="C2738" t="s">
        <v>1106</v>
      </c>
      <c r="D2738" t="str">
        <f>"004"</f>
        <v>004</v>
      </c>
      <c r="E2738">
        <v>1998</v>
      </c>
      <c r="F2738">
        <v>4085900</v>
      </c>
      <c r="G2738">
        <v>18703100</v>
      </c>
      <c r="H2738">
        <v>14617200</v>
      </c>
    </row>
    <row r="2739" spans="1:9" x14ac:dyDescent="0.25">
      <c r="A2739" t="str">
        <f t="shared" si="63"/>
        <v>56276</v>
      </c>
      <c r="B2739" t="s">
        <v>38</v>
      </c>
      <c r="C2739" t="s">
        <v>1106</v>
      </c>
      <c r="D2739" t="str">
        <f>"005"</f>
        <v>005</v>
      </c>
      <c r="E2739">
        <v>2000</v>
      </c>
      <c r="F2739">
        <v>1309000</v>
      </c>
      <c r="G2739">
        <v>4605900</v>
      </c>
      <c r="H2739">
        <v>3296900</v>
      </c>
    </row>
    <row r="2740" spans="1:9" x14ac:dyDescent="0.25">
      <c r="A2740" t="str">
        <f t="shared" si="63"/>
        <v>56276</v>
      </c>
      <c r="B2740" t="s">
        <v>38</v>
      </c>
      <c r="C2740" t="s">
        <v>1106</v>
      </c>
      <c r="D2740" t="str">
        <f>"006"</f>
        <v>006</v>
      </c>
      <c r="E2740">
        <v>2000</v>
      </c>
      <c r="F2740">
        <v>10195300</v>
      </c>
      <c r="G2740">
        <v>12380300</v>
      </c>
      <c r="H2740">
        <v>2185000</v>
      </c>
    </row>
    <row r="2741" spans="1:9" x14ac:dyDescent="0.25">
      <c r="A2741" t="str">
        <f t="shared" si="63"/>
        <v>56276</v>
      </c>
      <c r="B2741" t="s">
        <v>38</v>
      </c>
      <c r="C2741" t="s">
        <v>1106</v>
      </c>
      <c r="D2741" t="str">
        <f>"007"</f>
        <v>007</v>
      </c>
      <c r="E2741">
        <v>2001</v>
      </c>
      <c r="F2741">
        <v>147600</v>
      </c>
      <c r="G2741">
        <v>934800</v>
      </c>
      <c r="H2741">
        <v>787200</v>
      </c>
    </row>
    <row r="2742" spans="1:9" x14ac:dyDescent="0.25">
      <c r="A2742" t="str">
        <f t="shared" si="63"/>
        <v>56276</v>
      </c>
      <c r="B2742" t="s">
        <v>38</v>
      </c>
      <c r="C2742" t="s">
        <v>1106</v>
      </c>
      <c r="D2742" t="str">
        <f>"008"</f>
        <v>008</v>
      </c>
      <c r="E2742">
        <v>2008</v>
      </c>
      <c r="F2742">
        <v>1619700</v>
      </c>
      <c r="G2742">
        <v>4715900</v>
      </c>
      <c r="H2742">
        <v>3096200</v>
      </c>
    </row>
    <row r="2743" spans="1:9" x14ac:dyDescent="0.25">
      <c r="A2743" t="str">
        <f t="shared" si="63"/>
        <v>56276</v>
      </c>
      <c r="B2743" t="s">
        <v>38</v>
      </c>
      <c r="C2743" t="s">
        <v>1106</v>
      </c>
      <c r="D2743" t="str">
        <f>"009"</f>
        <v>009</v>
      </c>
      <c r="E2743">
        <v>2016</v>
      </c>
      <c r="F2743">
        <v>32281100</v>
      </c>
      <c r="G2743">
        <v>49168700</v>
      </c>
      <c r="H2743">
        <v>16887600</v>
      </c>
    </row>
    <row r="2744" spans="1:9" x14ac:dyDescent="0.25">
      <c r="A2744" t="str">
        <f t="shared" si="63"/>
        <v>56276</v>
      </c>
      <c r="B2744" t="s">
        <v>38</v>
      </c>
      <c r="C2744" t="s">
        <v>1106</v>
      </c>
      <c r="D2744" t="s">
        <v>13</v>
      </c>
      <c r="E2744" t="s">
        <v>14</v>
      </c>
      <c r="F2744" t="s">
        <v>15</v>
      </c>
      <c r="G2744" t="s">
        <v>15</v>
      </c>
      <c r="H2744" t="s">
        <v>15</v>
      </c>
      <c r="I2744" s="1">
        <v>618362500</v>
      </c>
    </row>
    <row r="2745" spans="1:9" x14ac:dyDescent="0.25">
      <c r="A2745" t="str">
        <f>"56291"</f>
        <v>56291</v>
      </c>
      <c r="B2745" t="s">
        <v>38</v>
      </c>
      <c r="C2745" t="s">
        <v>39</v>
      </c>
      <c r="D2745" t="str">
        <f>"002"</f>
        <v>002</v>
      </c>
      <c r="E2745">
        <v>2001</v>
      </c>
      <c r="F2745">
        <v>15582600</v>
      </c>
      <c r="G2745">
        <v>35020600</v>
      </c>
      <c r="H2745">
        <v>19438000</v>
      </c>
    </row>
    <row r="2746" spans="1:9" x14ac:dyDescent="0.25">
      <c r="A2746" t="str">
        <f>"56291"</f>
        <v>56291</v>
      </c>
      <c r="B2746" t="s">
        <v>38</v>
      </c>
      <c r="C2746" t="s">
        <v>39</v>
      </c>
      <c r="D2746" t="str">
        <f>"003"</f>
        <v>003</v>
      </c>
      <c r="E2746">
        <v>2006</v>
      </c>
      <c r="F2746">
        <v>1965200</v>
      </c>
      <c r="G2746">
        <v>3625700</v>
      </c>
      <c r="H2746">
        <v>1660500</v>
      </c>
    </row>
    <row r="2747" spans="1:9" x14ac:dyDescent="0.25">
      <c r="A2747" t="str">
        <f>"56291"</f>
        <v>56291</v>
      </c>
      <c r="B2747" t="s">
        <v>38</v>
      </c>
      <c r="C2747" t="s">
        <v>39</v>
      </c>
      <c r="D2747" t="str">
        <f>"004"</f>
        <v>004</v>
      </c>
      <c r="E2747">
        <v>2006</v>
      </c>
      <c r="F2747">
        <v>1464100</v>
      </c>
      <c r="G2747">
        <v>3668400</v>
      </c>
      <c r="H2747">
        <v>2204300</v>
      </c>
    </row>
    <row r="2748" spans="1:9" x14ac:dyDescent="0.25">
      <c r="A2748" t="str">
        <f>"56291"</f>
        <v>56291</v>
      </c>
      <c r="B2748" t="s">
        <v>38</v>
      </c>
      <c r="C2748" t="s">
        <v>39</v>
      </c>
      <c r="D2748" t="s">
        <v>13</v>
      </c>
      <c r="E2748" t="s">
        <v>14</v>
      </c>
      <c r="F2748" t="s">
        <v>15</v>
      </c>
      <c r="G2748" t="s">
        <v>15</v>
      </c>
      <c r="H2748" t="s">
        <v>15</v>
      </c>
      <c r="I2748" s="1">
        <v>84711800</v>
      </c>
    </row>
    <row r="2749" spans="1:9" x14ac:dyDescent="0.25">
      <c r="A2749" t="s">
        <v>32</v>
      </c>
      <c r="B2749" t="s">
        <v>40</v>
      </c>
      <c r="C2749" t="s">
        <v>34</v>
      </c>
      <c r="D2749" t="s">
        <v>13</v>
      </c>
      <c r="E2749" t="s">
        <v>14</v>
      </c>
      <c r="F2749" t="s">
        <v>15</v>
      </c>
      <c r="G2749" t="s">
        <v>15</v>
      </c>
      <c r="H2749" t="s">
        <v>15</v>
      </c>
      <c r="I2749" s="1">
        <v>1528387700</v>
      </c>
    </row>
    <row r="2750" spans="1:9" x14ac:dyDescent="0.25">
      <c r="A2750" t="s">
        <v>32</v>
      </c>
      <c r="B2750" t="s">
        <v>41</v>
      </c>
      <c r="C2750" t="s">
        <v>1119</v>
      </c>
      <c r="D2750" t="s">
        <v>13</v>
      </c>
      <c r="E2750" t="s">
        <v>14</v>
      </c>
      <c r="F2750" t="s">
        <v>15</v>
      </c>
      <c r="G2750" t="s">
        <v>15</v>
      </c>
      <c r="H2750" t="s">
        <v>15</v>
      </c>
      <c r="I2750" s="1">
        <v>7141653900</v>
      </c>
    </row>
    <row r="2751" spans="1:9" x14ac:dyDescent="0.25">
      <c r="A2751" t="str">
        <f>"57002"</f>
        <v>57002</v>
      </c>
      <c r="B2751" t="s">
        <v>11</v>
      </c>
      <c r="C2751" t="s">
        <v>1120</v>
      </c>
      <c r="D2751" t="s">
        <v>13</v>
      </c>
      <c r="E2751" t="s">
        <v>14</v>
      </c>
      <c r="F2751" t="s">
        <v>15</v>
      </c>
      <c r="G2751" t="s">
        <v>15</v>
      </c>
      <c r="H2751" t="s">
        <v>15</v>
      </c>
      <c r="I2751" s="1">
        <v>535777000</v>
      </c>
    </row>
    <row r="2752" spans="1:9" x14ac:dyDescent="0.25">
      <c r="A2752" t="str">
        <f>"57004"</f>
        <v>57004</v>
      </c>
      <c r="B2752" t="s">
        <v>11</v>
      </c>
      <c r="C2752" t="s">
        <v>1121</v>
      </c>
      <c r="D2752" t="s">
        <v>13</v>
      </c>
      <c r="E2752" t="s">
        <v>14</v>
      </c>
      <c r="F2752" t="s">
        <v>15</v>
      </c>
      <c r="G2752" t="s">
        <v>15</v>
      </c>
      <c r="H2752" t="s">
        <v>15</v>
      </c>
      <c r="I2752" s="1">
        <v>30888600</v>
      </c>
    </row>
    <row r="2753" spans="1:9" x14ac:dyDescent="0.25">
      <c r="A2753" t="str">
        <f>"57006"</f>
        <v>57006</v>
      </c>
      <c r="B2753" t="s">
        <v>11</v>
      </c>
      <c r="C2753" t="s">
        <v>1122</v>
      </c>
      <c r="D2753" t="s">
        <v>13</v>
      </c>
      <c r="E2753" t="s">
        <v>14</v>
      </c>
      <c r="F2753" t="s">
        <v>15</v>
      </c>
      <c r="G2753" t="s">
        <v>15</v>
      </c>
      <c r="H2753" t="s">
        <v>15</v>
      </c>
      <c r="I2753" s="1">
        <v>50255800</v>
      </c>
    </row>
    <row r="2754" spans="1:9" x14ac:dyDescent="0.25">
      <c r="A2754" t="str">
        <f>"57008"</f>
        <v>57008</v>
      </c>
      <c r="B2754" t="s">
        <v>11</v>
      </c>
      <c r="C2754" t="s">
        <v>1123</v>
      </c>
      <c r="D2754" t="s">
        <v>13</v>
      </c>
      <c r="E2754" t="s">
        <v>14</v>
      </c>
      <c r="F2754" t="s">
        <v>15</v>
      </c>
      <c r="G2754" t="s">
        <v>15</v>
      </c>
      <c r="H2754" t="s">
        <v>15</v>
      </c>
      <c r="I2754" s="1">
        <v>181616400</v>
      </c>
    </row>
    <row r="2755" spans="1:9" x14ac:dyDescent="0.25">
      <c r="A2755" t="str">
        <f>"57010"</f>
        <v>57010</v>
      </c>
      <c r="B2755" t="s">
        <v>11</v>
      </c>
      <c r="C2755" t="s">
        <v>1124</v>
      </c>
      <c r="D2755" t="s">
        <v>13</v>
      </c>
      <c r="E2755" t="s">
        <v>14</v>
      </c>
      <c r="F2755" t="s">
        <v>15</v>
      </c>
      <c r="G2755" t="s">
        <v>15</v>
      </c>
      <c r="H2755" t="s">
        <v>15</v>
      </c>
      <c r="I2755" s="1">
        <v>605009400</v>
      </c>
    </row>
    <row r="2756" spans="1:9" x14ac:dyDescent="0.25">
      <c r="A2756" t="str">
        <f>"57012"</f>
        <v>57012</v>
      </c>
      <c r="B2756" t="s">
        <v>11</v>
      </c>
      <c r="C2756" t="s">
        <v>1125</v>
      </c>
      <c r="D2756" t="s">
        <v>13</v>
      </c>
      <c r="E2756" t="s">
        <v>14</v>
      </c>
      <c r="F2756" t="s">
        <v>15</v>
      </c>
      <c r="G2756" t="s">
        <v>15</v>
      </c>
      <c r="H2756" t="s">
        <v>15</v>
      </c>
      <c r="I2756" s="1">
        <v>215257600</v>
      </c>
    </row>
    <row r="2757" spans="1:9" x14ac:dyDescent="0.25">
      <c r="A2757" t="str">
        <f>"57014"</f>
        <v>57014</v>
      </c>
      <c r="B2757" t="s">
        <v>11</v>
      </c>
      <c r="C2757" t="s">
        <v>1126</v>
      </c>
      <c r="D2757" t="s">
        <v>13</v>
      </c>
      <c r="E2757" t="s">
        <v>14</v>
      </c>
      <c r="F2757" t="s">
        <v>15</v>
      </c>
      <c r="G2757" t="s">
        <v>15</v>
      </c>
      <c r="H2757" t="s">
        <v>15</v>
      </c>
      <c r="I2757" s="1">
        <v>276337700</v>
      </c>
    </row>
    <row r="2758" spans="1:9" x14ac:dyDescent="0.25">
      <c r="A2758" t="str">
        <f>"57016"</f>
        <v>57016</v>
      </c>
      <c r="B2758" t="s">
        <v>11</v>
      </c>
      <c r="C2758" t="s">
        <v>1127</v>
      </c>
      <c r="D2758" t="s">
        <v>13</v>
      </c>
      <c r="E2758" t="s">
        <v>14</v>
      </c>
      <c r="F2758" t="s">
        <v>15</v>
      </c>
      <c r="G2758" t="s">
        <v>15</v>
      </c>
      <c r="H2758" t="s">
        <v>15</v>
      </c>
      <c r="I2758" s="1">
        <v>19540600</v>
      </c>
    </row>
    <row r="2759" spans="1:9" x14ac:dyDescent="0.25">
      <c r="A2759" t="str">
        <f>"57018"</f>
        <v>57018</v>
      </c>
      <c r="B2759" t="s">
        <v>11</v>
      </c>
      <c r="C2759" t="s">
        <v>1128</v>
      </c>
      <c r="D2759" t="s">
        <v>13</v>
      </c>
      <c r="E2759" t="s">
        <v>14</v>
      </c>
      <c r="F2759" t="s">
        <v>15</v>
      </c>
      <c r="G2759" t="s">
        <v>15</v>
      </c>
      <c r="H2759" t="s">
        <v>15</v>
      </c>
      <c r="I2759" s="1">
        <v>26358100</v>
      </c>
    </row>
    <row r="2760" spans="1:9" x14ac:dyDescent="0.25">
      <c r="A2760" t="str">
        <f>"57020"</f>
        <v>57020</v>
      </c>
      <c r="B2760" t="s">
        <v>11</v>
      </c>
      <c r="C2760" t="s">
        <v>1129</v>
      </c>
      <c r="D2760" t="s">
        <v>13</v>
      </c>
      <c r="E2760" t="s">
        <v>14</v>
      </c>
      <c r="F2760" t="s">
        <v>15</v>
      </c>
      <c r="G2760" t="s">
        <v>15</v>
      </c>
      <c r="H2760" t="s">
        <v>15</v>
      </c>
      <c r="I2760" s="1">
        <v>56649700</v>
      </c>
    </row>
    <row r="2761" spans="1:9" x14ac:dyDescent="0.25">
      <c r="A2761" t="str">
        <f>"57022"</f>
        <v>57022</v>
      </c>
      <c r="B2761" t="s">
        <v>11</v>
      </c>
      <c r="C2761" t="s">
        <v>1130</v>
      </c>
      <c r="D2761" t="s">
        <v>13</v>
      </c>
      <c r="E2761" t="s">
        <v>14</v>
      </c>
      <c r="F2761" t="s">
        <v>15</v>
      </c>
      <c r="G2761" t="s">
        <v>15</v>
      </c>
      <c r="H2761" t="s">
        <v>15</v>
      </c>
      <c r="I2761" s="1">
        <v>64748700</v>
      </c>
    </row>
    <row r="2762" spans="1:9" x14ac:dyDescent="0.25">
      <c r="A2762" t="str">
        <f>"57024"</f>
        <v>57024</v>
      </c>
      <c r="B2762" t="s">
        <v>11</v>
      </c>
      <c r="C2762" t="s">
        <v>1131</v>
      </c>
      <c r="D2762" t="s">
        <v>13</v>
      </c>
      <c r="E2762" t="s">
        <v>14</v>
      </c>
      <c r="F2762" t="s">
        <v>15</v>
      </c>
      <c r="G2762" t="s">
        <v>15</v>
      </c>
      <c r="H2762" t="s">
        <v>15</v>
      </c>
      <c r="I2762" s="1">
        <v>374783700</v>
      </c>
    </row>
    <row r="2763" spans="1:9" x14ac:dyDescent="0.25">
      <c r="A2763" t="str">
        <f>"57026"</f>
        <v>57026</v>
      </c>
      <c r="B2763" t="s">
        <v>11</v>
      </c>
      <c r="C2763" t="s">
        <v>161</v>
      </c>
      <c r="D2763" t="s">
        <v>13</v>
      </c>
      <c r="E2763" t="s">
        <v>14</v>
      </c>
      <c r="F2763" t="s">
        <v>15</v>
      </c>
      <c r="G2763" t="s">
        <v>15</v>
      </c>
      <c r="H2763" t="s">
        <v>15</v>
      </c>
      <c r="I2763" s="1">
        <v>404674500</v>
      </c>
    </row>
    <row r="2764" spans="1:9" x14ac:dyDescent="0.25">
      <c r="A2764" t="str">
        <f>"57028"</f>
        <v>57028</v>
      </c>
      <c r="B2764" t="s">
        <v>11</v>
      </c>
      <c r="C2764" t="s">
        <v>1132</v>
      </c>
      <c r="D2764" t="s">
        <v>13</v>
      </c>
      <c r="E2764" t="s">
        <v>14</v>
      </c>
      <c r="F2764" t="s">
        <v>15</v>
      </c>
      <c r="G2764" t="s">
        <v>15</v>
      </c>
      <c r="H2764" t="s">
        <v>15</v>
      </c>
      <c r="I2764" s="1">
        <v>320709800</v>
      </c>
    </row>
    <row r="2765" spans="1:9" x14ac:dyDescent="0.25">
      <c r="A2765" t="str">
        <f>"57030"</f>
        <v>57030</v>
      </c>
      <c r="B2765" t="s">
        <v>11</v>
      </c>
      <c r="C2765" t="s">
        <v>1133</v>
      </c>
      <c r="D2765" t="s">
        <v>13</v>
      </c>
      <c r="E2765" t="s">
        <v>14</v>
      </c>
      <c r="F2765" t="s">
        <v>15</v>
      </c>
      <c r="G2765" t="s">
        <v>15</v>
      </c>
      <c r="H2765" t="s">
        <v>15</v>
      </c>
      <c r="I2765" s="1">
        <v>42991300</v>
      </c>
    </row>
    <row r="2766" spans="1:9" x14ac:dyDescent="0.25">
      <c r="A2766" t="str">
        <f>"57032"</f>
        <v>57032</v>
      </c>
      <c r="B2766" t="s">
        <v>11</v>
      </c>
      <c r="C2766" t="s">
        <v>1134</v>
      </c>
      <c r="D2766" t="s">
        <v>13</v>
      </c>
      <c r="E2766" t="s">
        <v>14</v>
      </c>
      <c r="F2766" t="s">
        <v>15</v>
      </c>
      <c r="G2766" t="s">
        <v>15</v>
      </c>
      <c r="H2766" t="s">
        <v>15</v>
      </c>
      <c r="I2766" s="1">
        <v>219798800</v>
      </c>
    </row>
    <row r="2767" spans="1:9" x14ac:dyDescent="0.25">
      <c r="A2767" t="s">
        <v>32</v>
      </c>
      <c r="B2767" t="s">
        <v>33</v>
      </c>
      <c r="C2767" t="s">
        <v>34</v>
      </c>
      <c r="D2767" t="s">
        <v>13</v>
      </c>
      <c r="E2767" t="s">
        <v>14</v>
      </c>
      <c r="F2767" t="s">
        <v>15</v>
      </c>
      <c r="G2767" t="s">
        <v>15</v>
      </c>
      <c r="H2767" t="s">
        <v>15</v>
      </c>
      <c r="I2767" s="1">
        <v>3425397700</v>
      </c>
    </row>
    <row r="2768" spans="1:9" x14ac:dyDescent="0.25">
      <c r="A2768" t="str">
        <f>"57111"</f>
        <v>57111</v>
      </c>
      <c r="B2768" t="s">
        <v>35</v>
      </c>
      <c r="C2768" t="s">
        <v>1121</v>
      </c>
      <c r="D2768" t="s">
        <v>13</v>
      </c>
      <c r="E2768" t="s">
        <v>14</v>
      </c>
      <c r="F2768" t="s">
        <v>15</v>
      </c>
      <c r="G2768" t="s">
        <v>15</v>
      </c>
      <c r="H2768" t="s">
        <v>15</v>
      </c>
      <c r="I2768" s="1">
        <v>3416500</v>
      </c>
    </row>
    <row r="2769" spans="1:9" x14ac:dyDescent="0.25">
      <c r="A2769" t="str">
        <f>"57121"</f>
        <v>57121</v>
      </c>
      <c r="B2769" t="s">
        <v>35</v>
      </c>
      <c r="C2769" t="s">
        <v>1135</v>
      </c>
      <c r="D2769" t="s">
        <v>13</v>
      </c>
      <c r="E2769" t="s">
        <v>14</v>
      </c>
      <c r="F2769" t="s">
        <v>15</v>
      </c>
      <c r="G2769" t="s">
        <v>15</v>
      </c>
      <c r="H2769" t="s">
        <v>15</v>
      </c>
      <c r="I2769" s="1">
        <v>7663600</v>
      </c>
    </row>
    <row r="2770" spans="1:9" x14ac:dyDescent="0.25">
      <c r="A2770" t="str">
        <f>"57176"</f>
        <v>57176</v>
      </c>
      <c r="B2770" t="s">
        <v>35</v>
      </c>
      <c r="C2770" t="s">
        <v>1130</v>
      </c>
      <c r="D2770" t="s">
        <v>13</v>
      </c>
      <c r="E2770" t="s">
        <v>14</v>
      </c>
      <c r="F2770" t="s">
        <v>15</v>
      </c>
      <c r="G2770" t="s">
        <v>15</v>
      </c>
      <c r="H2770" t="s">
        <v>15</v>
      </c>
      <c r="I2770" s="1">
        <v>7790900</v>
      </c>
    </row>
    <row r="2771" spans="1:9" x14ac:dyDescent="0.25">
      <c r="A2771" t="str">
        <f>"57190"</f>
        <v>57190</v>
      </c>
      <c r="B2771" t="s">
        <v>35</v>
      </c>
      <c r="C2771" t="s">
        <v>1134</v>
      </c>
      <c r="D2771" t="s">
        <v>13</v>
      </c>
      <c r="E2771" t="s">
        <v>14</v>
      </c>
      <c r="F2771" t="s">
        <v>15</v>
      </c>
      <c r="G2771" t="s">
        <v>15</v>
      </c>
      <c r="H2771" t="s">
        <v>15</v>
      </c>
      <c r="I2771" s="1">
        <v>13375900</v>
      </c>
    </row>
    <row r="2772" spans="1:9" x14ac:dyDescent="0.25">
      <c r="A2772" t="s">
        <v>32</v>
      </c>
      <c r="B2772" t="s">
        <v>37</v>
      </c>
      <c r="C2772" t="s">
        <v>34</v>
      </c>
      <c r="D2772" t="s">
        <v>13</v>
      </c>
      <c r="E2772" t="s">
        <v>14</v>
      </c>
      <c r="F2772" t="s">
        <v>15</v>
      </c>
      <c r="G2772" t="s">
        <v>15</v>
      </c>
      <c r="H2772" t="s">
        <v>15</v>
      </c>
      <c r="I2772" s="1">
        <v>32246900</v>
      </c>
    </row>
    <row r="2773" spans="1:9" x14ac:dyDescent="0.25">
      <c r="A2773" t="str">
        <f>"57236"</f>
        <v>57236</v>
      </c>
      <c r="B2773" t="s">
        <v>38</v>
      </c>
      <c r="C2773" t="s">
        <v>1124</v>
      </c>
      <c r="D2773" t="str">
        <f>"005"</f>
        <v>005</v>
      </c>
      <c r="E2773">
        <v>2018</v>
      </c>
      <c r="F2773">
        <v>693400</v>
      </c>
      <c r="G2773">
        <v>905300</v>
      </c>
      <c r="H2773">
        <v>211900</v>
      </c>
    </row>
    <row r="2774" spans="1:9" x14ac:dyDescent="0.25">
      <c r="A2774" t="str">
        <f>"57236"</f>
        <v>57236</v>
      </c>
      <c r="B2774" t="s">
        <v>38</v>
      </c>
      <c r="C2774" t="s">
        <v>1124</v>
      </c>
      <c r="D2774" t="s">
        <v>13</v>
      </c>
      <c r="E2774" t="s">
        <v>14</v>
      </c>
      <c r="F2774" t="s">
        <v>15</v>
      </c>
      <c r="G2774" t="s">
        <v>15</v>
      </c>
      <c r="H2774" t="s">
        <v>15</v>
      </c>
      <c r="I2774" s="1">
        <v>237566800</v>
      </c>
    </row>
    <row r="2775" spans="1:9" x14ac:dyDescent="0.25">
      <c r="A2775" t="s">
        <v>32</v>
      </c>
      <c r="B2775" t="s">
        <v>40</v>
      </c>
      <c r="C2775" t="s">
        <v>34</v>
      </c>
      <c r="D2775" t="s">
        <v>13</v>
      </c>
      <c r="E2775" t="s">
        <v>14</v>
      </c>
      <c r="F2775" t="s">
        <v>15</v>
      </c>
      <c r="G2775" t="s">
        <v>15</v>
      </c>
      <c r="H2775" t="s">
        <v>15</v>
      </c>
      <c r="I2775" s="1">
        <v>237566800</v>
      </c>
    </row>
    <row r="2776" spans="1:9" x14ac:dyDescent="0.25">
      <c r="A2776" t="s">
        <v>32</v>
      </c>
      <c r="B2776" t="s">
        <v>41</v>
      </c>
      <c r="C2776" t="s">
        <v>1136</v>
      </c>
      <c r="D2776" t="s">
        <v>13</v>
      </c>
      <c r="E2776" t="s">
        <v>14</v>
      </c>
      <c r="F2776" t="s">
        <v>15</v>
      </c>
      <c r="G2776" t="s">
        <v>15</v>
      </c>
      <c r="H2776" t="s">
        <v>15</v>
      </c>
      <c r="I2776" s="1">
        <v>3695211400</v>
      </c>
    </row>
    <row r="2777" spans="1:9" x14ac:dyDescent="0.25">
      <c r="A2777" t="str">
        <f>"58002"</f>
        <v>58002</v>
      </c>
      <c r="B2777" t="s">
        <v>11</v>
      </c>
      <c r="C2777" t="s">
        <v>1137</v>
      </c>
      <c r="D2777" t="s">
        <v>13</v>
      </c>
      <c r="E2777" t="s">
        <v>14</v>
      </c>
      <c r="F2777" t="s">
        <v>15</v>
      </c>
      <c r="G2777" t="s">
        <v>15</v>
      </c>
      <c r="H2777" t="s">
        <v>15</v>
      </c>
      <c r="I2777" s="1">
        <v>60995400</v>
      </c>
    </row>
    <row r="2778" spans="1:9" x14ac:dyDescent="0.25">
      <c r="A2778" t="str">
        <f>"58004"</f>
        <v>58004</v>
      </c>
      <c r="B2778" t="s">
        <v>11</v>
      </c>
      <c r="C2778" t="s">
        <v>1138</v>
      </c>
      <c r="D2778" t="s">
        <v>13</v>
      </c>
      <c r="E2778" t="s">
        <v>14</v>
      </c>
      <c r="F2778" t="s">
        <v>15</v>
      </c>
      <c r="G2778" t="s">
        <v>15</v>
      </c>
      <c r="H2778" t="s">
        <v>15</v>
      </c>
      <c r="I2778" s="1">
        <v>154063800</v>
      </c>
    </row>
    <row r="2779" spans="1:9" x14ac:dyDescent="0.25">
      <c r="A2779" t="str">
        <f>"58006"</f>
        <v>58006</v>
      </c>
      <c r="B2779" t="s">
        <v>11</v>
      </c>
      <c r="C2779" t="s">
        <v>1139</v>
      </c>
      <c r="D2779" t="s">
        <v>13</v>
      </c>
      <c r="E2779" t="s">
        <v>14</v>
      </c>
      <c r="F2779" t="s">
        <v>15</v>
      </c>
      <c r="G2779" t="s">
        <v>15</v>
      </c>
      <c r="H2779" t="s">
        <v>15</v>
      </c>
      <c r="I2779" s="1">
        <v>48566600</v>
      </c>
    </row>
    <row r="2780" spans="1:9" x14ac:dyDescent="0.25">
      <c r="A2780" t="str">
        <f>"58008"</f>
        <v>58008</v>
      </c>
      <c r="B2780" t="s">
        <v>11</v>
      </c>
      <c r="C2780" t="s">
        <v>1140</v>
      </c>
      <c r="D2780" t="s">
        <v>13</v>
      </c>
      <c r="E2780" t="s">
        <v>14</v>
      </c>
      <c r="F2780" t="s">
        <v>15</v>
      </c>
      <c r="G2780" t="s">
        <v>15</v>
      </c>
      <c r="H2780" t="s">
        <v>15</v>
      </c>
      <c r="I2780" s="1">
        <v>22309600</v>
      </c>
    </row>
    <row r="2781" spans="1:9" x14ac:dyDescent="0.25">
      <c r="A2781" t="str">
        <f>"58010"</f>
        <v>58010</v>
      </c>
      <c r="B2781" t="s">
        <v>11</v>
      </c>
      <c r="C2781" t="s">
        <v>1141</v>
      </c>
      <c r="D2781" t="s">
        <v>13</v>
      </c>
      <c r="E2781" t="s">
        <v>14</v>
      </c>
      <c r="F2781" t="s">
        <v>15</v>
      </c>
      <c r="G2781" t="s">
        <v>15</v>
      </c>
      <c r="H2781" t="s">
        <v>15</v>
      </c>
      <c r="I2781" s="1">
        <v>221140000</v>
      </c>
    </row>
    <row r="2782" spans="1:9" x14ac:dyDescent="0.25">
      <c r="A2782" t="str">
        <f>"58012"</f>
        <v>58012</v>
      </c>
      <c r="B2782" t="s">
        <v>11</v>
      </c>
      <c r="C2782" t="s">
        <v>773</v>
      </c>
      <c r="D2782" t="s">
        <v>13</v>
      </c>
      <c r="E2782" t="s">
        <v>14</v>
      </c>
      <c r="F2782" t="s">
        <v>15</v>
      </c>
      <c r="G2782" t="s">
        <v>15</v>
      </c>
      <c r="H2782" t="s">
        <v>15</v>
      </c>
      <c r="I2782" s="1">
        <v>57910400</v>
      </c>
    </row>
    <row r="2783" spans="1:9" x14ac:dyDescent="0.25">
      <c r="A2783" t="str">
        <f>"58014"</f>
        <v>58014</v>
      </c>
      <c r="B2783" t="s">
        <v>11</v>
      </c>
      <c r="C2783" t="s">
        <v>1142</v>
      </c>
      <c r="D2783" t="s">
        <v>13</v>
      </c>
      <c r="E2783" t="s">
        <v>14</v>
      </c>
      <c r="F2783" t="s">
        <v>15</v>
      </c>
      <c r="G2783" t="s">
        <v>15</v>
      </c>
      <c r="H2783" t="s">
        <v>15</v>
      </c>
      <c r="I2783" s="1">
        <v>54707200</v>
      </c>
    </row>
    <row r="2784" spans="1:9" x14ac:dyDescent="0.25">
      <c r="A2784" t="str">
        <f>"58016"</f>
        <v>58016</v>
      </c>
      <c r="B2784" t="s">
        <v>11</v>
      </c>
      <c r="C2784" t="s">
        <v>1143</v>
      </c>
      <c r="D2784" t="s">
        <v>13</v>
      </c>
      <c r="E2784" t="s">
        <v>14</v>
      </c>
      <c r="F2784" t="s">
        <v>15</v>
      </c>
      <c r="G2784" t="s">
        <v>15</v>
      </c>
      <c r="H2784" t="s">
        <v>15</v>
      </c>
      <c r="I2784" s="1">
        <v>49132000</v>
      </c>
    </row>
    <row r="2785" spans="1:9" x14ac:dyDescent="0.25">
      <c r="A2785" t="str">
        <f>"58018"</f>
        <v>58018</v>
      </c>
      <c r="B2785" t="s">
        <v>11</v>
      </c>
      <c r="C2785" t="s">
        <v>221</v>
      </c>
      <c r="D2785" t="s">
        <v>13</v>
      </c>
      <c r="E2785" t="s">
        <v>14</v>
      </c>
      <c r="F2785" t="s">
        <v>15</v>
      </c>
      <c r="G2785" t="s">
        <v>15</v>
      </c>
      <c r="H2785" t="s">
        <v>15</v>
      </c>
      <c r="I2785" s="1">
        <v>72555100</v>
      </c>
    </row>
    <row r="2786" spans="1:9" x14ac:dyDescent="0.25">
      <c r="A2786" t="str">
        <f>"58020"</f>
        <v>58020</v>
      </c>
      <c r="B2786" t="s">
        <v>11</v>
      </c>
      <c r="C2786" t="s">
        <v>748</v>
      </c>
      <c r="D2786" t="s">
        <v>13</v>
      </c>
      <c r="E2786" t="s">
        <v>14</v>
      </c>
      <c r="F2786" t="s">
        <v>15</v>
      </c>
      <c r="G2786" t="s">
        <v>15</v>
      </c>
      <c r="H2786" t="s">
        <v>15</v>
      </c>
      <c r="I2786" s="1">
        <v>82648900</v>
      </c>
    </row>
    <row r="2787" spans="1:9" x14ac:dyDescent="0.25">
      <c r="A2787" t="str">
        <f>"58022"</f>
        <v>58022</v>
      </c>
      <c r="B2787" t="s">
        <v>11</v>
      </c>
      <c r="C2787" t="s">
        <v>936</v>
      </c>
      <c r="D2787" t="s">
        <v>13</v>
      </c>
      <c r="E2787" t="s">
        <v>14</v>
      </c>
      <c r="F2787" t="s">
        <v>15</v>
      </c>
      <c r="G2787" t="s">
        <v>15</v>
      </c>
      <c r="H2787" t="s">
        <v>15</v>
      </c>
      <c r="I2787" s="1">
        <v>70110000</v>
      </c>
    </row>
    <row r="2788" spans="1:9" x14ac:dyDescent="0.25">
      <c r="A2788" t="str">
        <f>"58024"</f>
        <v>58024</v>
      </c>
      <c r="B2788" t="s">
        <v>11</v>
      </c>
      <c r="C2788" t="s">
        <v>357</v>
      </c>
      <c r="D2788" t="s">
        <v>13</v>
      </c>
      <c r="E2788" t="s">
        <v>14</v>
      </c>
      <c r="F2788" t="s">
        <v>15</v>
      </c>
      <c r="G2788" t="s">
        <v>15</v>
      </c>
      <c r="H2788" t="s">
        <v>15</v>
      </c>
      <c r="I2788" s="1">
        <v>57870200</v>
      </c>
    </row>
    <row r="2789" spans="1:9" x14ac:dyDescent="0.25">
      <c r="A2789" t="str">
        <f>"58026"</f>
        <v>58026</v>
      </c>
      <c r="B2789" t="s">
        <v>11</v>
      </c>
      <c r="C2789" t="s">
        <v>1144</v>
      </c>
      <c r="D2789" t="s">
        <v>13</v>
      </c>
      <c r="E2789" t="s">
        <v>14</v>
      </c>
      <c r="F2789" t="s">
        <v>15</v>
      </c>
      <c r="G2789" t="s">
        <v>15</v>
      </c>
      <c r="H2789" t="s">
        <v>15</v>
      </c>
      <c r="I2789" s="1">
        <v>50755900</v>
      </c>
    </row>
    <row r="2790" spans="1:9" x14ac:dyDescent="0.25">
      <c r="A2790" t="str">
        <f>"58028"</f>
        <v>58028</v>
      </c>
      <c r="B2790" t="s">
        <v>11</v>
      </c>
      <c r="C2790" t="s">
        <v>1145</v>
      </c>
      <c r="D2790" t="s">
        <v>13</v>
      </c>
      <c r="E2790" t="s">
        <v>14</v>
      </c>
      <c r="F2790" t="s">
        <v>15</v>
      </c>
      <c r="G2790" t="s">
        <v>15</v>
      </c>
      <c r="H2790" t="s">
        <v>15</v>
      </c>
      <c r="I2790" s="1">
        <v>97695500</v>
      </c>
    </row>
    <row r="2791" spans="1:9" x14ac:dyDescent="0.25">
      <c r="A2791" t="str">
        <f>"58030"</f>
        <v>58030</v>
      </c>
      <c r="B2791" t="s">
        <v>11</v>
      </c>
      <c r="C2791" t="s">
        <v>70</v>
      </c>
      <c r="D2791" t="s">
        <v>13</v>
      </c>
      <c r="E2791" t="s">
        <v>14</v>
      </c>
      <c r="F2791" t="s">
        <v>15</v>
      </c>
      <c r="G2791" t="s">
        <v>15</v>
      </c>
      <c r="H2791" t="s">
        <v>15</v>
      </c>
      <c r="I2791" s="1">
        <v>69816300</v>
      </c>
    </row>
    <row r="2792" spans="1:9" x14ac:dyDescent="0.25">
      <c r="A2792" t="str">
        <f>"58032"</f>
        <v>58032</v>
      </c>
      <c r="B2792" t="s">
        <v>11</v>
      </c>
      <c r="C2792" t="s">
        <v>1146</v>
      </c>
      <c r="D2792" t="s">
        <v>13</v>
      </c>
      <c r="E2792" t="s">
        <v>14</v>
      </c>
      <c r="F2792" t="s">
        <v>15</v>
      </c>
      <c r="G2792" t="s">
        <v>15</v>
      </c>
      <c r="H2792" t="s">
        <v>15</v>
      </c>
      <c r="I2792" s="1">
        <v>46753400</v>
      </c>
    </row>
    <row r="2793" spans="1:9" x14ac:dyDescent="0.25">
      <c r="A2793" t="str">
        <f>"58034"</f>
        <v>58034</v>
      </c>
      <c r="B2793" t="s">
        <v>11</v>
      </c>
      <c r="C2793" t="s">
        <v>1147</v>
      </c>
      <c r="D2793" t="s">
        <v>13</v>
      </c>
      <c r="E2793" t="s">
        <v>14</v>
      </c>
      <c r="F2793" t="s">
        <v>15</v>
      </c>
      <c r="G2793" t="s">
        <v>15</v>
      </c>
      <c r="H2793" t="s">
        <v>15</v>
      </c>
      <c r="I2793" s="1">
        <v>42184900</v>
      </c>
    </row>
    <row r="2794" spans="1:9" x14ac:dyDescent="0.25">
      <c r="A2794" t="str">
        <f>"58036"</f>
        <v>58036</v>
      </c>
      <c r="B2794" t="s">
        <v>11</v>
      </c>
      <c r="C2794" t="s">
        <v>1148</v>
      </c>
      <c r="D2794" t="s">
        <v>13</v>
      </c>
      <c r="E2794" t="s">
        <v>14</v>
      </c>
      <c r="F2794" t="s">
        <v>15</v>
      </c>
      <c r="G2794" t="s">
        <v>15</v>
      </c>
      <c r="H2794" t="s">
        <v>15</v>
      </c>
      <c r="I2794" s="1">
        <v>81340600</v>
      </c>
    </row>
    <row r="2795" spans="1:9" x14ac:dyDescent="0.25">
      <c r="A2795" t="str">
        <f>"58038"</f>
        <v>58038</v>
      </c>
      <c r="B2795" t="s">
        <v>11</v>
      </c>
      <c r="C2795" t="s">
        <v>1149</v>
      </c>
      <c r="D2795" t="s">
        <v>13</v>
      </c>
      <c r="E2795" t="s">
        <v>14</v>
      </c>
      <c r="F2795" t="s">
        <v>15</v>
      </c>
      <c r="G2795" t="s">
        <v>15</v>
      </c>
      <c r="H2795" t="s">
        <v>15</v>
      </c>
      <c r="I2795" s="1">
        <v>75164600</v>
      </c>
    </row>
    <row r="2796" spans="1:9" x14ac:dyDescent="0.25">
      <c r="A2796" t="str">
        <f>"58040"</f>
        <v>58040</v>
      </c>
      <c r="B2796" t="s">
        <v>11</v>
      </c>
      <c r="C2796" t="s">
        <v>1083</v>
      </c>
      <c r="D2796" t="s">
        <v>13</v>
      </c>
      <c r="E2796" t="s">
        <v>14</v>
      </c>
      <c r="F2796" t="s">
        <v>15</v>
      </c>
      <c r="G2796" t="s">
        <v>15</v>
      </c>
      <c r="H2796" t="s">
        <v>15</v>
      </c>
      <c r="I2796" s="1">
        <v>172557000</v>
      </c>
    </row>
    <row r="2797" spans="1:9" x14ac:dyDescent="0.25">
      <c r="A2797" t="str">
        <f>"58042"</f>
        <v>58042</v>
      </c>
      <c r="B2797" t="s">
        <v>11</v>
      </c>
      <c r="C2797" t="s">
        <v>289</v>
      </c>
      <c r="D2797" t="s">
        <v>13</v>
      </c>
      <c r="E2797" t="s">
        <v>14</v>
      </c>
      <c r="F2797" t="s">
        <v>15</v>
      </c>
      <c r="G2797" t="s">
        <v>15</v>
      </c>
      <c r="H2797" t="s">
        <v>15</v>
      </c>
      <c r="I2797" s="1">
        <v>55965500</v>
      </c>
    </row>
    <row r="2798" spans="1:9" x14ac:dyDescent="0.25">
      <c r="A2798" t="str">
        <f>"58044"</f>
        <v>58044</v>
      </c>
      <c r="B2798" t="s">
        <v>11</v>
      </c>
      <c r="C2798" t="s">
        <v>393</v>
      </c>
      <c r="D2798" t="s">
        <v>13</v>
      </c>
      <c r="E2798" t="s">
        <v>14</v>
      </c>
      <c r="F2798" t="s">
        <v>15</v>
      </c>
      <c r="G2798" t="s">
        <v>15</v>
      </c>
      <c r="H2798" t="s">
        <v>15</v>
      </c>
      <c r="I2798" s="1">
        <v>235921200</v>
      </c>
    </row>
    <row r="2799" spans="1:9" x14ac:dyDescent="0.25">
      <c r="A2799" t="str">
        <f>"58046"</f>
        <v>58046</v>
      </c>
      <c r="B2799" t="s">
        <v>11</v>
      </c>
      <c r="C2799" t="s">
        <v>1150</v>
      </c>
      <c r="D2799" t="s">
        <v>13</v>
      </c>
      <c r="E2799" t="s">
        <v>14</v>
      </c>
      <c r="F2799" t="s">
        <v>15</v>
      </c>
      <c r="G2799" t="s">
        <v>15</v>
      </c>
      <c r="H2799" t="s">
        <v>15</v>
      </c>
      <c r="I2799" s="1">
        <v>91896800</v>
      </c>
    </row>
    <row r="2800" spans="1:9" x14ac:dyDescent="0.25">
      <c r="A2800" t="str">
        <f>"58048"</f>
        <v>58048</v>
      </c>
      <c r="B2800" t="s">
        <v>11</v>
      </c>
      <c r="C2800" t="s">
        <v>1151</v>
      </c>
      <c r="D2800" t="s">
        <v>13</v>
      </c>
      <c r="E2800" t="s">
        <v>14</v>
      </c>
      <c r="F2800" t="s">
        <v>15</v>
      </c>
      <c r="G2800" t="s">
        <v>15</v>
      </c>
      <c r="H2800" t="s">
        <v>15</v>
      </c>
      <c r="I2800" s="1">
        <v>409347400</v>
      </c>
    </row>
    <row r="2801" spans="1:9" x14ac:dyDescent="0.25">
      <c r="A2801" t="str">
        <f>"58050"</f>
        <v>58050</v>
      </c>
      <c r="B2801" t="s">
        <v>11</v>
      </c>
      <c r="C2801" t="s">
        <v>1152</v>
      </c>
      <c r="D2801" t="s">
        <v>13</v>
      </c>
      <c r="E2801" t="s">
        <v>14</v>
      </c>
      <c r="F2801" t="s">
        <v>15</v>
      </c>
      <c r="G2801" t="s">
        <v>15</v>
      </c>
      <c r="H2801" t="s">
        <v>15</v>
      </c>
      <c r="I2801" s="1">
        <v>76717100</v>
      </c>
    </row>
    <row r="2802" spans="1:9" x14ac:dyDescent="0.25">
      <c r="A2802" t="s">
        <v>32</v>
      </c>
      <c r="B2802" t="s">
        <v>33</v>
      </c>
      <c r="C2802" t="s">
        <v>34</v>
      </c>
      <c r="D2802" t="s">
        <v>13</v>
      </c>
      <c r="E2802" t="s">
        <v>14</v>
      </c>
      <c r="F2802" t="s">
        <v>15</v>
      </c>
      <c r="G2802" t="s">
        <v>15</v>
      </c>
      <c r="H2802" t="s">
        <v>15</v>
      </c>
      <c r="I2802" s="1">
        <v>2458125400</v>
      </c>
    </row>
    <row r="2803" spans="1:9" x14ac:dyDescent="0.25">
      <c r="A2803" t="str">
        <f>"58101"</f>
        <v>58101</v>
      </c>
      <c r="B2803" t="s">
        <v>35</v>
      </c>
      <c r="C2803" t="s">
        <v>1139</v>
      </c>
      <c r="D2803" t="s">
        <v>13</v>
      </c>
      <c r="E2803" t="s">
        <v>14</v>
      </c>
      <c r="F2803" t="s">
        <v>15</v>
      </c>
      <c r="G2803" t="s">
        <v>15</v>
      </c>
      <c r="H2803" t="s">
        <v>15</v>
      </c>
      <c r="I2803" s="1">
        <v>8754600</v>
      </c>
    </row>
    <row r="2804" spans="1:9" x14ac:dyDescent="0.25">
      <c r="A2804" t="str">
        <f>"58106"</f>
        <v>58106</v>
      </c>
      <c r="B2804" t="s">
        <v>35</v>
      </c>
      <c r="C2804" t="s">
        <v>773</v>
      </c>
      <c r="D2804" t="str">
        <f>"001"</f>
        <v>001</v>
      </c>
      <c r="E2804">
        <v>1997</v>
      </c>
      <c r="F2804">
        <v>13300900</v>
      </c>
      <c r="G2804">
        <v>24529200</v>
      </c>
      <c r="H2804">
        <v>11228300</v>
      </c>
    </row>
    <row r="2805" spans="1:9" x14ac:dyDescent="0.25">
      <c r="A2805" t="str">
        <f>"58106"</f>
        <v>58106</v>
      </c>
      <c r="B2805" t="s">
        <v>35</v>
      </c>
      <c r="C2805" t="s">
        <v>773</v>
      </c>
      <c r="D2805" t="s">
        <v>13</v>
      </c>
      <c r="E2805" t="s">
        <v>14</v>
      </c>
      <c r="F2805" t="s">
        <v>15</v>
      </c>
      <c r="G2805" t="s">
        <v>15</v>
      </c>
      <c r="H2805" t="s">
        <v>15</v>
      </c>
      <c r="I2805" s="1">
        <v>23173700</v>
      </c>
    </row>
    <row r="2806" spans="1:9" x14ac:dyDescent="0.25">
      <c r="A2806" t="str">
        <f>"58107"</f>
        <v>58107</v>
      </c>
      <c r="B2806" t="s">
        <v>35</v>
      </c>
      <c r="C2806" t="s">
        <v>1153</v>
      </c>
      <c r="D2806" t="str">
        <f>"001"</f>
        <v>001</v>
      </c>
      <c r="E2806">
        <v>1994</v>
      </c>
      <c r="F2806">
        <v>1981600</v>
      </c>
      <c r="G2806">
        <v>16395200</v>
      </c>
      <c r="H2806">
        <v>14413600</v>
      </c>
    </row>
    <row r="2807" spans="1:9" x14ac:dyDescent="0.25">
      <c r="A2807" t="str">
        <f>"58107"</f>
        <v>58107</v>
      </c>
      <c r="B2807" t="s">
        <v>35</v>
      </c>
      <c r="C2807" t="s">
        <v>1153</v>
      </c>
      <c r="D2807" t="s">
        <v>13</v>
      </c>
      <c r="E2807" t="s">
        <v>14</v>
      </c>
      <c r="F2807" t="s">
        <v>15</v>
      </c>
      <c r="G2807" t="s">
        <v>15</v>
      </c>
      <c r="H2807" t="s">
        <v>15</v>
      </c>
      <c r="I2807" s="1">
        <v>65368600</v>
      </c>
    </row>
    <row r="2808" spans="1:9" x14ac:dyDescent="0.25">
      <c r="A2808" t="str">
        <f>"58108"</f>
        <v>58108</v>
      </c>
      <c r="B2808" t="s">
        <v>35</v>
      </c>
      <c r="C2808" t="s">
        <v>1154</v>
      </c>
      <c r="D2808" t="str">
        <f>"002"</f>
        <v>002</v>
      </c>
      <c r="E2808">
        <v>1997</v>
      </c>
      <c r="F2808">
        <v>37400</v>
      </c>
      <c r="G2808">
        <v>214200</v>
      </c>
      <c r="H2808">
        <v>176800</v>
      </c>
    </row>
    <row r="2809" spans="1:9" x14ac:dyDescent="0.25">
      <c r="A2809" t="str">
        <f>"58108"</f>
        <v>58108</v>
      </c>
      <c r="B2809" t="s">
        <v>35</v>
      </c>
      <c r="C2809" t="s">
        <v>1154</v>
      </c>
      <c r="D2809" t="s">
        <v>13</v>
      </c>
      <c r="E2809" t="s">
        <v>14</v>
      </c>
      <c r="F2809" t="s">
        <v>15</v>
      </c>
      <c r="G2809" t="s">
        <v>15</v>
      </c>
      <c r="H2809" t="s">
        <v>15</v>
      </c>
      <c r="I2809" s="1">
        <v>9235300</v>
      </c>
    </row>
    <row r="2810" spans="1:9" x14ac:dyDescent="0.25">
      <c r="A2810" t="str">
        <f>"58111"</f>
        <v>58111</v>
      </c>
      <c r="B2810" t="s">
        <v>35</v>
      </c>
      <c r="C2810" t="s">
        <v>1155</v>
      </c>
      <c r="D2810" t="s">
        <v>13</v>
      </c>
      <c r="E2810" t="s">
        <v>14</v>
      </c>
      <c r="F2810" t="s">
        <v>15</v>
      </c>
      <c r="G2810" t="s">
        <v>15</v>
      </c>
      <c r="H2810" t="s">
        <v>15</v>
      </c>
      <c r="I2810" s="1">
        <v>49966900</v>
      </c>
    </row>
    <row r="2811" spans="1:9" x14ac:dyDescent="0.25">
      <c r="A2811" t="str">
        <f>"58121"</f>
        <v>58121</v>
      </c>
      <c r="B2811" t="s">
        <v>35</v>
      </c>
      <c r="C2811" t="s">
        <v>1156</v>
      </c>
      <c r="D2811" t="s">
        <v>13</v>
      </c>
      <c r="E2811" t="s">
        <v>14</v>
      </c>
      <c r="F2811" t="s">
        <v>15</v>
      </c>
      <c r="G2811" t="s">
        <v>15</v>
      </c>
      <c r="H2811" t="s">
        <v>15</v>
      </c>
      <c r="I2811" s="1">
        <v>9073000</v>
      </c>
    </row>
    <row r="2812" spans="1:9" x14ac:dyDescent="0.25">
      <c r="A2812" t="str">
        <f>"58131"</f>
        <v>58131</v>
      </c>
      <c r="B2812" t="s">
        <v>35</v>
      </c>
      <c r="C2812" t="s">
        <v>1157</v>
      </c>
      <c r="D2812" t="str">
        <f>"001"</f>
        <v>001</v>
      </c>
      <c r="E2812">
        <v>2011</v>
      </c>
      <c r="F2812">
        <v>1251500</v>
      </c>
      <c r="G2812">
        <v>1512400</v>
      </c>
      <c r="H2812">
        <v>260900</v>
      </c>
    </row>
    <row r="2813" spans="1:9" x14ac:dyDescent="0.25">
      <c r="A2813" t="str">
        <f>"58131"</f>
        <v>58131</v>
      </c>
      <c r="B2813" t="s">
        <v>35</v>
      </c>
      <c r="C2813" t="s">
        <v>1157</v>
      </c>
      <c r="D2813" t="str">
        <f>"002"</f>
        <v>002</v>
      </c>
      <c r="E2813">
        <v>2015</v>
      </c>
      <c r="F2813">
        <v>2482000</v>
      </c>
      <c r="G2813">
        <v>2798500</v>
      </c>
      <c r="H2813">
        <v>316500</v>
      </c>
    </row>
    <row r="2814" spans="1:9" x14ac:dyDescent="0.25">
      <c r="A2814" t="str">
        <f>"58131"</f>
        <v>58131</v>
      </c>
      <c r="B2814" t="s">
        <v>35</v>
      </c>
      <c r="C2814" t="s">
        <v>1157</v>
      </c>
      <c r="D2814" t="s">
        <v>13</v>
      </c>
      <c r="E2814" t="s">
        <v>14</v>
      </c>
      <c r="F2814" t="s">
        <v>15</v>
      </c>
      <c r="G2814" t="s">
        <v>15</v>
      </c>
      <c r="H2814" t="s">
        <v>15</v>
      </c>
      <c r="I2814" s="1">
        <v>19582000</v>
      </c>
    </row>
    <row r="2815" spans="1:9" x14ac:dyDescent="0.25">
      <c r="A2815" t="str">
        <f>"58151"</f>
        <v>58151</v>
      </c>
      <c r="B2815" t="s">
        <v>35</v>
      </c>
      <c r="C2815" t="s">
        <v>1158</v>
      </c>
      <c r="D2815" t="s">
        <v>13</v>
      </c>
      <c r="E2815" t="s">
        <v>14</v>
      </c>
      <c r="F2815" t="s">
        <v>15</v>
      </c>
      <c r="G2815" t="s">
        <v>15</v>
      </c>
      <c r="H2815" t="s">
        <v>15</v>
      </c>
      <c r="I2815" s="1">
        <v>11307300</v>
      </c>
    </row>
    <row r="2816" spans="1:9" x14ac:dyDescent="0.25">
      <c r="A2816" t="str">
        <f>"58171"</f>
        <v>58171</v>
      </c>
      <c r="B2816" t="s">
        <v>35</v>
      </c>
      <c r="C2816" t="s">
        <v>128</v>
      </c>
      <c r="D2816" t="s">
        <v>13</v>
      </c>
      <c r="E2816" t="s">
        <v>14</v>
      </c>
      <c r="F2816" t="s">
        <v>15</v>
      </c>
      <c r="G2816" t="s">
        <v>15</v>
      </c>
      <c r="H2816" t="s">
        <v>15</v>
      </c>
      <c r="I2816" s="1">
        <v>9753400</v>
      </c>
    </row>
    <row r="2817" spans="1:9" x14ac:dyDescent="0.25">
      <c r="A2817" t="str">
        <f>"58186"</f>
        <v>58186</v>
      </c>
      <c r="B2817" t="s">
        <v>35</v>
      </c>
      <c r="C2817" t="s">
        <v>1159</v>
      </c>
      <c r="D2817" t="str">
        <f>"001"</f>
        <v>001</v>
      </c>
      <c r="E2817">
        <v>1996</v>
      </c>
      <c r="F2817">
        <v>124900</v>
      </c>
      <c r="G2817">
        <v>2129900</v>
      </c>
      <c r="H2817">
        <v>2005000</v>
      </c>
    </row>
    <row r="2818" spans="1:9" x14ac:dyDescent="0.25">
      <c r="A2818" t="str">
        <f>"58186"</f>
        <v>58186</v>
      </c>
      <c r="B2818" t="s">
        <v>35</v>
      </c>
      <c r="C2818" t="s">
        <v>1159</v>
      </c>
      <c r="D2818" t="str">
        <f>"002"</f>
        <v>002</v>
      </c>
      <c r="E2818">
        <v>2014</v>
      </c>
      <c r="F2818">
        <v>637900</v>
      </c>
      <c r="G2818">
        <v>1303500</v>
      </c>
      <c r="H2818">
        <v>665600</v>
      </c>
    </row>
    <row r="2819" spans="1:9" x14ac:dyDescent="0.25">
      <c r="A2819" t="str">
        <f>"58186"</f>
        <v>58186</v>
      </c>
      <c r="B2819" t="s">
        <v>35</v>
      </c>
      <c r="C2819" t="s">
        <v>1159</v>
      </c>
      <c r="D2819" t="s">
        <v>13</v>
      </c>
      <c r="E2819" t="s">
        <v>14</v>
      </c>
      <c r="F2819" t="s">
        <v>15</v>
      </c>
      <c r="G2819" t="s">
        <v>15</v>
      </c>
      <c r="H2819" t="s">
        <v>15</v>
      </c>
      <c r="I2819" s="1">
        <v>19308300</v>
      </c>
    </row>
    <row r="2820" spans="1:9" x14ac:dyDescent="0.25">
      <c r="A2820" t="str">
        <f>"58191"</f>
        <v>58191</v>
      </c>
      <c r="B2820" t="s">
        <v>35</v>
      </c>
      <c r="C2820" t="s">
        <v>1152</v>
      </c>
      <c r="D2820" t="str">
        <f>"001"</f>
        <v>001</v>
      </c>
      <c r="E2820">
        <v>2000</v>
      </c>
      <c r="F2820">
        <v>201400</v>
      </c>
      <c r="G2820">
        <v>6999600</v>
      </c>
      <c r="H2820">
        <v>6798200</v>
      </c>
    </row>
    <row r="2821" spans="1:9" x14ac:dyDescent="0.25">
      <c r="A2821" t="str">
        <f>"58191"</f>
        <v>58191</v>
      </c>
      <c r="B2821" t="s">
        <v>35</v>
      </c>
      <c r="C2821" t="s">
        <v>1152</v>
      </c>
      <c r="D2821" t="str">
        <f>"002"</f>
        <v>002</v>
      </c>
      <c r="E2821">
        <v>2011</v>
      </c>
      <c r="F2821">
        <v>1407900</v>
      </c>
      <c r="G2821">
        <v>2542500</v>
      </c>
      <c r="H2821">
        <v>1134600</v>
      </c>
    </row>
    <row r="2822" spans="1:9" x14ac:dyDescent="0.25">
      <c r="A2822" t="str">
        <f>"58191"</f>
        <v>58191</v>
      </c>
      <c r="B2822" t="s">
        <v>35</v>
      </c>
      <c r="C2822" t="s">
        <v>1152</v>
      </c>
      <c r="D2822" t="str">
        <f>"003"</f>
        <v>003</v>
      </c>
      <c r="E2822">
        <v>2015</v>
      </c>
      <c r="F2822">
        <v>3300</v>
      </c>
      <c r="G2822">
        <v>6961800</v>
      </c>
      <c r="H2822">
        <v>6958500</v>
      </c>
    </row>
    <row r="2823" spans="1:9" x14ac:dyDescent="0.25">
      <c r="A2823" t="str">
        <f>"58191"</f>
        <v>58191</v>
      </c>
      <c r="B2823" t="s">
        <v>35</v>
      </c>
      <c r="C2823" t="s">
        <v>1152</v>
      </c>
      <c r="D2823" t="s">
        <v>13</v>
      </c>
      <c r="E2823" t="s">
        <v>14</v>
      </c>
      <c r="F2823" t="s">
        <v>15</v>
      </c>
      <c r="G2823" t="s">
        <v>15</v>
      </c>
      <c r="H2823" t="s">
        <v>15</v>
      </c>
      <c r="I2823" s="1">
        <v>44546600</v>
      </c>
    </row>
    <row r="2824" spans="1:9" x14ac:dyDescent="0.25">
      <c r="A2824" t="s">
        <v>32</v>
      </c>
      <c r="B2824" t="s">
        <v>37</v>
      </c>
      <c r="C2824" t="s">
        <v>34</v>
      </c>
      <c r="D2824" t="s">
        <v>13</v>
      </c>
      <c r="E2824" t="s">
        <v>14</v>
      </c>
      <c r="F2824" t="s">
        <v>15</v>
      </c>
      <c r="G2824" t="s">
        <v>15</v>
      </c>
      <c r="H2824" t="s">
        <v>15</v>
      </c>
      <c r="I2824" s="1">
        <v>270069700</v>
      </c>
    </row>
    <row r="2825" spans="1:9" x14ac:dyDescent="0.25">
      <c r="A2825" t="str">
        <f>"58252"</f>
        <v>58252</v>
      </c>
      <c r="B2825" t="s">
        <v>38</v>
      </c>
      <c r="C2825" t="s">
        <v>507</v>
      </c>
      <c r="D2825" t="str">
        <f>"002"</f>
        <v>002</v>
      </c>
      <c r="E2825">
        <v>1995</v>
      </c>
      <c r="F2825">
        <v>708600</v>
      </c>
      <c r="G2825">
        <v>5677100</v>
      </c>
      <c r="H2825">
        <v>4968500</v>
      </c>
    </row>
    <row r="2826" spans="1:9" x14ac:dyDescent="0.25">
      <c r="A2826" t="str">
        <f>"58252"</f>
        <v>58252</v>
      </c>
      <c r="B2826" t="s">
        <v>38</v>
      </c>
      <c r="C2826" t="s">
        <v>507</v>
      </c>
      <c r="D2826" t="s">
        <v>13</v>
      </c>
      <c r="E2826" t="s">
        <v>14</v>
      </c>
      <c r="F2826" t="s">
        <v>15</v>
      </c>
      <c r="G2826" t="s">
        <v>15</v>
      </c>
      <c r="H2826" t="s">
        <v>15</v>
      </c>
      <c r="I2826" s="1">
        <v>847400</v>
      </c>
    </row>
    <row r="2827" spans="1:9" x14ac:dyDescent="0.25">
      <c r="A2827" t="str">
        <f t="shared" ref="A2827:A2832" si="64">"58281"</f>
        <v>58281</v>
      </c>
      <c r="B2827" t="s">
        <v>38</v>
      </c>
      <c r="C2827" t="s">
        <v>1160</v>
      </c>
      <c r="D2827" t="str">
        <f>"004"</f>
        <v>004</v>
      </c>
      <c r="E2827">
        <v>2000</v>
      </c>
      <c r="F2827">
        <v>13105100</v>
      </c>
      <c r="G2827">
        <v>23475800</v>
      </c>
      <c r="H2827">
        <v>10370700</v>
      </c>
    </row>
    <row r="2828" spans="1:9" x14ac:dyDescent="0.25">
      <c r="A2828" t="str">
        <f t="shared" si="64"/>
        <v>58281</v>
      </c>
      <c r="B2828" t="s">
        <v>38</v>
      </c>
      <c r="C2828" t="s">
        <v>1160</v>
      </c>
      <c r="D2828" t="str">
        <f>"005"</f>
        <v>005</v>
      </c>
      <c r="E2828">
        <v>2001</v>
      </c>
      <c r="F2828">
        <v>314300</v>
      </c>
      <c r="G2828">
        <v>5308800</v>
      </c>
      <c r="H2828">
        <v>4994500</v>
      </c>
    </row>
    <row r="2829" spans="1:9" x14ac:dyDescent="0.25">
      <c r="A2829" t="str">
        <f t="shared" si="64"/>
        <v>58281</v>
      </c>
      <c r="B2829" t="s">
        <v>38</v>
      </c>
      <c r="C2829" t="s">
        <v>1160</v>
      </c>
      <c r="D2829" t="str">
        <f>"006"</f>
        <v>006</v>
      </c>
      <c r="E2829">
        <v>2014</v>
      </c>
      <c r="F2829">
        <v>34897300</v>
      </c>
      <c r="G2829">
        <v>37746100</v>
      </c>
      <c r="H2829">
        <v>2848800</v>
      </c>
    </row>
    <row r="2830" spans="1:9" x14ac:dyDescent="0.25">
      <c r="A2830" t="str">
        <f t="shared" si="64"/>
        <v>58281</v>
      </c>
      <c r="B2830" t="s">
        <v>38</v>
      </c>
      <c r="C2830" t="s">
        <v>1160</v>
      </c>
      <c r="D2830" t="str">
        <f>"007"</f>
        <v>007</v>
      </c>
      <c r="E2830">
        <v>2016</v>
      </c>
      <c r="F2830">
        <v>6988200</v>
      </c>
      <c r="G2830">
        <v>15316800</v>
      </c>
      <c r="H2830">
        <v>8328600</v>
      </c>
    </row>
    <row r="2831" spans="1:9" x14ac:dyDescent="0.25">
      <c r="A2831" t="str">
        <f t="shared" si="64"/>
        <v>58281</v>
      </c>
      <c r="B2831" t="s">
        <v>38</v>
      </c>
      <c r="C2831" t="s">
        <v>1160</v>
      </c>
      <c r="D2831" t="str">
        <f>"008"</f>
        <v>008</v>
      </c>
      <c r="E2831">
        <v>2018</v>
      </c>
      <c r="F2831">
        <v>215900</v>
      </c>
      <c r="G2831">
        <v>234700</v>
      </c>
      <c r="H2831">
        <v>18800</v>
      </c>
    </row>
    <row r="2832" spans="1:9" x14ac:dyDescent="0.25">
      <c r="A2832" t="str">
        <f t="shared" si="64"/>
        <v>58281</v>
      </c>
      <c r="B2832" t="s">
        <v>38</v>
      </c>
      <c r="C2832" t="s">
        <v>1160</v>
      </c>
      <c r="D2832" t="s">
        <v>13</v>
      </c>
      <c r="E2832" t="s">
        <v>14</v>
      </c>
      <c r="F2832" t="s">
        <v>15</v>
      </c>
      <c r="G2832" t="s">
        <v>15</v>
      </c>
      <c r="H2832" t="s">
        <v>15</v>
      </c>
      <c r="I2832" s="1">
        <v>519716200</v>
      </c>
    </row>
    <row r="2833" spans="1:9" x14ac:dyDescent="0.25">
      <c r="A2833" t="s">
        <v>32</v>
      </c>
      <c r="B2833" t="s">
        <v>40</v>
      </c>
      <c r="C2833" t="s">
        <v>34</v>
      </c>
      <c r="D2833" t="s">
        <v>13</v>
      </c>
      <c r="E2833" t="s">
        <v>14</v>
      </c>
      <c r="F2833" t="s">
        <v>15</v>
      </c>
      <c r="G2833" t="s">
        <v>15</v>
      </c>
      <c r="H2833" t="s">
        <v>15</v>
      </c>
      <c r="I2833" s="1">
        <v>520563600</v>
      </c>
    </row>
    <row r="2834" spans="1:9" x14ac:dyDescent="0.25">
      <c r="A2834" t="s">
        <v>32</v>
      </c>
      <c r="B2834" t="s">
        <v>41</v>
      </c>
      <c r="C2834" t="s">
        <v>1160</v>
      </c>
      <c r="D2834" t="s">
        <v>13</v>
      </c>
      <c r="E2834" t="s">
        <v>14</v>
      </c>
      <c r="F2834" t="s">
        <v>15</v>
      </c>
      <c r="G2834" t="s">
        <v>15</v>
      </c>
      <c r="H2834" t="s">
        <v>15</v>
      </c>
      <c r="I2834" s="1">
        <v>3248758700</v>
      </c>
    </row>
    <row r="2835" spans="1:9" x14ac:dyDescent="0.25">
      <c r="A2835" t="str">
        <f>"59002"</f>
        <v>59002</v>
      </c>
      <c r="B2835" t="s">
        <v>11</v>
      </c>
      <c r="C2835" t="s">
        <v>1161</v>
      </c>
      <c r="D2835" t="s">
        <v>13</v>
      </c>
      <c r="E2835" t="s">
        <v>14</v>
      </c>
      <c r="F2835" t="s">
        <v>15</v>
      </c>
      <c r="G2835" t="s">
        <v>15</v>
      </c>
      <c r="H2835" t="s">
        <v>15</v>
      </c>
      <c r="I2835" s="1">
        <v>156305700</v>
      </c>
    </row>
    <row r="2836" spans="1:9" x14ac:dyDescent="0.25">
      <c r="A2836" t="str">
        <f>"59004"</f>
        <v>59004</v>
      </c>
      <c r="B2836" t="s">
        <v>11</v>
      </c>
      <c r="C2836" t="s">
        <v>357</v>
      </c>
      <c r="D2836" t="s">
        <v>13</v>
      </c>
      <c r="E2836" t="s">
        <v>14</v>
      </c>
      <c r="F2836" t="s">
        <v>15</v>
      </c>
      <c r="G2836" t="s">
        <v>15</v>
      </c>
      <c r="H2836" t="s">
        <v>15</v>
      </c>
      <c r="I2836" s="1">
        <v>152208300</v>
      </c>
    </row>
    <row r="2837" spans="1:9" x14ac:dyDescent="0.25">
      <c r="A2837" t="str">
        <f>"59006"</f>
        <v>59006</v>
      </c>
      <c r="B2837" t="s">
        <v>11</v>
      </c>
      <c r="C2837" t="s">
        <v>112</v>
      </c>
      <c r="D2837" t="s">
        <v>13</v>
      </c>
      <c r="E2837" t="s">
        <v>14</v>
      </c>
      <c r="F2837" t="s">
        <v>15</v>
      </c>
      <c r="G2837" t="s">
        <v>15</v>
      </c>
      <c r="H2837" t="s">
        <v>15</v>
      </c>
      <c r="I2837" s="1">
        <v>344986600</v>
      </c>
    </row>
    <row r="2838" spans="1:9" x14ac:dyDescent="0.25">
      <c r="A2838" t="str">
        <f>"59008"</f>
        <v>59008</v>
      </c>
      <c r="B2838" t="s">
        <v>11</v>
      </c>
      <c r="C2838" t="s">
        <v>505</v>
      </c>
      <c r="D2838" t="s">
        <v>13</v>
      </c>
      <c r="E2838" t="s">
        <v>14</v>
      </c>
      <c r="F2838" t="s">
        <v>15</v>
      </c>
      <c r="G2838" t="s">
        <v>15</v>
      </c>
      <c r="H2838" t="s">
        <v>15</v>
      </c>
      <c r="I2838" s="1">
        <v>249653300</v>
      </c>
    </row>
    <row r="2839" spans="1:9" x14ac:dyDescent="0.25">
      <c r="A2839" t="str">
        <f>"59010"</f>
        <v>59010</v>
      </c>
      <c r="B2839" t="s">
        <v>11</v>
      </c>
      <c r="C2839" t="s">
        <v>628</v>
      </c>
      <c r="D2839" t="s">
        <v>13</v>
      </c>
      <c r="E2839" t="s">
        <v>14</v>
      </c>
      <c r="F2839" t="s">
        <v>15</v>
      </c>
      <c r="G2839" t="s">
        <v>15</v>
      </c>
      <c r="H2839" t="s">
        <v>15</v>
      </c>
      <c r="I2839" s="1">
        <v>173487700</v>
      </c>
    </row>
    <row r="2840" spans="1:9" x14ac:dyDescent="0.25">
      <c r="A2840" t="str">
        <f>"59012"</f>
        <v>59012</v>
      </c>
      <c r="B2840" t="s">
        <v>11</v>
      </c>
      <c r="C2840" t="s">
        <v>1162</v>
      </c>
      <c r="D2840" t="s">
        <v>13</v>
      </c>
      <c r="E2840" t="s">
        <v>14</v>
      </c>
      <c r="F2840" t="s">
        <v>15</v>
      </c>
      <c r="G2840" t="s">
        <v>15</v>
      </c>
      <c r="H2840" t="s">
        <v>15</v>
      </c>
      <c r="I2840" s="1">
        <v>123485400</v>
      </c>
    </row>
    <row r="2841" spans="1:9" x14ac:dyDescent="0.25">
      <c r="A2841" t="str">
        <f>"59014"</f>
        <v>59014</v>
      </c>
      <c r="B2841" t="s">
        <v>11</v>
      </c>
      <c r="C2841" t="s">
        <v>1163</v>
      </c>
      <c r="D2841" t="s">
        <v>13</v>
      </c>
      <c r="E2841" t="s">
        <v>14</v>
      </c>
      <c r="F2841" t="s">
        <v>15</v>
      </c>
      <c r="G2841" t="s">
        <v>15</v>
      </c>
      <c r="H2841" t="s">
        <v>15</v>
      </c>
      <c r="I2841" s="1">
        <v>139650800</v>
      </c>
    </row>
    <row r="2842" spans="1:9" x14ac:dyDescent="0.25">
      <c r="A2842" t="str">
        <f>"59016"</f>
        <v>59016</v>
      </c>
      <c r="B2842" t="s">
        <v>11</v>
      </c>
      <c r="C2842" t="s">
        <v>631</v>
      </c>
      <c r="D2842" t="s">
        <v>13</v>
      </c>
      <c r="E2842" t="s">
        <v>14</v>
      </c>
      <c r="F2842" t="s">
        <v>15</v>
      </c>
      <c r="G2842" t="s">
        <v>15</v>
      </c>
      <c r="H2842" t="s">
        <v>15</v>
      </c>
      <c r="I2842" s="1">
        <v>368099100</v>
      </c>
    </row>
    <row r="2843" spans="1:9" x14ac:dyDescent="0.25">
      <c r="A2843" t="str">
        <f>"59018"</f>
        <v>59018</v>
      </c>
      <c r="B2843" t="s">
        <v>11</v>
      </c>
      <c r="C2843" t="s">
        <v>1164</v>
      </c>
      <c r="D2843" t="s">
        <v>13</v>
      </c>
      <c r="E2843" t="s">
        <v>14</v>
      </c>
      <c r="F2843" t="s">
        <v>15</v>
      </c>
      <c r="G2843" t="s">
        <v>15</v>
      </c>
      <c r="H2843" t="s">
        <v>15</v>
      </c>
      <c r="I2843" s="1">
        <v>381497300</v>
      </c>
    </row>
    <row r="2844" spans="1:9" x14ac:dyDescent="0.25">
      <c r="A2844" t="str">
        <f>"59020"</f>
        <v>59020</v>
      </c>
      <c r="B2844" t="s">
        <v>11</v>
      </c>
      <c r="C2844" t="s">
        <v>106</v>
      </c>
      <c r="D2844" t="s">
        <v>13</v>
      </c>
      <c r="E2844" t="s">
        <v>14</v>
      </c>
      <c r="F2844" t="s">
        <v>15</v>
      </c>
      <c r="G2844" t="s">
        <v>15</v>
      </c>
      <c r="H2844" t="s">
        <v>15</v>
      </c>
      <c r="I2844" s="1">
        <v>38979400</v>
      </c>
    </row>
    <row r="2845" spans="1:9" x14ac:dyDescent="0.25">
      <c r="A2845" t="str">
        <f>"59022"</f>
        <v>59022</v>
      </c>
      <c r="B2845" t="s">
        <v>11</v>
      </c>
      <c r="C2845" t="s">
        <v>120</v>
      </c>
      <c r="D2845" t="s">
        <v>13</v>
      </c>
      <c r="E2845" t="s">
        <v>14</v>
      </c>
      <c r="F2845" t="s">
        <v>15</v>
      </c>
      <c r="G2845" t="s">
        <v>15</v>
      </c>
      <c r="H2845" t="s">
        <v>15</v>
      </c>
      <c r="I2845" s="1">
        <v>162820000</v>
      </c>
    </row>
    <row r="2846" spans="1:9" x14ac:dyDescent="0.25">
      <c r="A2846" t="str">
        <f>"59024"</f>
        <v>59024</v>
      </c>
      <c r="B2846" t="s">
        <v>11</v>
      </c>
      <c r="C2846" t="s">
        <v>1165</v>
      </c>
      <c r="D2846" t="s">
        <v>13</v>
      </c>
      <c r="E2846" t="s">
        <v>14</v>
      </c>
      <c r="F2846" t="s">
        <v>15</v>
      </c>
      <c r="G2846" t="s">
        <v>15</v>
      </c>
      <c r="H2846" t="s">
        <v>15</v>
      </c>
      <c r="I2846" s="1">
        <v>833672200</v>
      </c>
    </row>
    <row r="2847" spans="1:9" x14ac:dyDescent="0.25">
      <c r="A2847" t="str">
        <f>"59026"</f>
        <v>59026</v>
      </c>
      <c r="B2847" t="s">
        <v>11</v>
      </c>
      <c r="C2847" t="s">
        <v>1166</v>
      </c>
      <c r="D2847" t="s">
        <v>13</v>
      </c>
      <c r="E2847" t="s">
        <v>14</v>
      </c>
      <c r="F2847" t="s">
        <v>15</v>
      </c>
      <c r="G2847" t="s">
        <v>15</v>
      </c>
      <c r="H2847" t="s">
        <v>15</v>
      </c>
      <c r="I2847" s="1">
        <v>234731700</v>
      </c>
    </row>
    <row r="2848" spans="1:9" x14ac:dyDescent="0.25">
      <c r="A2848" t="str">
        <f>"59028"</f>
        <v>59028</v>
      </c>
      <c r="B2848" t="s">
        <v>11</v>
      </c>
      <c r="C2848" t="s">
        <v>237</v>
      </c>
      <c r="D2848" t="s">
        <v>13</v>
      </c>
      <c r="E2848" t="s">
        <v>14</v>
      </c>
      <c r="F2848" t="s">
        <v>15</v>
      </c>
      <c r="G2848" t="s">
        <v>15</v>
      </c>
      <c r="H2848" t="s">
        <v>15</v>
      </c>
      <c r="I2848" s="1">
        <v>149317000</v>
      </c>
    </row>
    <row r="2849" spans="1:9" x14ac:dyDescent="0.25">
      <c r="A2849" t="str">
        <f>"59030"</f>
        <v>59030</v>
      </c>
      <c r="B2849" t="s">
        <v>11</v>
      </c>
      <c r="C2849" t="s">
        <v>431</v>
      </c>
      <c r="D2849" t="s">
        <v>13</v>
      </c>
      <c r="E2849" t="s">
        <v>14</v>
      </c>
      <c r="F2849" t="s">
        <v>15</v>
      </c>
      <c r="G2849" t="s">
        <v>15</v>
      </c>
      <c r="H2849" t="s">
        <v>15</v>
      </c>
      <c r="I2849" s="1">
        <v>450229700</v>
      </c>
    </row>
    <row r="2850" spans="1:9" x14ac:dyDescent="0.25">
      <c r="A2850" t="s">
        <v>32</v>
      </c>
      <c r="B2850" t="s">
        <v>33</v>
      </c>
      <c r="C2850" t="s">
        <v>34</v>
      </c>
      <c r="D2850" t="s">
        <v>13</v>
      </c>
      <c r="E2850" t="s">
        <v>14</v>
      </c>
      <c r="F2850" t="s">
        <v>15</v>
      </c>
      <c r="G2850" t="s">
        <v>15</v>
      </c>
      <c r="H2850" t="s">
        <v>15</v>
      </c>
      <c r="I2850" s="1">
        <v>3959124200</v>
      </c>
    </row>
    <row r="2851" spans="1:9" x14ac:dyDescent="0.25">
      <c r="A2851" t="str">
        <f>"59101"</f>
        <v>59101</v>
      </c>
      <c r="B2851" t="s">
        <v>35</v>
      </c>
      <c r="C2851" t="s">
        <v>1167</v>
      </c>
      <c r="D2851" t="s">
        <v>13</v>
      </c>
      <c r="E2851" t="s">
        <v>14</v>
      </c>
      <c r="F2851" t="s">
        <v>15</v>
      </c>
      <c r="G2851" t="s">
        <v>15</v>
      </c>
      <c r="H2851" t="s">
        <v>15</v>
      </c>
      <c r="I2851" s="1">
        <v>37523000</v>
      </c>
    </row>
    <row r="2852" spans="1:9" x14ac:dyDescent="0.25">
      <c r="A2852" t="str">
        <f>"59111"</f>
        <v>59111</v>
      </c>
      <c r="B2852" t="s">
        <v>35</v>
      </c>
      <c r="C2852" t="s">
        <v>1168</v>
      </c>
      <c r="D2852" t="str">
        <f>"001"</f>
        <v>001</v>
      </c>
      <c r="E2852">
        <v>2011</v>
      </c>
      <c r="F2852">
        <v>577000</v>
      </c>
      <c r="G2852">
        <v>1225700</v>
      </c>
      <c r="H2852">
        <v>648700</v>
      </c>
    </row>
    <row r="2853" spans="1:9" x14ac:dyDescent="0.25">
      <c r="A2853" t="str">
        <f>"59111"</f>
        <v>59111</v>
      </c>
      <c r="B2853" t="s">
        <v>35</v>
      </c>
      <c r="C2853" t="s">
        <v>1168</v>
      </c>
      <c r="D2853" t="s">
        <v>13</v>
      </c>
      <c r="E2853" t="s">
        <v>14</v>
      </c>
      <c r="F2853" t="s">
        <v>15</v>
      </c>
      <c r="G2853" t="s">
        <v>15</v>
      </c>
      <c r="H2853" t="s">
        <v>15</v>
      </c>
      <c r="I2853" s="1">
        <v>42799900</v>
      </c>
    </row>
    <row r="2854" spans="1:9" x14ac:dyDescent="0.25">
      <c r="A2854" t="str">
        <f>"59112"</f>
        <v>59112</v>
      </c>
      <c r="B2854" t="s">
        <v>35</v>
      </c>
      <c r="C2854" t="s">
        <v>1169</v>
      </c>
      <c r="D2854" t="str">
        <f>"001"</f>
        <v>001</v>
      </c>
      <c r="E2854">
        <v>2009</v>
      </c>
      <c r="F2854">
        <v>244800</v>
      </c>
      <c r="G2854">
        <v>821400</v>
      </c>
      <c r="H2854">
        <v>576600</v>
      </c>
    </row>
    <row r="2855" spans="1:9" x14ac:dyDescent="0.25">
      <c r="A2855" t="str">
        <f>"59112"</f>
        <v>59112</v>
      </c>
      <c r="B2855" t="s">
        <v>35</v>
      </c>
      <c r="C2855" t="s">
        <v>1169</v>
      </c>
      <c r="D2855" t="str">
        <f>"002"</f>
        <v>002</v>
      </c>
      <c r="E2855">
        <v>2017</v>
      </c>
      <c r="F2855">
        <v>2605100</v>
      </c>
      <c r="G2855">
        <v>2645300</v>
      </c>
      <c r="H2855">
        <v>40200</v>
      </c>
    </row>
    <row r="2856" spans="1:9" x14ac:dyDescent="0.25">
      <c r="A2856" t="str">
        <f>"59112"</f>
        <v>59112</v>
      </c>
      <c r="B2856" t="s">
        <v>35</v>
      </c>
      <c r="C2856" t="s">
        <v>1169</v>
      </c>
      <c r="D2856" t="s">
        <v>13</v>
      </c>
      <c r="E2856" t="s">
        <v>14</v>
      </c>
      <c r="F2856" t="s">
        <v>15</v>
      </c>
      <c r="G2856" t="s">
        <v>15</v>
      </c>
      <c r="H2856" t="s">
        <v>15</v>
      </c>
      <c r="I2856" s="1">
        <v>153580900</v>
      </c>
    </row>
    <row r="2857" spans="1:9" x14ac:dyDescent="0.25">
      <c r="A2857" t="str">
        <f>"59121"</f>
        <v>59121</v>
      </c>
      <c r="B2857" t="s">
        <v>35</v>
      </c>
      <c r="C2857" t="s">
        <v>1170</v>
      </c>
      <c r="D2857" t="str">
        <f>"002"</f>
        <v>002</v>
      </c>
      <c r="E2857">
        <v>2013</v>
      </c>
      <c r="F2857">
        <v>11635700</v>
      </c>
      <c r="G2857">
        <v>28386300</v>
      </c>
      <c r="H2857">
        <v>16750600</v>
      </c>
    </row>
    <row r="2858" spans="1:9" x14ac:dyDescent="0.25">
      <c r="A2858" t="str">
        <f>"59121"</f>
        <v>59121</v>
      </c>
      <c r="B2858" t="s">
        <v>35</v>
      </c>
      <c r="C2858" t="s">
        <v>1170</v>
      </c>
      <c r="D2858" t="str">
        <f>"003"</f>
        <v>003</v>
      </c>
      <c r="E2858">
        <v>2013</v>
      </c>
      <c r="F2858">
        <v>1850100</v>
      </c>
      <c r="G2858">
        <v>7636400</v>
      </c>
      <c r="H2858">
        <v>5786300</v>
      </c>
    </row>
    <row r="2859" spans="1:9" x14ac:dyDescent="0.25">
      <c r="A2859" t="str">
        <f>"59121"</f>
        <v>59121</v>
      </c>
      <c r="B2859" t="s">
        <v>35</v>
      </c>
      <c r="C2859" t="s">
        <v>1170</v>
      </c>
      <c r="D2859" t="str">
        <f>"004"</f>
        <v>004</v>
      </c>
      <c r="E2859">
        <v>2015</v>
      </c>
      <c r="F2859">
        <v>711400</v>
      </c>
      <c r="G2859">
        <v>11433600</v>
      </c>
      <c r="H2859">
        <v>10722200</v>
      </c>
    </row>
    <row r="2860" spans="1:9" x14ac:dyDescent="0.25">
      <c r="A2860" t="str">
        <f>"59121"</f>
        <v>59121</v>
      </c>
      <c r="B2860" t="s">
        <v>35</v>
      </c>
      <c r="C2860" t="s">
        <v>1170</v>
      </c>
      <c r="D2860" t="s">
        <v>13</v>
      </c>
      <c r="E2860" t="s">
        <v>14</v>
      </c>
      <c r="F2860" t="s">
        <v>15</v>
      </c>
      <c r="G2860" t="s">
        <v>15</v>
      </c>
      <c r="H2860" t="s">
        <v>15</v>
      </c>
      <c r="I2860" s="1">
        <v>310442400</v>
      </c>
    </row>
    <row r="2861" spans="1:9" x14ac:dyDescent="0.25">
      <c r="A2861" t="str">
        <f>"59131"</f>
        <v>59131</v>
      </c>
      <c r="B2861" t="s">
        <v>35</v>
      </c>
      <c r="C2861" t="s">
        <v>1171</v>
      </c>
      <c r="D2861" t="str">
        <f>"001"</f>
        <v>001</v>
      </c>
      <c r="E2861">
        <v>2005</v>
      </c>
      <c r="F2861">
        <v>1862900</v>
      </c>
      <c r="G2861">
        <v>3780700</v>
      </c>
      <c r="H2861">
        <v>1917800</v>
      </c>
    </row>
    <row r="2862" spans="1:9" x14ac:dyDescent="0.25">
      <c r="A2862" t="str">
        <f>"59131"</f>
        <v>59131</v>
      </c>
      <c r="B2862" t="s">
        <v>35</v>
      </c>
      <c r="C2862" t="s">
        <v>1171</v>
      </c>
      <c r="D2862" t="s">
        <v>13</v>
      </c>
      <c r="E2862" t="s">
        <v>14</v>
      </c>
      <c r="F2862" t="s">
        <v>15</v>
      </c>
      <c r="G2862" t="s">
        <v>15</v>
      </c>
      <c r="H2862" t="s">
        <v>15</v>
      </c>
      <c r="I2862" s="1">
        <v>33229000</v>
      </c>
    </row>
    <row r="2863" spans="1:9" x14ac:dyDescent="0.25">
      <c r="A2863" t="str">
        <f>"59135"</f>
        <v>59135</v>
      </c>
      <c r="B2863" t="s">
        <v>35</v>
      </c>
      <c r="C2863" t="s">
        <v>1172</v>
      </c>
      <c r="D2863" t="str">
        <f>"001"</f>
        <v>001</v>
      </c>
      <c r="E2863">
        <v>2005</v>
      </c>
      <c r="F2863">
        <v>1793600</v>
      </c>
      <c r="G2863">
        <v>2579900</v>
      </c>
      <c r="H2863">
        <v>786300</v>
      </c>
    </row>
    <row r="2864" spans="1:9" x14ac:dyDescent="0.25">
      <c r="A2864" t="str">
        <f>"59135"</f>
        <v>59135</v>
      </c>
      <c r="B2864" t="s">
        <v>35</v>
      </c>
      <c r="C2864" t="s">
        <v>1172</v>
      </c>
      <c r="D2864" t="str">
        <f>"002"</f>
        <v>002</v>
      </c>
      <c r="E2864">
        <v>2011</v>
      </c>
      <c r="F2864">
        <v>72900</v>
      </c>
      <c r="G2864">
        <v>3666900</v>
      </c>
      <c r="H2864">
        <v>3594000</v>
      </c>
    </row>
    <row r="2865" spans="1:9" x14ac:dyDescent="0.25">
      <c r="A2865" t="str">
        <f>"59135"</f>
        <v>59135</v>
      </c>
      <c r="B2865" t="s">
        <v>35</v>
      </c>
      <c r="C2865" t="s">
        <v>1172</v>
      </c>
      <c r="D2865" t="s">
        <v>13</v>
      </c>
      <c r="E2865" t="s">
        <v>14</v>
      </c>
      <c r="F2865" t="s">
        <v>15</v>
      </c>
      <c r="G2865" t="s">
        <v>15</v>
      </c>
      <c r="H2865" t="s">
        <v>15</v>
      </c>
      <c r="I2865" s="1">
        <v>263219000</v>
      </c>
    </row>
    <row r="2866" spans="1:9" x14ac:dyDescent="0.25">
      <c r="A2866" t="str">
        <f>"59141"</f>
        <v>59141</v>
      </c>
      <c r="B2866" t="s">
        <v>35</v>
      </c>
      <c r="C2866" t="s">
        <v>1173</v>
      </c>
      <c r="D2866" t="s">
        <v>13</v>
      </c>
      <c r="E2866" t="s">
        <v>14</v>
      </c>
      <c r="F2866" t="s">
        <v>15</v>
      </c>
      <c r="G2866" t="s">
        <v>15</v>
      </c>
      <c r="H2866" t="s">
        <v>15</v>
      </c>
      <c r="I2866" s="1">
        <v>468125800</v>
      </c>
    </row>
    <row r="2867" spans="1:9" x14ac:dyDescent="0.25">
      <c r="A2867" t="str">
        <f>"59165"</f>
        <v>59165</v>
      </c>
      <c r="B2867" t="s">
        <v>35</v>
      </c>
      <c r="C2867" t="s">
        <v>1174</v>
      </c>
      <c r="D2867" t="str">
        <f>"001"</f>
        <v>001</v>
      </c>
      <c r="E2867">
        <v>1999</v>
      </c>
      <c r="F2867">
        <v>403600</v>
      </c>
      <c r="G2867">
        <v>21142500</v>
      </c>
      <c r="H2867">
        <v>20738900</v>
      </c>
    </row>
    <row r="2868" spans="1:9" x14ac:dyDescent="0.25">
      <c r="A2868" t="str">
        <f>"59165"</f>
        <v>59165</v>
      </c>
      <c r="B2868" t="s">
        <v>35</v>
      </c>
      <c r="C2868" t="s">
        <v>1174</v>
      </c>
      <c r="D2868" t="str">
        <f>"002"</f>
        <v>002</v>
      </c>
      <c r="E2868">
        <v>2001</v>
      </c>
      <c r="F2868">
        <v>5477800</v>
      </c>
      <c r="G2868">
        <v>15513000</v>
      </c>
      <c r="H2868">
        <v>10035200</v>
      </c>
    </row>
    <row r="2869" spans="1:9" x14ac:dyDescent="0.25">
      <c r="A2869" t="str">
        <f>"59165"</f>
        <v>59165</v>
      </c>
      <c r="B2869" t="s">
        <v>35</v>
      </c>
      <c r="C2869" t="s">
        <v>1174</v>
      </c>
      <c r="D2869" t="str">
        <f>"003"</f>
        <v>003</v>
      </c>
      <c r="E2869">
        <v>2017</v>
      </c>
      <c r="F2869">
        <v>708100</v>
      </c>
      <c r="G2869">
        <v>17900500</v>
      </c>
      <c r="H2869">
        <v>17192400</v>
      </c>
    </row>
    <row r="2870" spans="1:9" x14ac:dyDescent="0.25">
      <c r="A2870" t="str">
        <f>"59165"</f>
        <v>59165</v>
      </c>
      <c r="B2870" t="s">
        <v>35</v>
      </c>
      <c r="C2870" t="s">
        <v>1174</v>
      </c>
      <c r="D2870" t="s">
        <v>13</v>
      </c>
      <c r="E2870" t="s">
        <v>14</v>
      </c>
      <c r="F2870" t="s">
        <v>15</v>
      </c>
      <c r="G2870" t="s">
        <v>15</v>
      </c>
      <c r="H2870" t="s">
        <v>15</v>
      </c>
      <c r="I2870" s="1">
        <v>195102300</v>
      </c>
    </row>
    <row r="2871" spans="1:9" x14ac:dyDescent="0.25">
      <c r="A2871" t="str">
        <f>"59176"</f>
        <v>59176</v>
      </c>
      <c r="B2871" t="s">
        <v>35</v>
      </c>
      <c r="C2871" t="s">
        <v>1175</v>
      </c>
      <c r="D2871" t="str">
        <f>"003"</f>
        <v>003</v>
      </c>
      <c r="E2871">
        <v>2014</v>
      </c>
      <c r="F2871">
        <v>1397100</v>
      </c>
      <c r="G2871">
        <v>2810100</v>
      </c>
      <c r="H2871">
        <v>1413000</v>
      </c>
    </row>
    <row r="2872" spans="1:9" x14ac:dyDescent="0.25">
      <c r="A2872" t="str">
        <f>"59176"</f>
        <v>59176</v>
      </c>
      <c r="B2872" t="s">
        <v>35</v>
      </c>
      <c r="C2872" t="s">
        <v>1175</v>
      </c>
      <c r="D2872" t="s">
        <v>13</v>
      </c>
      <c r="E2872" t="s">
        <v>14</v>
      </c>
      <c r="F2872" t="s">
        <v>15</v>
      </c>
      <c r="G2872" t="s">
        <v>15</v>
      </c>
      <c r="H2872" t="s">
        <v>15</v>
      </c>
      <c r="I2872" s="1">
        <v>152724100</v>
      </c>
    </row>
    <row r="2873" spans="1:9" x14ac:dyDescent="0.25">
      <c r="A2873" t="str">
        <f>"59191"</f>
        <v>59191</v>
      </c>
      <c r="B2873" t="s">
        <v>35</v>
      </c>
      <c r="C2873" t="s">
        <v>1176</v>
      </c>
      <c r="D2873" t="s">
        <v>13</v>
      </c>
      <c r="E2873" t="s">
        <v>14</v>
      </c>
      <c r="F2873" t="s">
        <v>15</v>
      </c>
      <c r="G2873" t="s">
        <v>15</v>
      </c>
      <c r="H2873" t="s">
        <v>15</v>
      </c>
      <c r="I2873" s="1">
        <v>35517900</v>
      </c>
    </row>
    <row r="2874" spans="1:9" x14ac:dyDescent="0.25">
      <c r="A2874" t="s">
        <v>32</v>
      </c>
      <c r="B2874" t="s">
        <v>37</v>
      </c>
      <c r="C2874" t="s">
        <v>34</v>
      </c>
      <c r="D2874" t="s">
        <v>13</v>
      </c>
      <c r="E2874" t="s">
        <v>14</v>
      </c>
      <c r="F2874" t="s">
        <v>15</v>
      </c>
      <c r="G2874" t="s">
        <v>15</v>
      </c>
      <c r="H2874" t="s">
        <v>15</v>
      </c>
      <c r="I2874" s="1">
        <v>1692264300</v>
      </c>
    </row>
    <row r="2875" spans="1:9" x14ac:dyDescent="0.25">
      <c r="A2875" t="str">
        <f>"59271"</f>
        <v>59271</v>
      </c>
      <c r="B2875" t="s">
        <v>38</v>
      </c>
      <c r="C2875" t="s">
        <v>631</v>
      </c>
      <c r="D2875" t="str">
        <f>"004"</f>
        <v>004</v>
      </c>
      <c r="E2875">
        <v>2001</v>
      </c>
      <c r="F2875">
        <v>17503300</v>
      </c>
      <c r="G2875">
        <v>138319400</v>
      </c>
      <c r="H2875">
        <v>120816100</v>
      </c>
    </row>
    <row r="2876" spans="1:9" x14ac:dyDescent="0.25">
      <c r="A2876" t="str">
        <f>"59271"</f>
        <v>59271</v>
      </c>
      <c r="B2876" t="s">
        <v>38</v>
      </c>
      <c r="C2876" t="s">
        <v>631</v>
      </c>
      <c r="D2876" t="str">
        <f>"005"</f>
        <v>005</v>
      </c>
      <c r="E2876">
        <v>2008</v>
      </c>
      <c r="F2876">
        <v>16600500</v>
      </c>
      <c r="G2876">
        <v>31370700</v>
      </c>
      <c r="H2876">
        <v>14770200</v>
      </c>
    </row>
    <row r="2877" spans="1:9" x14ac:dyDescent="0.25">
      <c r="A2877" t="str">
        <f>"59271"</f>
        <v>59271</v>
      </c>
      <c r="B2877" t="s">
        <v>38</v>
      </c>
      <c r="C2877" t="s">
        <v>631</v>
      </c>
      <c r="D2877" t="str">
        <f>"006"</f>
        <v>006</v>
      </c>
      <c r="E2877">
        <v>2011</v>
      </c>
      <c r="F2877">
        <v>42600</v>
      </c>
      <c r="G2877">
        <v>7772500</v>
      </c>
      <c r="H2877">
        <v>7729900</v>
      </c>
    </row>
    <row r="2878" spans="1:9" x14ac:dyDescent="0.25">
      <c r="A2878" t="str">
        <f>"59271"</f>
        <v>59271</v>
      </c>
      <c r="B2878" t="s">
        <v>38</v>
      </c>
      <c r="C2878" t="s">
        <v>631</v>
      </c>
      <c r="D2878" t="s">
        <v>13</v>
      </c>
      <c r="E2878" t="s">
        <v>14</v>
      </c>
      <c r="F2878" t="s">
        <v>15</v>
      </c>
      <c r="G2878" t="s">
        <v>15</v>
      </c>
      <c r="H2878" t="s">
        <v>15</v>
      </c>
      <c r="I2878" s="1">
        <v>667593300</v>
      </c>
    </row>
    <row r="2879" spans="1:9" x14ac:dyDescent="0.25">
      <c r="A2879" t="str">
        <f t="shared" ref="A2879:A2891" si="65">"59281"</f>
        <v>59281</v>
      </c>
      <c r="B2879" t="s">
        <v>38</v>
      </c>
      <c r="C2879" t="s">
        <v>1165</v>
      </c>
      <c r="D2879" t="str">
        <f>"001E"</f>
        <v>001E</v>
      </c>
      <c r="E2879">
        <v>2003</v>
      </c>
      <c r="F2879">
        <v>1864600</v>
      </c>
      <c r="G2879">
        <v>6897300</v>
      </c>
      <c r="H2879">
        <v>5032700</v>
      </c>
    </row>
    <row r="2880" spans="1:9" x14ac:dyDescent="0.25">
      <c r="A2880" t="str">
        <f t="shared" si="65"/>
        <v>59281</v>
      </c>
      <c r="B2880" t="s">
        <v>38</v>
      </c>
      <c r="C2880" t="s">
        <v>1165</v>
      </c>
      <c r="D2880" t="str">
        <f>"006"</f>
        <v>006</v>
      </c>
      <c r="E2880">
        <v>1992</v>
      </c>
      <c r="F2880">
        <v>19579000</v>
      </c>
      <c r="G2880">
        <v>75418900</v>
      </c>
      <c r="H2880">
        <v>55839900</v>
      </c>
    </row>
    <row r="2881" spans="1:9" x14ac:dyDescent="0.25">
      <c r="A2881" t="str">
        <f t="shared" si="65"/>
        <v>59281</v>
      </c>
      <c r="B2881" t="s">
        <v>38</v>
      </c>
      <c r="C2881" t="s">
        <v>1165</v>
      </c>
      <c r="D2881" t="str">
        <f>"010"</f>
        <v>010</v>
      </c>
      <c r="E2881">
        <v>1997</v>
      </c>
      <c r="F2881">
        <v>3250600</v>
      </c>
      <c r="G2881">
        <v>14827900</v>
      </c>
      <c r="H2881">
        <v>11577300</v>
      </c>
    </row>
    <row r="2882" spans="1:9" x14ac:dyDescent="0.25">
      <c r="A2882" t="str">
        <f t="shared" si="65"/>
        <v>59281</v>
      </c>
      <c r="B2882" t="s">
        <v>38</v>
      </c>
      <c r="C2882" t="s">
        <v>1165</v>
      </c>
      <c r="D2882" t="str">
        <f>"011"</f>
        <v>011</v>
      </c>
      <c r="E2882">
        <v>1998</v>
      </c>
      <c r="F2882">
        <v>3386200</v>
      </c>
      <c r="G2882">
        <v>31667300</v>
      </c>
      <c r="H2882">
        <v>28281100</v>
      </c>
    </row>
    <row r="2883" spans="1:9" x14ac:dyDescent="0.25">
      <c r="A2883" t="str">
        <f t="shared" si="65"/>
        <v>59281</v>
      </c>
      <c r="B2883" t="s">
        <v>38</v>
      </c>
      <c r="C2883" t="s">
        <v>1165</v>
      </c>
      <c r="D2883" t="str">
        <f>"012"</f>
        <v>012</v>
      </c>
      <c r="E2883">
        <v>2000</v>
      </c>
      <c r="F2883">
        <v>3825700</v>
      </c>
      <c r="G2883">
        <v>11650400</v>
      </c>
      <c r="H2883">
        <v>7824700</v>
      </c>
    </row>
    <row r="2884" spans="1:9" x14ac:dyDescent="0.25">
      <c r="A2884" t="str">
        <f t="shared" si="65"/>
        <v>59281</v>
      </c>
      <c r="B2884" t="s">
        <v>38</v>
      </c>
      <c r="C2884" t="s">
        <v>1165</v>
      </c>
      <c r="D2884" t="str">
        <f>"013"</f>
        <v>013</v>
      </c>
      <c r="E2884">
        <v>2006</v>
      </c>
      <c r="F2884">
        <v>294400</v>
      </c>
      <c r="G2884">
        <v>17038100</v>
      </c>
      <c r="H2884">
        <v>16743700</v>
      </c>
    </row>
    <row r="2885" spans="1:9" x14ac:dyDescent="0.25">
      <c r="A2885" t="str">
        <f t="shared" si="65"/>
        <v>59281</v>
      </c>
      <c r="B2885" t="s">
        <v>38</v>
      </c>
      <c r="C2885" t="s">
        <v>1165</v>
      </c>
      <c r="D2885" t="str">
        <f>"014"</f>
        <v>014</v>
      </c>
      <c r="E2885">
        <v>2011</v>
      </c>
      <c r="F2885">
        <v>21193800</v>
      </c>
      <c r="G2885">
        <v>55619500</v>
      </c>
      <c r="H2885">
        <v>34425700</v>
      </c>
    </row>
    <row r="2886" spans="1:9" x14ac:dyDescent="0.25">
      <c r="A2886" t="str">
        <f t="shared" si="65"/>
        <v>59281</v>
      </c>
      <c r="B2886" t="s">
        <v>38</v>
      </c>
      <c r="C2886" t="s">
        <v>1165</v>
      </c>
      <c r="D2886" t="str">
        <f>"015"</f>
        <v>015</v>
      </c>
      <c r="E2886">
        <v>2011</v>
      </c>
      <c r="F2886">
        <v>12434900</v>
      </c>
      <c r="G2886">
        <v>20064100</v>
      </c>
      <c r="H2886">
        <v>7629200</v>
      </c>
    </row>
    <row r="2887" spans="1:9" x14ac:dyDescent="0.25">
      <c r="A2887" t="str">
        <f t="shared" si="65"/>
        <v>59281</v>
      </c>
      <c r="B2887" t="s">
        <v>38</v>
      </c>
      <c r="C2887" t="s">
        <v>1165</v>
      </c>
      <c r="D2887" t="str">
        <f>"016"</f>
        <v>016</v>
      </c>
      <c r="E2887">
        <v>2015</v>
      </c>
      <c r="F2887">
        <v>22459200</v>
      </c>
      <c r="G2887">
        <v>44128600</v>
      </c>
      <c r="H2887">
        <v>21669400</v>
      </c>
    </row>
    <row r="2888" spans="1:9" x14ac:dyDescent="0.25">
      <c r="A2888" t="str">
        <f t="shared" si="65"/>
        <v>59281</v>
      </c>
      <c r="B2888" t="s">
        <v>38</v>
      </c>
      <c r="C2888" t="s">
        <v>1165</v>
      </c>
      <c r="D2888" t="str">
        <f>"017"</f>
        <v>017</v>
      </c>
      <c r="E2888">
        <v>2018</v>
      </c>
      <c r="F2888">
        <v>34021700</v>
      </c>
      <c r="G2888">
        <v>36021000</v>
      </c>
      <c r="H2888">
        <v>1999300</v>
      </c>
    </row>
    <row r="2889" spans="1:9" x14ac:dyDescent="0.25">
      <c r="A2889" t="str">
        <f t="shared" si="65"/>
        <v>59281</v>
      </c>
      <c r="B2889" t="s">
        <v>38</v>
      </c>
      <c r="C2889" t="s">
        <v>1165</v>
      </c>
      <c r="D2889" t="str">
        <f>"018"</f>
        <v>018</v>
      </c>
      <c r="E2889">
        <v>2018</v>
      </c>
      <c r="F2889">
        <v>12444400</v>
      </c>
      <c r="G2889">
        <v>16440100</v>
      </c>
      <c r="H2889">
        <v>3995700</v>
      </c>
    </row>
    <row r="2890" spans="1:9" x14ac:dyDescent="0.25">
      <c r="A2890" t="str">
        <f t="shared" si="65"/>
        <v>59281</v>
      </c>
      <c r="B2890" t="s">
        <v>38</v>
      </c>
      <c r="C2890" t="s">
        <v>1165</v>
      </c>
      <c r="D2890" t="str">
        <f>"019"</f>
        <v>019</v>
      </c>
      <c r="E2890">
        <v>2018</v>
      </c>
      <c r="F2890">
        <v>3399200</v>
      </c>
      <c r="G2890">
        <v>3339900</v>
      </c>
      <c r="H2890">
        <v>0</v>
      </c>
    </row>
    <row r="2891" spans="1:9" x14ac:dyDescent="0.25">
      <c r="A2891" t="str">
        <f t="shared" si="65"/>
        <v>59281</v>
      </c>
      <c r="B2891" t="s">
        <v>38</v>
      </c>
      <c r="C2891" t="s">
        <v>1165</v>
      </c>
      <c r="D2891" t="s">
        <v>13</v>
      </c>
      <c r="E2891" t="s">
        <v>14</v>
      </c>
      <c r="F2891" t="s">
        <v>15</v>
      </c>
      <c r="G2891" t="s">
        <v>15</v>
      </c>
      <c r="H2891" t="s">
        <v>15</v>
      </c>
      <c r="I2891" s="1">
        <v>2724220600</v>
      </c>
    </row>
    <row r="2892" spans="1:9" x14ac:dyDescent="0.25">
      <c r="A2892" t="str">
        <f>"59282"</f>
        <v>59282</v>
      </c>
      <c r="B2892" t="s">
        <v>38</v>
      </c>
      <c r="C2892" t="s">
        <v>1166</v>
      </c>
      <c r="D2892" t="str">
        <f>"003"</f>
        <v>003</v>
      </c>
      <c r="E2892">
        <v>1994</v>
      </c>
      <c r="F2892">
        <v>6188300</v>
      </c>
      <c r="G2892">
        <v>28083200</v>
      </c>
      <c r="H2892">
        <v>21894900</v>
      </c>
    </row>
    <row r="2893" spans="1:9" x14ac:dyDescent="0.25">
      <c r="A2893" t="str">
        <f>"59282"</f>
        <v>59282</v>
      </c>
      <c r="B2893" t="s">
        <v>38</v>
      </c>
      <c r="C2893" t="s">
        <v>1166</v>
      </c>
      <c r="D2893" t="str">
        <f>"004"</f>
        <v>004</v>
      </c>
      <c r="E2893">
        <v>2016</v>
      </c>
      <c r="F2893">
        <v>2510100</v>
      </c>
      <c r="G2893">
        <v>9841100</v>
      </c>
      <c r="H2893">
        <v>7331000</v>
      </c>
    </row>
    <row r="2894" spans="1:9" x14ac:dyDescent="0.25">
      <c r="A2894" t="str">
        <f>"59282"</f>
        <v>59282</v>
      </c>
      <c r="B2894" t="s">
        <v>38</v>
      </c>
      <c r="C2894" t="s">
        <v>1166</v>
      </c>
      <c r="D2894" t="str">
        <f>"005"</f>
        <v>005</v>
      </c>
      <c r="E2894">
        <v>2018</v>
      </c>
      <c r="F2894">
        <v>1233100</v>
      </c>
      <c r="G2894">
        <v>2003800</v>
      </c>
      <c r="H2894">
        <v>770700</v>
      </c>
    </row>
    <row r="2895" spans="1:9" x14ac:dyDescent="0.25">
      <c r="A2895" t="str">
        <f>"59282"</f>
        <v>59282</v>
      </c>
      <c r="B2895" t="s">
        <v>38</v>
      </c>
      <c r="C2895" t="s">
        <v>1166</v>
      </c>
      <c r="D2895" t="s">
        <v>13</v>
      </c>
      <c r="E2895" t="s">
        <v>14</v>
      </c>
      <c r="F2895" t="s">
        <v>15</v>
      </c>
      <c r="G2895" t="s">
        <v>15</v>
      </c>
      <c r="H2895" t="s">
        <v>15</v>
      </c>
      <c r="I2895" s="1">
        <v>641226200</v>
      </c>
    </row>
    <row r="2896" spans="1:9" x14ac:dyDescent="0.25">
      <c r="A2896" t="s">
        <v>32</v>
      </c>
      <c r="B2896" t="s">
        <v>40</v>
      </c>
      <c r="C2896" t="s">
        <v>34</v>
      </c>
      <c r="D2896" t="s">
        <v>13</v>
      </c>
      <c r="E2896" t="s">
        <v>14</v>
      </c>
      <c r="F2896" t="s">
        <v>15</v>
      </c>
      <c r="G2896" t="s">
        <v>15</v>
      </c>
      <c r="H2896" t="s">
        <v>15</v>
      </c>
      <c r="I2896" s="1">
        <v>4033040100</v>
      </c>
    </row>
    <row r="2897" spans="1:9" x14ac:dyDescent="0.25">
      <c r="A2897" t="s">
        <v>32</v>
      </c>
      <c r="B2897" t="s">
        <v>41</v>
      </c>
      <c r="C2897" t="s">
        <v>1165</v>
      </c>
      <c r="D2897" t="s">
        <v>13</v>
      </c>
      <c r="E2897" t="s">
        <v>14</v>
      </c>
      <c r="F2897" t="s">
        <v>15</v>
      </c>
      <c r="G2897" t="s">
        <v>15</v>
      </c>
      <c r="H2897" t="s">
        <v>15</v>
      </c>
      <c r="I2897" s="1">
        <v>9684428600</v>
      </c>
    </row>
    <row r="2898" spans="1:9" x14ac:dyDescent="0.25">
      <c r="A2898" t="str">
        <f>"60002"</f>
        <v>60002</v>
      </c>
      <c r="B2898" t="s">
        <v>11</v>
      </c>
      <c r="C2898" t="s">
        <v>448</v>
      </c>
      <c r="D2898" t="s">
        <v>13</v>
      </c>
      <c r="E2898" t="s">
        <v>14</v>
      </c>
      <c r="F2898" t="s">
        <v>15</v>
      </c>
      <c r="G2898" t="s">
        <v>15</v>
      </c>
      <c r="H2898" t="s">
        <v>15</v>
      </c>
      <c r="I2898" s="1">
        <v>30993300</v>
      </c>
    </row>
    <row r="2899" spans="1:9" x14ac:dyDescent="0.25">
      <c r="A2899" t="str">
        <f>"60004"</f>
        <v>60004</v>
      </c>
      <c r="B2899" t="s">
        <v>11</v>
      </c>
      <c r="C2899" t="s">
        <v>1177</v>
      </c>
      <c r="D2899" t="s">
        <v>13</v>
      </c>
      <c r="E2899" t="s">
        <v>14</v>
      </c>
      <c r="F2899" t="s">
        <v>15</v>
      </c>
      <c r="G2899" t="s">
        <v>15</v>
      </c>
      <c r="H2899" t="s">
        <v>15</v>
      </c>
      <c r="I2899" s="1">
        <v>63165600</v>
      </c>
    </row>
    <row r="2900" spans="1:9" x14ac:dyDescent="0.25">
      <c r="A2900" t="str">
        <f>"60006"</f>
        <v>60006</v>
      </c>
      <c r="B2900" t="s">
        <v>11</v>
      </c>
      <c r="C2900" t="s">
        <v>1178</v>
      </c>
      <c r="D2900" t="s">
        <v>13</v>
      </c>
      <c r="E2900" t="s">
        <v>14</v>
      </c>
      <c r="F2900" t="s">
        <v>15</v>
      </c>
      <c r="G2900" t="s">
        <v>15</v>
      </c>
      <c r="H2900" t="s">
        <v>15</v>
      </c>
      <c r="I2900" s="1">
        <v>65490800</v>
      </c>
    </row>
    <row r="2901" spans="1:9" x14ac:dyDescent="0.25">
      <c r="A2901" t="str">
        <f>"60008"</f>
        <v>60008</v>
      </c>
      <c r="B2901" t="s">
        <v>11</v>
      </c>
      <c r="C2901" t="s">
        <v>193</v>
      </c>
      <c r="D2901" t="s">
        <v>13</v>
      </c>
      <c r="E2901" t="s">
        <v>14</v>
      </c>
      <c r="F2901" t="s">
        <v>15</v>
      </c>
      <c r="G2901" t="s">
        <v>15</v>
      </c>
      <c r="H2901" t="s">
        <v>15</v>
      </c>
      <c r="I2901" s="1">
        <v>22251500</v>
      </c>
    </row>
    <row r="2902" spans="1:9" x14ac:dyDescent="0.25">
      <c r="A2902" t="str">
        <f>"60010"</f>
        <v>60010</v>
      </c>
      <c r="B2902" t="s">
        <v>11</v>
      </c>
      <c r="C2902" t="s">
        <v>900</v>
      </c>
      <c r="D2902" t="s">
        <v>13</v>
      </c>
      <c r="E2902" t="s">
        <v>14</v>
      </c>
      <c r="F2902" t="s">
        <v>15</v>
      </c>
      <c r="G2902" t="s">
        <v>15</v>
      </c>
      <c r="H2902" t="s">
        <v>15</v>
      </c>
      <c r="I2902" s="1">
        <v>47097800</v>
      </c>
    </row>
    <row r="2903" spans="1:9" x14ac:dyDescent="0.25">
      <c r="A2903" t="str">
        <f>"60012"</f>
        <v>60012</v>
      </c>
      <c r="B2903" t="s">
        <v>11</v>
      </c>
      <c r="C2903" t="s">
        <v>1179</v>
      </c>
      <c r="D2903" t="s">
        <v>13</v>
      </c>
      <c r="E2903" t="s">
        <v>14</v>
      </c>
      <c r="F2903" t="s">
        <v>15</v>
      </c>
      <c r="G2903" t="s">
        <v>15</v>
      </c>
      <c r="H2903" t="s">
        <v>15</v>
      </c>
      <c r="I2903" s="1">
        <v>23958700</v>
      </c>
    </row>
    <row r="2904" spans="1:9" x14ac:dyDescent="0.25">
      <c r="A2904" t="str">
        <f>"60014"</f>
        <v>60014</v>
      </c>
      <c r="B2904" t="s">
        <v>11</v>
      </c>
      <c r="C2904" t="s">
        <v>1180</v>
      </c>
      <c r="D2904" t="s">
        <v>13</v>
      </c>
      <c r="E2904" t="s">
        <v>14</v>
      </c>
      <c r="F2904" t="s">
        <v>15</v>
      </c>
      <c r="G2904" t="s">
        <v>15</v>
      </c>
      <c r="H2904" t="s">
        <v>15</v>
      </c>
      <c r="I2904" s="1">
        <v>38739600</v>
      </c>
    </row>
    <row r="2905" spans="1:9" x14ac:dyDescent="0.25">
      <c r="A2905" t="str">
        <f>"60016"</f>
        <v>60016</v>
      </c>
      <c r="B2905" t="s">
        <v>11</v>
      </c>
      <c r="C2905" t="s">
        <v>249</v>
      </c>
      <c r="D2905" t="s">
        <v>13</v>
      </c>
      <c r="E2905" t="s">
        <v>14</v>
      </c>
      <c r="F2905" t="s">
        <v>15</v>
      </c>
      <c r="G2905" t="s">
        <v>15</v>
      </c>
      <c r="H2905" t="s">
        <v>15</v>
      </c>
      <c r="I2905" s="1">
        <v>56639900</v>
      </c>
    </row>
    <row r="2906" spans="1:9" x14ac:dyDescent="0.25">
      <c r="A2906" t="str">
        <f>"60018"</f>
        <v>60018</v>
      </c>
      <c r="B2906" t="s">
        <v>11</v>
      </c>
      <c r="C2906" t="s">
        <v>787</v>
      </c>
      <c r="D2906" t="s">
        <v>13</v>
      </c>
      <c r="E2906" t="s">
        <v>14</v>
      </c>
      <c r="F2906" t="s">
        <v>15</v>
      </c>
      <c r="G2906" t="s">
        <v>15</v>
      </c>
      <c r="H2906" t="s">
        <v>15</v>
      </c>
      <c r="I2906" s="1">
        <v>36749200</v>
      </c>
    </row>
    <row r="2907" spans="1:9" x14ac:dyDescent="0.25">
      <c r="A2907" t="str">
        <f>"60020"</f>
        <v>60020</v>
      </c>
      <c r="B2907" t="s">
        <v>11</v>
      </c>
      <c r="C2907" t="s">
        <v>1181</v>
      </c>
      <c r="D2907" t="s">
        <v>13</v>
      </c>
      <c r="E2907" t="s">
        <v>14</v>
      </c>
      <c r="F2907" t="s">
        <v>15</v>
      </c>
      <c r="G2907" t="s">
        <v>15</v>
      </c>
      <c r="H2907" t="s">
        <v>15</v>
      </c>
      <c r="I2907" s="1">
        <v>71356500</v>
      </c>
    </row>
    <row r="2908" spans="1:9" x14ac:dyDescent="0.25">
      <c r="A2908" t="str">
        <f>"60022"</f>
        <v>60022</v>
      </c>
      <c r="B2908" t="s">
        <v>11</v>
      </c>
      <c r="C2908" t="s">
        <v>1182</v>
      </c>
      <c r="D2908" t="s">
        <v>13</v>
      </c>
      <c r="E2908" t="s">
        <v>14</v>
      </c>
      <c r="F2908" t="s">
        <v>15</v>
      </c>
      <c r="G2908" t="s">
        <v>15</v>
      </c>
      <c r="H2908" t="s">
        <v>15</v>
      </c>
      <c r="I2908" s="1">
        <v>44794800</v>
      </c>
    </row>
    <row r="2909" spans="1:9" x14ac:dyDescent="0.25">
      <c r="A2909" t="str">
        <f>"60024"</f>
        <v>60024</v>
      </c>
      <c r="B2909" t="s">
        <v>11</v>
      </c>
      <c r="C2909" t="s">
        <v>1183</v>
      </c>
      <c r="D2909" t="s">
        <v>13</v>
      </c>
      <c r="E2909" t="s">
        <v>14</v>
      </c>
      <c r="F2909" t="s">
        <v>15</v>
      </c>
      <c r="G2909" t="s">
        <v>15</v>
      </c>
      <c r="H2909" t="s">
        <v>15</v>
      </c>
      <c r="I2909" s="1">
        <v>23445200</v>
      </c>
    </row>
    <row r="2910" spans="1:9" x14ac:dyDescent="0.25">
      <c r="A2910" t="str">
        <f>"60026"</f>
        <v>60026</v>
      </c>
      <c r="B2910" t="s">
        <v>11</v>
      </c>
      <c r="C2910" t="s">
        <v>1184</v>
      </c>
      <c r="D2910" t="s">
        <v>13</v>
      </c>
      <c r="E2910" t="s">
        <v>14</v>
      </c>
      <c r="F2910" t="s">
        <v>15</v>
      </c>
      <c r="G2910" t="s">
        <v>15</v>
      </c>
      <c r="H2910" t="s">
        <v>15</v>
      </c>
      <c r="I2910" s="1">
        <v>69823500</v>
      </c>
    </row>
    <row r="2911" spans="1:9" x14ac:dyDescent="0.25">
      <c r="A2911" t="str">
        <f>"60028"</f>
        <v>60028</v>
      </c>
      <c r="B2911" t="s">
        <v>11</v>
      </c>
      <c r="C2911" t="s">
        <v>1185</v>
      </c>
      <c r="D2911" t="s">
        <v>13</v>
      </c>
      <c r="E2911" t="s">
        <v>14</v>
      </c>
      <c r="F2911" t="s">
        <v>15</v>
      </c>
      <c r="G2911" t="s">
        <v>15</v>
      </c>
      <c r="H2911" t="s">
        <v>15</v>
      </c>
      <c r="I2911" s="1">
        <v>29517100</v>
      </c>
    </row>
    <row r="2912" spans="1:9" x14ac:dyDescent="0.25">
      <c r="A2912" t="str">
        <f>"60030"</f>
        <v>60030</v>
      </c>
      <c r="B2912" t="s">
        <v>11</v>
      </c>
      <c r="C2912" t="s">
        <v>963</v>
      </c>
      <c r="D2912" t="s">
        <v>13</v>
      </c>
      <c r="E2912" t="s">
        <v>14</v>
      </c>
      <c r="F2912" t="s">
        <v>15</v>
      </c>
      <c r="G2912" t="s">
        <v>15</v>
      </c>
      <c r="H2912" t="s">
        <v>15</v>
      </c>
      <c r="I2912" s="1">
        <v>31162300</v>
      </c>
    </row>
    <row r="2913" spans="1:9" x14ac:dyDescent="0.25">
      <c r="A2913" t="str">
        <f>"60032"</f>
        <v>60032</v>
      </c>
      <c r="B2913" t="s">
        <v>11</v>
      </c>
      <c r="C2913" t="s">
        <v>1186</v>
      </c>
      <c r="D2913" t="s">
        <v>13</v>
      </c>
      <c r="E2913" t="s">
        <v>14</v>
      </c>
      <c r="F2913" t="s">
        <v>15</v>
      </c>
      <c r="G2913" t="s">
        <v>15</v>
      </c>
      <c r="H2913" t="s">
        <v>15</v>
      </c>
      <c r="I2913" s="1">
        <v>174626600</v>
      </c>
    </row>
    <row r="2914" spans="1:9" x14ac:dyDescent="0.25">
      <c r="A2914" t="str">
        <f>"60034"</f>
        <v>60034</v>
      </c>
      <c r="B2914" t="s">
        <v>11</v>
      </c>
      <c r="C2914" t="s">
        <v>1187</v>
      </c>
      <c r="D2914" t="s">
        <v>13</v>
      </c>
      <c r="E2914" t="s">
        <v>14</v>
      </c>
      <c r="F2914" t="s">
        <v>15</v>
      </c>
      <c r="G2914" t="s">
        <v>15</v>
      </c>
      <c r="H2914" t="s">
        <v>15</v>
      </c>
      <c r="I2914" s="1">
        <v>44165100</v>
      </c>
    </row>
    <row r="2915" spans="1:9" x14ac:dyDescent="0.25">
      <c r="A2915" t="str">
        <f>"60036"</f>
        <v>60036</v>
      </c>
      <c r="B2915" t="s">
        <v>11</v>
      </c>
      <c r="C2915" t="s">
        <v>1188</v>
      </c>
      <c r="D2915" t="s">
        <v>13</v>
      </c>
      <c r="E2915" t="s">
        <v>14</v>
      </c>
      <c r="F2915" t="s">
        <v>15</v>
      </c>
      <c r="G2915" t="s">
        <v>15</v>
      </c>
      <c r="H2915" t="s">
        <v>15</v>
      </c>
      <c r="I2915" s="1">
        <v>19212000</v>
      </c>
    </row>
    <row r="2916" spans="1:9" x14ac:dyDescent="0.25">
      <c r="A2916" t="str">
        <f>"60038"</f>
        <v>60038</v>
      </c>
      <c r="B2916" t="s">
        <v>11</v>
      </c>
      <c r="C2916" t="s">
        <v>1189</v>
      </c>
      <c r="D2916" t="s">
        <v>13</v>
      </c>
      <c r="E2916" t="s">
        <v>14</v>
      </c>
      <c r="F2916" t="s">
        <v>15</v>
      </c>
      <c r="G2916" t="s">
        <v>15</v>
      </c>
      <c r="H2916" t="s">
        <v>15</v>
      </c>
      <c r="I2916" s="1">
        <v>81042700</v>
      </c>
    </row>
    <row r="2917" spans="1:9" x14ac:dyDescent="0.25">
      <c r="A2917" t="str">
        <f>"60040"</f>
        <v>60040</v>
      </c>
      <c r="B2917" t="s">
        <v>11</v>
      </c>
      <c r="C2917" t="s">
        <v>159</v>
      </c>
      <c r="D2917" t="s">
        <v>13</v>
      </c>
      <c r="E2917" t="s">
        <v>14</v>
      </c>
      <c r="F2917" t="s">
        <v>15</v>
      </c>
      <c r="G2917" t="s">
        <v>15</v>
      </c>
      <c r="H2917" t="s">
        <v>15</v>
      </c>
      <c r="I2917" s="1">
        <v>34870200</v>
      </c>
    </row>
    <row r="2918" spans="1:9" x14ac:dyDescent="0.25">
      <c r="A2918" t="str">
        <f>"60042"</f>
        <v>60042</v>
      </c>
      <c r="B2918" t="s">
        <v>11</v>
      </c>
      <c r="C2918" t="s">
        <v>1190</v>
      </c>
      <c r="D2918" t="s">
        <v>13</v>
      </c>
      <c r="E2918" t="s">
        <v>14</v>
      </c>
      <c r="F2918" t="s">
        <v>15</v>
      </c>
      <c r="G2918" t="s">
        <v>15</v>
      </c>
      <c r="H2918" t="s">
        <v>15</v>
      </c>
      <c r="I2918" s="1">
        <v>35025400</v>
      </c>
    </row>
    <row r="2919" spans="1:9" x14ac:dyDescent="0.25">
      <c r="A2919" t="str">
        <f>"60044"</f>
        <v>60044</v>
      </c>
      <c r="B2919" t="s">
        <v>11</v>
      </c>
      <c r="C2919" t="s">
        <v>1191</v>
      </c>
      <c r="D2919" t="s">
        <v>13</v>
      </c>
      <c r="E2919" t="s">
        <v>14</v>
      </c>
      <c r="F2919" t="s">
        <v>15</v>
      </c>
      <c r="G2919" t="s">
        <v>15</v>
      </c>
      <c r="H2919" t="s">
        <v>15</v>
      </c>
      <c r="I2919" s="1">
        <v>67993800</v>
      </c>
    </row>
    <row r="2920" spans="1:9" x14ac:dyDescent="0.25">
      <c r="A2920" t="s">
        <v>32</v>
      </c>
      <c r="B2920" t="s">
        <v>33</v>
      </c>
      <c r="C2920" t="s">
        <v>34</v>
      </c>
      <c r="D2920" t="s">
        <v>13</v>
      </c>
      <c r="E2920" t="s">
        <v>14</v>
      </c>
      <c r="F2920" t="s">
        <v>15</v>
      </c>
      <c r="G2920" t="s">
        <v>15</v>
      </c>
      <c r="H2920" t="s">
        <v>15</v>
      </c>
      <c r="I2920" s="1">
        <v>1112121600</v>
      </c>
    </row>
    <row r="2921" spans="1:9" x14ac:dyDescent="0.25">
      <c r="A2921" t="str">
        <f>"60131"</f>
        <v>60131</v>
      </c>
      <c r="B2921" t="s">
        <v>35</v>
      </c>
      <c r="C2921" t="s">
        <v>935</v>
      </c>
      <c r="D2921" t="s">
        <v>13</v>
      </c>
      <c r="E2921" t="s">
        <v>14</v>
      </c>
      <c r="F2921" t="s">
        <v>15</v>
      </c>
      <c r="G2921" t="s">
        <v>15</v>
      </c>
      <c r="H2921" t="s">
        <v>15</v>
      </c>
      <c r="I2921" s="1">
        <v>19417000</v>
      </c>
    </row>
    <row r="2922" spans="1:9" x14ac:dyDescent="0.25">
      <c r="A2922" t="str">
        <f>"60146"</f>
        <v>60146</v>
      </c>
      <c r="B2922" t="s">
        <v>35</v>
      </c>
      <c r="C2922" t="s">
        <v>1192</v>
      </c>
      <c r="D2922" t="s">
        <v>13</v>
      </c>
      <c r="E2922" t="s">
        <v>14</v>
      </c>
      <c r="F2922" t="s">
        <v>15</v>
      </c>
      <c r="G2922" t="s">
        <v>15</v>
      </c>
      <c r="H2922" t="s">
        <v>15</v>
      </c>
      <c r="I2922" s="1">
        <v>3815000</v>
      </c>
    </row>
    <row r="2923" spans="1:9" x14ac:dyDescent="0.25">
      <c r="A2923" t="str">
        <f>"60176"</f>
        <v>60176</v>
      </c>
      <c r="B2923" t="s">
        <v>35</v>
      </c>
      <c r="C2923" t="s">
        <v>1189</v>
      </c>
      <c r="D2923" t="str">
        <f>"001"</f>
        <v>001</v>
      </c>
      <c r="E2923">
        <v>1995</v>
      </c>
      <c r="F2923">
        <v>796200</v>
      </c>
      <c r="G2923">
        <v>1907200</v>
      </c>
      <c r="H2923">
        <v>1111000</v>
      </c>
    </row>
    <row r="2924" spans="1:9" x14ac:dyDescent="0.25">
      <c r="A2924" t="str">
        <f>"60176"</f>
        <v>60176</v>
      </c>
      <c r="B2924" t="s">
        <v>35</v>
      </c>
      <c r="C2924" t="s">
        <v>1189</v>
      </c>
      <c r="D2924" t="s">
        <v>13</v>
      </c>
      <c r="E2924" t="s">
        <v>14</v>
      </c>
      <c r="F2924" t="s">
        <v>15</v>
      </c>
      <c r="G2924" t="s">
        <v>15</v>
      </c>
      <c r="H2924" t="s">
        <v>15</v>
      </c>
      <c r="I2924" s="1">
        <v>33843900</v>
      </c>
    </row>
    <row r="2925" spans="1:9" x14ac:dyDescent="0.25">
      <c r="A2925" t="str">
        <f>"60181"</f>
        <v>60181</v>
      </c>
      <c r="B2925" t="s">
        <v>35</v>
      </c>
      <c r="C2925" t="s">
        <v>1193</v>
      </c>
      <c r="D2925" t="str">
        <f>"001"</f>
        <v>001</v>
      </c>
      <c r="E2925">
        <v>2013</v>
      </c>
      <c r="F2925">
        <v>1003000</v>
      </c>
      <c r="G2925">
        <v>1252600</v>
      </c>
      <c r="H2925">
        <v>249600</v>
      </c>
    </row>
    <row r="2926" spans="1:9" x14ac:dyDescent="0.25">
      <c r="A2926" t="str">
        <f>"60181"</f>
        <v>60181</v>
      </c>
      <c r="B2926" t="s">
        <v>35</v>
      </c>
      <c r="C2926" t="s">
        <v>1193</v>
      </c>
      <c r="D2926" t="s">
        <v>13</v>
      </c>
      <c r="E2926" t="s">
        <v>14</v>
      </c>
      <c r="F2926" t="s">
        <v>15</v>
      </c>
      <c r="G2926" t="s">
        <v>15</v>
      </c>
      <c r="H2926" t="s">
        <v>15</v>
      </c>
      <c r="I2926" s="1">
        <v>24876500</v>
      </c>
    </row>
    <row r="2927" spans="1:9" x14ac:dyDescent="0.25">
      <c r="A2927" t="s">
        <v>32</v>
      </c>
      <c r="B2927" t="s">
        <v>37</v>
      </c>
      <c r="C2927" t="s">
        <v>34</v>
      </c>
      <c r="D2927" t="s">
        <v>13</v>
      </c>
      <c r="E2927" t="s">
        <v>14</v>
      </c>
      <c r="F2927" t="s">
        <v>15</v>
      </c>
      <c r="G2927" t="s">
        <v>15</v>
      </c>
      <c r="H2927" t="s">
        <v>15</v>
      </c>
      <c r="I2927" s="1">
        <v>81952400</v>
      </c>
    </row>
    <row r="2928" spans="1:9" x14ac:dyDescent="0.25">
      <c r="A2928" t="str">
        <f t="shared" ref="A2928:A2936" si="66">"60251"</f>
        <v>60251</v>
      </c>
      <c r="B2928" t="s">
        <v>38</v>
      </c>
      <c r="C2928" t="s">
        <v>1186</v>
      </c>
      <c r="D2928" t="str">
        <f>"005"</f>
        <v>005</v>
      </c>
      <c r="E2928">
        <v>1989</v>
      </c>
      <c r="F2928">
        <v>5187900</v>
      </c>
      <c r="G2928">
        <v>7213900</v>
      </c>
      <c r="H2928">
        <v>2026000</v>
      </c>
    </row>
    <row r="2929" spans="1:9" x14ac:dyDescent="0.25">
      <c r="A2929" t="str">
        <f t="shared" si="66"/>
        <v>60251</v>
      </c>
      <c r="B2929" t="s">
        <v>38</v>
      </c>
      <c r="C2929" t="s">
        <v>1186</v>
      </c>
      <c r="D2929" t="str">
        <f>"006"</f>
        <v>006</v>
      </c>
      <c r="E2929">
        <v>1996</v>
      </c>
      <c r="F2929">
        <v>1417600</v>
      </c>
      <c r="G2929">
        <v>4176700</v>
      </c>
      <c r="H2929">
        <v>2759100</v>
      </c>
    </row>
    <row r="2930" spans="1:9" x14ac:dyDescent="0.25">
      <c r="A2930" t="str">
        <f t="shared" si="66"/>
        <v>60251</v>
      </c>
      <c r="B2930" t="s">
        <v>38</v>
      </c>
      <c r="C2930" t="s">
        <v>1186</v>
      </c>
      <c r="D2930" t="str">
        <f>"007"</f>
        <v>007</v>
      </c>
      <c r="E2930">
        <v>1997</v>
      </c>
      <c r="F2930">
        <v>1488900</v>
      </c>
      <c r="G2930">
        <v>2672800</v>
      </c>
      <c r="H2930">
        <v>1183900</v>
      </c>
    </row>
    <row r="2931" spans="1:9" x14ac:dyDescent="0.25">
      <c r="A2931" t="str">
        <f t="shared" si="66"/>
        <v>60251</v>
      </c>
      <c r="B2931" t="s">
        <v>38</v>
      </c>
      <c r="C2931" t="s">
        <v>1186</v>
      </c>
      <c r="D2931" t="str">
        <f>"008"</f>
        <v>008</v>
      </c>
      <c r="E2931">
        <v>1997</v>
      </c>
      <c r="F2931">
        <v>695900</v>
      </c>
      <c r="G2931">
        <v>2164500</v>
      </c>
      <c r="H2931">
        <v>1468600</v>
      </c>
    </row>
    <row r="2932" spans="1:9" x14ac:dyDescent="0.25">
      <c r="A2932" t="str">
        <f t="shared" si="66"/>
        <v>60251</v>
      </c>
      <c r="B2932" t="s">
        <v>38</v>
      </c>
      <c r="C2932" t="s">
        <v>1186</v>
      </c>
      <c r="D2932" t="str">
        <f>"010"</f>
        <v>010</v>
      </c>
      <c r="E2932">
        <v>1999</v>
      </c>
      <c r="F2932">
        <v>240200</v>
      </c>
      <c r="G2932">
        <v>2596000</v>
      </c>
      <c r="H2932">
        <v>2355800</v>
      </c>
    </row>
    <row r="2933" spans="1:9" x14ac:dyDescent="0.25">
      <c r="A2933" t="str">
        <f t="shared" si="66"/>
        <v>60251</v>
      </c>
      <c r="B2933" t="s">
        <v>38</v>
      </c>
      <c r="C2933" t="s">
        <v>1186</v>
      </c>
      <c r="D2933" t="str">
        <f>"011"</f>
        <v>011</v>
      </c>
      <c r="E2933">
        <v>1999</v>
      </c>
      <c r="F2933">
        <v>1184000</v>
      </c>
      <c r="G2933">
        <v>4347900</v>
      </c>
      <c r="H2933">
        <v>3163900</v>
      </c>
    </row>
    <row r="2934" spans="1:9" x14ac:dyDescent="0.25">
      <c r="A2934" t="str">
        <f t="shared" si="66"/>
        <v>60251</v>
      </c>
      <c r="B2934" t="s">
        <v>38</v>
      </c>
      <c r="C2934" t="s">
        <v>1186</v>
      </c>
      <c r="D2934" t="str">
        <f>"012"</f>
        <v>012</v>
      </c>
      <c r="E2934">
        <v>2000</v>
      </c>
      <c r="F2934">
        <v>2687700</v>
      </c>
      <c r="G2934">
        <v>28593900</v>
      </c>
      <c r="H2934">
        <v>25906200</v>
      </c>
    </row>
    <row r="2935" spans="1:9" x14ac:dyDescent="0.25">
      <c r="A2935" t="str">
        <f t="shared" si="66"/>
        <v>60251</v>
      </c>
      <c r="B2935" t="s">
        <v>38</v>
      </c>
      <c r="C2935" t="s">
        <v>1186</v>
      </c>
      <c r="D2935" t="str">
        <f>"013"</f>
        <v>013</v>
      </c>
      <c r="E2935">
        <v>2005</v>
      </c>
      <c r="F2935">
        <v>3382000</v>
      </c>
      <c r="G2935">
        <v>15523500</v>
      </c>
      <c r="H2935">
        <v>12141500</v>
      </c>
    </row>
    <row r="2936" spans="1:9" x14ac:dyDescent="0.25">
      <c r="A2936" t="str">
        <f t="shared" si="66"/>
        <v>60251</v>
      </c>
      <c r="B2936" t="s">
        <v>38</v>
      </c>
      <c r="C2936" t="s">
        <v>1186</v>
      </c>
      <c r="D2936" t="s">
        <v>13</v>
      </c>
      <c r="E2936" t="s">
        <v>14</v>
      </c>
      <c r="F2936" t="s">
        <v>15</v>
      </c>
      <c r="G2936" t="s">
        <v>15</v>
      </c>
      <c r="H2936" t="s">
        <v>15</v>
      </c>
      <c r="I2936" s="1">
        <v>262639200</v>
      </c>
    </row>
    <row r="2937" spans="1:9" x14ac:dyDescent="0.25">
      <c r="A2937" t="s">
        <v>32</v>
      </c>
      <c r="B2937" t="s">
        <v>40</v>
      </c>
      <c r="C2937" t="s">
        <v>34</v>
      </c>
      <c r="D2937" t="s">
        <v>13</v>
      </c>
      <c r="E2937" t="s">
        <v>14</v>
      </c>
      <c r="F2937" t="s">
        <v>15</v>
      </c>
      <c r="G2937" t="s">
        <v>15</v>
      </c>
      <c r="H2937" t="s">
        <v>15</v>
      </c>
      <c r="I2937" s="1">
        <v>262639200</v>
      </c>
    </row>
    <row r="2938" spans="1:9" x14ac:dyDescent="0.25">
      <c r="A2938" t="s">
        <v>32</v>
      </c>
      <c r="B2938" t="s">
        <v>41</v>
      </c>
      <c r="C2938" t="s">
        <v>601</v>
      </c>
      <c r="D2938" t="s">
        <v>13</v>
      </c>
      <c r="E2938" t="s">
        <v>14</v>
      </c>
      <c r="F2938" t="s">
        <v>15</v>
      </c>
      <c r="G2938" t="s">
        <v>15</v>
      </c>
      <c r="H2938" t="s">
        <v>15</v>
      </c>
      <c r="I2938" s="1">
        <v>1456713200</v>
      </c>
    </row>
    <row r="2939" spans="1:9" x14ac:dyDescent="0.25">
      <c r="A2939" t="str">
        <f>"61002"</f>
        <v>61002</v>
      </c>
      <c r="B2939" t="s">
        <v>11</v>
      </c>
      <c r="C2939" t="s">
        <v>301</v>
      </c>
      <c r="D2939" t="s">
        <v>13</v>
      </c>
      <c r="E2939" t="s">
        <v>14</v>
      </c>
      <c r="F2939" t="s">
        <v>15</v>
      </c>
      <c r="G2939" t="s">
        <v>15</v>
      </c>
      <c r="H2939" t="s">
        <v>15</v>
      </c>
      <c r="I2939" s="1">
        <v>57003600</v>
      </c>
    </row>
    <row r="2940" spans="1:9" x14ac:dyDescent="0.25">
      <c r="A2940" t="str">
        <f>"61004"</f>
        <v>61004</v>
      </c>
      <c r="B2940" t="s">
        <v>11</v>
      </c>
      <c r="C2940" t="s">
        <v>1194</v>
      </c>
      <c r="D2940" t="s">
        <v>13</v>
      </c>
      <c r="E2940" t="s">
        <v>14</v>
      </c>
      <c r="F2940" t="s">
        <v>15</v>
      </c>
      <c r="G2940" t="s">
        <v>15</v>
      </c>
      <c r="H2940" t="s">
        <v>15</v>
      </c>
      <c r="I2940" s="1">
        <v>178062200</v>
      </c>
    </row>
    <row r="2941" spans="1:9" x14ac:dyDescent="0.25">
      <c r="A2941" t="str">
        <f>"61006"</f>
        <v>61006</v>
      </c>
      <c r="B2941" t="s">
        <v>11</v>
      </c>
      <c r="C2941" t="s">
        <v>1195</v>
      </c>
      <c r="D2941" t="s">
        <v>13</v>
      </c>
      <c r="E2941" t="s">
        <v>14</v>
      </c>
      <c r="F2941" t="s">
        <v>15</v>
      </c>
      <c r="G2941" t="s">
        <v>15</v>
      </c>
      <c r="H2941" t="s">
        <v>15</v>
      </c>
      <c r="I2941" s="1">
        <v>41624200</v>
      </c>
    </row>
    <row r="2942" spans="1:9" x14ac:dyDescent="0.25">
      <c r="A2942" t="str">
        <f>"61008"</f>
        <v>61008</v>
      </c>
      <c r="B2942" t="s">
        <v>11</v>
      </c>
      <c r="C2942" t="s">
        <v>254</v>
      </c>
      <c r="D2942" t="s">
        <v>13</v>
      </c>
      <c r="E2942" t="s">
        <v>14</v>
      </c>
      <c r="F2942" t="s">
        <v>15</v>
      </c>
      <c r="G2942" t="s">
        <v>15</v>
      </c>
      <c r="H2942" t="s">
        <v>15</v>
      </c>
      <c r="I2942" s="1">
        <v>82718000</v>
      </c>
    </row>
    <row r="2943" spans="1:9" x14ac:dyDescent="0.25">
      <c r="A2943" t="str">
        <f>"61010"</f>
        <v>61010</v>
      </c>
      <c r="B2943" t="s">
        <v>11</v>
      </c>
      <c r="C2943" t="s">
        <v>1196</v>
      </c>
      <c r="D2943" t="s">
        <v>13</v>
      </c>
      <c r="E2943" t="s">
        <v>14</v>
      </c>
      <c r="F2943" t="s">
        <v>15</v>
      </c>
      <c r="G2943" t="s">
        <v>15</v>
      </c>
      <c r="H2943" t="s">
        <v>15</v>
      </c>
      <c r="I2943" s="1">
        <v>30677000</v>
      </c>
    </row>
    <row r="2944" spans="1:9" x14ac:dyDescent="0.25">
      <c r="A2944" t="str">
        <f>"61012"</f>
        <v>61012</v>
      </c>
      <c r="B2944" t="s">
        <v>11</v>
      </c>
      <c r="C2944" t="s">
        <v>380</v>
      </c>
      <c r="D2944" t="s">
        <v>13</v>
      </c>
      <c r="E2944" t="s">
        <v>14</v>
      </c>
      <c r="F2944" t="s">
        <v>15</v>
      </c>
      <c r="G2944" t="s">
        <v>15</v>
      </c>
      <c r="H2944" t="s">
        <v>15</v>
      </c>
      <c r="I2944" s="1">
        <v>38805700</v>
      </c>
    </row>
    <row r="2945" spans="1:9" x14ac:dyDescent="0.25">
      <c r="A2945" t="str">
        <f>"61014"</f>
        <v>61014</v>
      </c>
      <c r="B2945" t="s">
        <v>11</v>
      </c>
      <c r="C2945" t="s">
        <v>1197</v>
      </c>
      <c r="D2945" t="s">
        <v>13</v>
      </c>
      <c r="E2945" t="s">
        <v>14</v>
      </c>
      <c r="F2945" t="s">
        <v>15</v>
      </c>
      <c r="G2945" t="s">
        <v>15</v>
      </c>
      <c r="H2945" t="s">
        <v>15</v>
      </c>
      <c r="I2945" s="1">
        <v>130363200</v>
      </c>
    </row>
    <row r="2946" spans="1:9" x14ac:dyDescent="0.25">
      <c r="A2946" t="str">
        <f>"61016"</f>
        <v>61016</v>
      </c>
      <c r="B2946" t="s">
        <v>11</v>
      </c>
      <c r="C2946" t="s">
        <v>1198</v>
      </c>
      <c r="D2946" t="s">
        <v>13</v>
      </c>
      <c r="E2946" t="s">
        <v>14</v>
      </c>
      <c r="F2946" t="s">
        <v>15</v>
      </c>
      <c r="G2946" t="s">
        <v>15</v>
      </c>
      <c r="H2946" t="s">
        <v>15</v>
      </c>
      <c r="I2946" s="1">
        <v>185771900</v>
      </c>
    </row>
    <row r="2947" spans="1:9" x14ac:dyDescent="0.25">
      <c r="A2947" t="str">
        <f>"61018"</f>
        <v>61018</v>
      </c>
      <c r="B2947" t="s">
        <v>11</v>
      </c>
      <c r="C2947" t="s">
        <v>1199</v>
      </c>
      <c r="D2947" t="s">
        <v>13</v>
      </c>
      <c r="E2947" t="s">
        <v>14</v>
      </c>
      <c r="F2947" t="s">
        <v>15</v>
      </c>
      <c r="G2947" t="s">
        <v>15</v>
      </c>
      <c r="H2947" t="s">
        <v>15</v>
      </c>
      <c r="I2947" s="1">
        <v>87769900</v>
      </c>
    </row>
    <row r="2948" spans="1:9" x14ac:dyDescent="0.25">
      <c r="A2948" t="str">
        <f>"61020"</f>
        <v>61020</v>
      </c>
      <c r="B2948" t="s">
        <v>11</v>
      </c>
      <c r="C2948" t="s">
        <v>22</v>
      </c>
      <c r="D2948" t="s">
        <v>13</v>
      </c>
      <c r="E2948" t="s">
        <v>14</v>
      </c>
      <c r="F2948" t="s">
        <v>15</v>
      </c>
      <c r="G2948" t="s">
        <v>15</v>
      </c>
      <c r="H2948" t="s">
        <v>15</v>
      </c>
      <c r="I2948" s="1">
        <v>47558100</v>
      </c>
    </row>
    <row r="2949" spans="1:9" x14ac:dyDescent="0.25">
      <c r="A2949" t="str">
        <f>"61022"</f>
        <v>61022</v>
      </c>
      <c r="B2949" t="s">
        <v>11</v>
      </c>
      <c r="C2949" t="s">
        <v>1200</v>
      </c>
      <c r="D2949" t="s">
        <v>13</v>
      </c>
      <c r="E2949" t="s">
        <v>14</v>
      </c>
      <c r="F2949" t="s">
        <v>15</v>
      </c>
      <c r="G2949" t="s">
        <v>15</v>
      </c>
      <c r="H2949" t="s">
        <v>15</v>
      </c>
      <c r="I2949" s="1">
        <v>65622700</v>
      </c>
    </row>
    <row r="2950" spans="1:9" x14ac:dyDescent="0.25">
      <c r="A2950" t="str">
        <f>"61024"</f>
        <v>61024</v>
      </c>
      <c r="B2950" t="s">
        <v>11</v>
      </c>
      <c r="C2950" t="s">
        <v>26</v>
      </c>
      <c r="D2950" t="s">
        <v>13</v>
      </c>
      <c r="E2950" t="s">
        <v>14</v>
      </c>
      <c r="F2950" t="s">
        <v>15</v>
      </c>
      <c r="G2950" t="s">
        <v>15</v>
      </c>
      <c r="H2950" t="s">
        <v>15</v>
      </c>
      <c r="I2950" s="1">
        <v>88553900</v>
      </c>
    </row>
    <row r="2951" spans="1:9" x14ac:dyDescent="0.25">
      <c r="A2951" t="str">
        <f>"61026"</f>
        <v>61026</v>
      </c>
      <c r="B2951" t="s">
        <v>11</v>
      </c>
      <c r="C2951" t="s">
        <v>79</v>
      </c>
      <c r="D2951" t="s">
        <v>13</v>
      </c>
      <c r="E2951" t="s">
        <v>14</v>
      </c>
      <c r="F2951" t="s">
        <v>15</v>
      </c>
      <c r="G2951" t="s">
        <v>15</v>
      </c>
      <c r="H2951" t="s">
        <v>15</v>
      </c>
      <c r="I2951" s="1">
        <v>76841200</v>
      </c>
    </row>
    <row r="2952" spans="1:9" x14ac:dyDescent="0.25">
      <c r="A2952" t="str">
        <f>"61028"</f>
        <v>61028</v>
      </c>
      <c r="B2952" t="s">
        <v>11</v>
      </c>
      <c r="C2952" t="s">
        <v>1201</v>
      </c>
      <c r="D2952" t="s">
        <v>13</v>
      </c>
      <c r="E2952" t="s">
        <v>14</v>
      </c>
      <c r="F2952" t="s">
        <v>15</v>
      </c>
      <c r="G2952" t="s">
        <v>15</v>
      </c>
      <c r="H2952" t="s">
        <v>15</v>
      </c>
      <c r="I2952" s="1">
        <v>186900900</v>
      </c>
    </row>
    <row r="2953" spans="1:9" x14ac:dyDescent="0.25">
      <c r="A2953" t="str">
        <f>"61030"</f>
        <v>61030</v>
      </c>
      <c r="B2953" t="s">
        <v>11</v>
      </c>
      <c r="C2953" t="s">
        <v>239</v>
      </c>
      <c r="D2953" t="s">
        <v>13</v>
      </c>
      <c r="E2953" t="s">
        <v>14</v>
      </c>
      <c r="F2953" t="s">
        <v>15</v>
      </c>
      <c r="G2953" t="s">
        <v>15</v>
      </c>
      <c r="H2953" t="s">
        <v>15</v>
      </c>
      <c r="I2953" s="1">
        <v>43596700</v>
      </c>
    </row>
    <row r="2954" spans="1:9" x14ac:dyDescent="0.25">
      <c r="A2954" t="s">
        <v>32</v>
      </c>
      <c r="B2954" t="s">
        <v>33</v>
      </c>
      <c r="C2954" t="s">
        <v>34</v>
      </c>
      <c r="D2954" t="s">
        <v>13</v>
      </c>
      <c r="E2954" t="s">
        <v>14</v>
      </c>
      <c r="F2954" t="s">
        <v>15</v>
      </c>
      <c r="G2954" t="s">
        <v>15</v>
      </c>
      <c r="H2954" t="s">
        <v>15</v>
      </c>
      <c r="I2954" s="1">
        <v>1341869200</v>
      </c>
    </row>
    <row r="2955" spans="1:9" x14ac:dyDescent="0.25">
      <c r="A2955" t="str">
        <f>"61121"</f>
        <v>61121</v>
      </c>
      <c r="B2955" t="s">
        <v>35</v>
      </c>
      <c r="C2955" t="s">
        <v>1202</v>
      </c>
      <c r="D2955" t="s">
        <v>13</v>
      </c>
      <c r="E2955" t="s">
        <v>14</v>
      </c>
      <c r="F2955" t="s">
        <v>15</v>
      </c>
      <c r="G2955" t="s">
        <v>15</v>
      </c>
      <c r="H2955" t="s">
        <v>15</v>
      </c>
      <c r="I2955" s="1">
        <v>33383000</v>
      </c>
    </row>
    <row r="2956" spans="1:9" x14ac:dyDescent="0.25">
      <c r="A2956" t="str">
        <f>"61122"</f>
        <v>61122</v>
      </c>
      <c r="B2956" t="s">
        <v>35</v>
      </c>
      <c r="C2956" t="s">
        <v>1197</v>
      </c>
      <c r="D2956" t="s">
        <v>13</v>
      </c>
      <c r="E2956" t="s">
        <v>14</v>
      </c>
      <c r="F2956" t="s">
        <v>15</v>
      </c>
      <c r="G2956" t="s">
        <v>15</v>
      </c>
      <c r="H2956" t="s">
        <v>15</v>
      </c>
      <c r="I2956" s="1">
        <v>29601400</v>
      </c>
    </row>
    <row r="2957" spans="1:9" x14ac:dyDescent="0.25">
      <c r="A2957" t="str">
        <f>"61173"</f>
        <v>61173</v>
      </c>
      <c r="B2957" t="s">
        <v>35</v>
      </c>
      <c r="C2957" t="s">
        <v>1203</v>
      </c>
      <c r="D2957" t="s">
        <v>13</v>
      </c>
      <c r="E2957" t="s">
        <v>14</v>
      </c>
      <c r="F2957" t="s">
        <v>15</v>
      </c>
      <c r="G2957" t="s">
        <v>15</v>
      </c>
      <c r="H2957" t="s">
        <v>15</v>
      </c>
      <c r="I2957" s="1">
        <v>17721100</v>
      </c>
    </row>
    <row r="2958" spans="1:9" x14ac:dyDescent="0.25">
      <c r="A2958" t="str">
        <f>"61181"</f>
        <v>61181</v>
      </c>
      <c r="B2958" t="s">
        <v>35</v>
      </c>
      <c r="C2958" t="s">
        <v>1204</v>
      </c>
      <c r="D2958" t="str">
        <f>"001"</f>
        <v>001</v>
      </c>
      <c r="E2958">
        <v>2009</v>
      </c>
      <c r="F2958">
        <v>5600</v>
      </c>
      <c r="G2958">
        <v>8400</v>
      </c>
      <c r="H2958">
        <v>2800</v>
      </c>
    </row>
    <row r="2959" spans="1:9" x14ac:dyDescent="0.25">
      <c r="A2959" t="str">
        <f>"61181"</f>
        <v>61181</v>
      </c>
      <c r="B2959" t="s">
        <v>35</v>
      </c>
      <c r="C2959" t="s">
        <v>1204</v>
      </c>
      <c r="D2959" t="s">
        <v>13</v>
      </c>
      <c r="E2959" t="s">
        <v>14</v>
      </c>
      <c r="F2959" t="s">
        <v>15</v>
      </c>
      <c r="G2959" t="s">
        <v>15</v>
      </c>
      <c r="H2959" t="s">
        <v>15</v>
      </c>
      <c r="I2959" s="1">
        <v>59155300</v>
      </c>
    </row>
    <row r="2960" spans="1:9" x14ac:dyDescent="0.25">
      <c r="A2960" t="str">
        <f>"61186"</f>
        <v>61186</v>
      </c>
      <c r="B2960" t="s">
        <v>35</v>
      </c>
      <c r="C2960" t="s">
        <v>1201</v>
      </c>
      <c r="D2960" t="str">
        <f>"001"</f>
        <v>001</v>
      </c>
      <c r="E2960">
        <v>1997</v>
      </c>
      <c r="F2960">
        <v>2003400</v>
      </c>
      <c r="G2960">
        <v>4951000</v>
      </c>
      <c r="H2960">
        <v>2947600</v>
      </c>
    </row>
    <row r="2961" spans="1:9" x14ac:dyDescent="0.25">
      <c r="A2961" t="str">
        <f>"61186"</f>
        <v>61186</v>
      </c>
      <c r="B2961" t="s">
        <v>35</v>
      </c>
      <c r="C2961" t="s">
        <v>1201</v>
      </c>
      <c r="D2961" t="s">
        <v>13</v>
      </c>
      <c r="E2961" t="s">
        <v>14</v>
      </c>
      <c r="F2961" t="s">
        <v>15</v>
      </c>
      <c r="G2961" t="s">
        <v>15</v>
      </c>
      <c r="H2961" t="s">
        <v>15</v>
      </c>
      <c r="I2961" s="1">
        <v>136863800</v>
      </c>
    </row>
    <row r="2962" spans="1:9" x14ac:dyDescent="0.25">
      <c r="A2962" t="s">
        <v>32</v>
      </c>
      <c r="B2962" t="s">
        <v>37</v>
      </c>
      <c r="C2962" t="s">
        <v>34</v>
      </c>
      <c r="D2962" t="s">
        <v>13</v>
      </c>
      <c r="E2962" t="s">
        <v>14</v>
      </c>
      <c r="F2962" t="s">
        <v>15</v>
      </c>
      <c r="G2962" t="s">
        <v>15</v>
      </c>
      <c r="H2962" t="s">
        <v>15</v>
      </c>
      <c r="I2962" s="1">
        <v>276724600</v>
      </c>
    </row>
    <row r="2963" spans="1:9" x14ac:dyDescent="0.25">
      <c r="A2963" t="str">
        <f>"61201"</f>
        <v>61201</v>
      </c>
      <c r="B2963" t="s">
        <v>38</v>
      </c>
      <c r="C2963" t="s">
        <v>1194</v>
      </c>
      <c r="D2963" t="str">
        <f>"003"</f>
        <v>003</v>
      </c>
      <c r="E2963">
        <v>1994</v>
      </c>
      <c r="F2963">
        <v>180100</v>
      </c>
      <c r="G2963">
        <v>18920600</v>
      </c>
      <c r="H2963">
        <v>18740500</v>
      </c>
    </row>
    <row r="2964" spans="1:9" x14ac:dyDescent="0.25">
      <c r="A2964" t="str">
        <f>"61201"</f>
        <v>61201</v>
      </c>
      <c r="B2964" t="s">
        <v>38</v>
      </c>
      <c r="C2964" t="s">
        <v>1194</v>
      </c>
      <c r="D2964" t="str">
        <f>"004"</f>
        <v>004</v>
      </c>
      <c r="E2964">
        <v>1994</v>
      </c>
      <c r="F2964">
        <v>587100</v>
      </c>
      <c r="G2964">
        <v>25446000</v>
      </c>
      <c r="H2964">
        <v>24858900</v>
      </c>
    </row>
    <row r="2965" spans="1:9" x14ac:dyDescent="0.25">
      <c r="A2965" t="str">
        <f>"61201"</f>
        <v>61201</v>
      </c>
      <c r="B2965" t="s">
        <v>38</v>
      </c>
      <c r="C2965" t="s">
        <v>1194</v>
      </c>
      <c r="D2965" t="s">
        <v>13</v>
      </c>
      <c r="E2965" t="s">
        <v>14</v>
      </c>
      <c r="F2965" t="s">
        <v>15</v>
      </c>
      <c r="G2965" t="s">
        <v>15</v>
      </c>
      <c r="H2965" t="s">
        <v>15</v>
      </c>
      <c r="I2965" s="1">
        <v>151884700</v>
      </c>
    </row>
    <row r="2966" spans="1:9" x14ac:dyDescent="0.25">
      <c r="A2966" t="str">
        <f>"61206"</f>
        <v>61206</v>
      </c>
      <c r="B2966" t="s">
        <v>38</v>
      </c>
      <c r="C2966" t="s">
        <v>1205</v>
      </c>
      <c r="D2966" t="str">
        <f>"004"</f>
        <v>004</v>
      </c>
      <c r="E2966">
        <v>2007</v>
      </c>
      <c r="F2966">
        <v>17900</v>
      </c>
      <c r="G2966">
        <v>4575100</v>
      </c>
      <c r="H2966">
        <v>4557200</v>
      </c>
    </row>
    <row r="2967" spans="1:9" x14ac:dyDescent="0.25">
      <c r="A2967" t="str">
        <f>"61206"</f>
        <v>61206</v>
      </c>
      <c r="B2967" t="s">
        <v>38</v>
      </c>
      <c r="C2967" t="s">
        <v>1205</v>
      </c>
      <c r="D2967" t="str">
        <f>"005"</f>
        <v>005</v>
      </c>
      <c r="E2967">
        <v>2008</v>
      </c>
      <c r="F2967">
        <v>54100</v>
      </c>
      <c r="G2967">
        <v>2807700</v>
      </c>
      <c r="H2967">
        <v>2753600</v>
      </c>
    </row>
    <row r="2968" spans="1:9" x14ac:dyDescent="0.25">
      <c r="A2968" t="str">
        <f>"61206"</f>
        <v>61206</v>
      </c>
      <c r="B2968" t="s">
        <v>38</v>
      </c>
      <c r="C2968" t="s">
        <v>1205</v>
      </c>
      <c r="D2968" t="str">
        <f>"006"</f>
        <v>006</v>
      </c>
      <c r="E2968">
        <v>2015</v>
      </c>
      <c r="F2968">
        <v>3300800</v>
      </c>
      <c r="G2968">
        <v>3795700</v>
      </c>
      <c r="H2968">
        <v>494900</v>
      </c>
    </row>
    <row r="2969" spans="1:9" x14ac:dyDescent="0.25">
      <c r="A2969" t="str">
        <f>"61206"</f>
        <v>61206</v>
      </c>
      <c r="B2969" t="s">
        <v>38</v>
      </c>
      <c r="C2969" t="s">
        <v>1205</v>
      </c>
      <c r="D2969" t="str">
        <f>"007"</f>
        <v>007</v>
      </c>
      <c r="E2969">
        <v>2015</v>
      </c>
      <c r="F2969">
        <v>1725000</v>
      </c>
      <c r="G2969">
        <v>2644800</v>
      </c>
      <c r="H2969">
        <v>919800</v>
      </c>
    </row>
    <row r="2970" spans="1:9" x14ac:dyDescent="0.25">
      <c r="A2970" t="str">
        <f>"61206"</f>
        <v>61206</v>
      </c>
      <c r="B2970" t="s">
        <v>38</v>
      </c>
      <c r="C2970" t="s">
        <v>1205</v>
      </c>
      <c r="D2970" t="s">
        <v>13</v>
      </c>
      <c r="E2970" t="s">
        <v>14</v>
      </c>
      <c r="F2970" t="s">
        <v>15</v>
      </c>
      <c r="G2970" t="s">
        <v>15</v>
      </c>
      <c r="H2970" t="s">
        <v>15</v>
      </c>
      <c r="I2970" s="1">
        <v>117406100</v>
      </c>
    </row>
    <row r="2971" spans="1:9" x14ac:dyDescent="0.25">
      <c r="A2971" t="str">
        <f>"61231"</f>
        <v>61231</v>
      </c>
      <c r="B2971" t="s">
        <v>38</v>
      </c>
      <c r="C2971" t="s">
        <v>1206</v>
      </c>
      <c r="D2971" t="str">
        <f>"002"</f>
        <v>002</v>
      </c>
      <c r="E2971">
        <v>2001</v>
      </c>
      <c r="F2971">
        <v>1038600</v>
      </c>
      <c r="G2971">
        <v>10095300</v>
      </c>
      <c r="H2971">
        <v>9056700</v>
      </c>
    </row>
    <row r="2972" spans="1:9" x14ac:dyDescent="0.25">
      <c r="A2972" t="str">
        <f>"61231"</f>
        <v>61231</v>
      </c>
      <c r="B2972" t="s">
        <v>38</v>
      </c>
      <c r="C2972" t="s">
        <v>1206</v>
      </c>
      <c r="D2972" t="s">
        <v>13</v>
      </c>
      <c r="E2972" t="s">
        <v>14</v>
      </c>
      <c r="F2972" t="s">
        <v>15</v>
      </c>
      <c r="G2972" t="s">
        <v>15</v>
      </c>
      <c r="H2972" t="s">
        <v>15</v>
      </c>
      <c r="I2972" s="1">
        <v>100058200</v>
      </c>
    </row>
    <row r="2973" spans="1:9" x14ac:dyDescent="0.25">
      <c r="A2973" t="str">
        <f>"61241"</f>
        <v>61241</v>
      </c>
      <c r="B2973" t="s">
        <v>38</v>
      </c>
      <c r="C2973" t="s">
        <v>1207</v>
      </c>
      <c r="D2973" t="str">
        <f>"002"</f>
        <v>002</v>
      </c>
      <c r="E2973">
        <v>2006</v>
      </c>
      <c r="F2973">
        <v>2007200</v>
      </c>
      <c r="G2973">
        <v>8444100</v>
      </c>
      <c r="H2973">
        <v>6436900</v>
      </c>
    </row>
    <row r="2974" spans="1:9" x14ac:dyDescent="0.25">
      <c r="A2974" t="str">
        <f>"61241"</f>
        <v>61241</v>
      </c>
      <c r="B2974" t="s">
        <v>38</v>
      </c>
      <c r="C2974" t="s">
        <v>1207</v>
      </c>
      <c r="D2974" t="s">
        <v>13</v>
      </c>
      <c r="E2974" t="s">
        <v>14</v>
      </c>
      <c r="F2974" t="s">
        <v>15</v>
      </c>
      <c r="G2974" t="s">
        <v>15</v>
      </c>
      <c r="H2974" t="s">
        <v>15</v>
      </c>
      <c r="I2974" s="1">
        <v>88149500</v>
      </c>
    </row>
    <row r="2975" spans="1:9" x14ac:dyDescent="0.25">
      <c r="A2975" t="str">
        <f>"61265"</f>
        <v>61265</v>
      </c>
      <c r="B2975" t="s">
        <v>38</v>
      </c>
      <c r="C2975" t="s">
        <v>1208</v>
      </c>
      <c r="D2975" t="str">
        <f>"002"</f>
        <v>002</v>
      </c>
      <c r="E2975">
        <v>1994</v>
      </c>
      <c r="F2975">
        <v>358000</v>
      </c>
      <c r="G2975">
        <v>27625700</v>
      </c>
      <c r="H2975">
        <v>27267700</v>
      </c>
    </row>
    <row r="2976" spans="1:9" x14ac:dyDescent="0.25">
      <c r="A2976" t="str">
        <f>"61265"</f>
        <v>61265</v>
      </c>
      <c r="B2976" t="s">
        <v>38</v>
      </c>
      <c r="C2976" t="s">
        <v>1208</v>
      </c>
      <c r="D2976" t="str">
        <f>"003"</f>
        <v>003</v>
      </c>
      <c r="E2976">
        <v>2009</v>
      </c>
      <c r="F2976">
        <v>2470500</v>
      </c>
      <c r="G2976">
        <v>2547400</v>
      </c>
      <c r="H2976">
        <v>76900</v>
      </c>
    </row>
    <row r="2977" spans="1:9" x14ac:dyDescent="0.25">
      <c r="A2977" t="str">
        <f>"61265"</f>
        <v>61265</v>
      </c>
      <c r="B2977" t="s">
        <v>38</v>
      </c>
      <c r="C2977" t="s">
        <v>1208</v>
      </c>
      <c r="D2977" t="s">
        <v>13</v>
      </c>
      <c r="E2977" t="s">
        <v>14</v>
      </c>
      <c r="F2977" t="s">
        <v>15</v>
      </c>
      <c r="G2977" t="s">
        <v>15</v>
      </c>
      <c r="H2977" t="s">
        <v>15</v>
      </c>
      <c r="I2977" s="1">
        <v>117619900</v>
      </c>
    </row>
    <row r="2978" spans="1:9" x14ac:dyDescent="0.25">
      <c r="A2978" t="str">
        <f>"61291"</f>
        <v>61291</v>
      </c>
      <c r="B2978" t="s">
        <v>38</v>
      </c>
      <c r="C2978" t="s">
        <v>1209</v>
      </c>
      <c r="D2978" t="str">
        <f>"002"</f>
        <v>002</v>
      </c>
      <c r="E2978">
        <v>2006</v>
      </c>
      <c r="F2978">
        <v>989100</v>
      </c>
      <c r="G2978">
        <v>5916600</v>
      </c>
      <c r="H2978">
        <v>4927500</v>
      </c>
    </row>
    <row r="2979" spans="1:9" x14ac:dyDescent="0.25">
      <c r="A2979" t="str">
        <f>"61291"</f>
        <v>61291</v>
      </c>
      <c r="B2979" t="s">
        <v>38</v>
      </c>
      <c r="C2979" t="s">
        <v>1209</v>
      </c>
      <c r="D2979" t="str">
        <f>"003"</f>
        <v>003</v>
      </c>
      <c r="E2979">
        <v>2006</v>
      </c>
      <c r="F2979">
        <v>7706000</v>
      </c>
      <c r="G2979">
        <v>22923300</v>
      </c>
      <c r="H2979">
        <v>15217300</v>
      </c>
    </row>
    <row r="2980" spans="1:9" x14ac:dyDescent="0.25">
      <c r="A2980" t="str">
        <f>"61291"</f>
        <v>61291</v>
      </c>
      <c r="B2980" t="s">
        <v>38</v>
      </c>
      <c r="C2980" t="s">
        <v>1209</v>
      </c>
      <c r="D2980" t="s">
        <v>13</v>
      </c>
      <c r="E2980" t="s">
        <v>14</v>
      </c>
      <c r="F2980" t="s">
        <v>15</v>
      </c>
      <c r="G2980" t="s">
        <v>15</v>
      </c>
      <c r="H2980" t="s">
        <v>15</v>
      </c>
      <c r="I2980" s="1">
        <v>90242600</v>
      </c>
    </row>
    <row r="2981" spans="1:9" x14ac:dyDescent="0.25">
      <c r="A2981" t="s">
        <v>32</v>
      </c>
      <c r="B2981" t="s">
        <v>40</v>
      </c>
      <c r="C2981" t="s">
        <v>34</v>
      </c>
      <c r="D2981" t="s">
        <v>13</v>
      </c>
      <c r="E2981" t="s">
        <v>14</v>
      </c>
      <c r="F2981" t="s">
        <v>15</v>
      </c>
      <c r="G2981" t="s">
        <v>15</v>
      </c>
      <c r="H2981" t="s">
        <v>15</v>
      </c>
      <c r="I2981" s="1">
        <v>665361000</v>
      </c>
    </row>
    <row r="2982" spans="1:9" x14ac:dyDescent="0.25">
      <c r="A2982" t="s">
        <v>32</v>
      </c>
      <c r="B2982" t="s">
        <v>41</v>
      </c>
      <c r="C2982" t="s">
        <v>1201</v>
      </c>
      <c r="D2982" t="s">
        <v>13</v>
      </c>
      <c r="E2982" t="s">
        <v>14</v>
      </c>
      <c r="F2982" t="s">
        <v>15</v>
      </c>
      <c r="G2982" t="s">
        <v>15</v>
      </c>
      <c r="H2982" t="s">
        <v>15</v>
      </c>
      <c r="I2982" s="1">
        <v>2283954800</v>
      </c>
    </row>
    <row r="2983" spans="1:9" x14ac:dyDescent="0.25">
      <c r="A2983" t="str">
        <f>"62002"</f>
        <v>62002</v>
      </c>
      <c r="B2983" t="s">
        <v>11</v>
      </c>
      <c r="C2983" t="s">
        <v>739</v>
      </c>
      <c r="D2983" t="s">
        <v>13</v>
      </c>
      <c r="E2983" t="s">
        <v>14</v>
      </c>
      <c r="F2983" t="s">
        <v>15</v>
      </c>
      <c r="G2983" t="s">
        <v>15</v>
      </c>
      <c r="H2983" t="s">
        <v>15</v>
      </c>
      <c r="I2983" s="1">
        <v>125384400</v>
      </c>
    </row>
    <row r="2984" spans="1:9" x14ac:dyDescent="0.25">
      <c r="A2984" t="str">
        <f>"62004"</f>
        <v>62004</v>
      </c>
      <c r="B2984" t="s">
        <v>11</v>
      </c>
      <c r="C2984" t="s">
        <v>308</v>
      </c>
      <c r="D2984" t="s">
        <v>13</v>
      </c>
      <c r="E2984" t="s">
        <v>14</v>
      </c>
      <c r="F2984" t="s">
        <v>15</v>
      </c>
      <c r="G2984" t="s">
        <v>15</v>
      </c>
      <c r="H2984" t="s">
        <v>15</v>
      </c>
      <c r="I2984" s="1">
        <v>74421800</v>
      </c>
    </row>
    <row r="2985" spans="1:9" x14ac:dyDescent="0.25">
      <c r="A2985" t="str">
        <f>"62006"</f>
        <v>62006</v>
      </c>
      <c r="B2985" t="s">
        <v>11</v>
      </c>
      <c r="C2985" t="s">
        <v>63</v>
      </c>
      <c r="D2985" t="s">
        <v>13</v>
      </c>
      <c r="E2985" t="s">
        <v>14</v>
      </c>
      <c r="F2985" t="s">
        <v>15</v>
      </c>
      <c r="G2985" t="s">
        <v>15</v>
      </c>
      <c r="H2985" t="s">
        <v>15</v>
      </c>
      <c r="I2985" s="1">
        <v>54124100</v>
      </c>
    </row>
    <row r="2986" spans="1:9" x14ac:dyDescent="0.25">
      <c r="A2986" t="str">
        <f>"62008"</f>
        <v>62008</v>
      </c>
      <c r="B2986" t="s">
        <v>11</v>
      </c>
      <c r="C2986" t="s">
        <v>1210</v>
      </c>
      <c r="D2986" t="s">
        <v>13</v>
      </c>
      <c r="E2986" t="s">
        <v>14</v>
      </c>
      <c r="F2986" t="s">
        <v>15</v>
      </c>
      <c r="G2986" t="s">
        <v>15</v>
      </c>
      <c r="H2986" t="s">
        <v>15</v>
      </c>
      <c r="I2986" s="1">
        <v>68382200</v>
      </c>
    </row>
    <row r="2987" spans="1:9" x14ac:dyDescent="0.25">
      <c r="A2987" t="str">
        <f>"62010"</f>
        <v>62010</v>
      </c>
      <c r="B2987" t="s">
        <v>11</v>
      </c>
      <c r="C2987" t="s">
        <v>463</v>
      </c>
      <c r="D2987" t="s">
        <v>13</v>
      </c>
      <c r="E2987" t="s">
        <v>14</v>
      </c>
      <c r="F2987" t="s">
        <v>15</v>
      </c>
      <c r="G2987" t="s">
        <v>15</v>
      </c>
      <c r="H2987" t="s">
        <v>15</v>
      </c>
      <c r="I2987" s="1">
        <v>37525600</v>
      </c>
    </row>
    <row r="2988" spans="1:9" x14ac:dyDescent="0.25">
      <c r="A2988" t="str">
        <f>"62012"</f>
        <v>62012</v>
      </c>
      <c r="B2988" t="s">
        <v>11</v>
      </c>
      <c r="C2988" t="s">
        <v>589</v>
      </c>
      <c r="D2988" t="s">
        <v>13</v>
      </c>
      <c r="E2988" t="s">
        <v>14</v>
      </c>
      <c r="F2988" t="s">
        <v>15</v>
      </c>
      <c r="G2988" t="s">
        <v>15</v>
      </c>
      <c r="H2988" t="s">
        <v>15</v>
      </c>
      <c r="I2988" s="1">
        <v>82798600</v>
      </c>
    </row>
    <row r="2989" spans="1:9" x14ac:dyDescent="0.25">
      <c r="A2989" t="str">
        <f>"62014"</f>
        <v>62014</v>
      </c>
      <c r="B2989" t="s">
        <v>11</v>
      </c>
      <c r="C2989" t="s">
        <v>1211</v>
      </c>
      <c r="D2989" t="s">
        <v>13</v>
      </c>
      <c r="E2989" t="s">
        <v>14</v>
      </c>
      <c r="F2989" t="s">
        <v>15</v>
      </c>
      <c r="G2989" t="s">
        <v>15</v>
      </c>
      <c r="H2989" t="s">
        <v>15</v>
      </c>
      <c r="I2989" s="1">
        <v>62640800</v>
      </c>
    </row>
    <row r="2990" spans="1:9" x14ac:dyDescent="0.25">
      <c r="A2990" t="str">
        <f>"62016"</f>
        <v>62016</v>
      </c>
      <c r="B2990" t="s">
        <v>11</v>
      </c>
      <c r="C2990" t="s">
        <v>249</v>
      </c>
      <c r="D2990" t="s">
        <v>13</v>
      </c>
      <c r="E2990" t="s">
        <v>14</v>
      </c>
      <c r="F2990" t="s">
        <v>15</v>
      </c>
      <c r="G2990" t="s">
        <v>15</v>
      </c>
      <c r="H2990" t="s">
        <v>15</v>
      </c>
      <c r="I2990" s="1">
        <v>42545600</v>
      </c>
    </row>
    <row r="2991" spans="1:9" x14ac:dyDescent="0.25">
      <c r="A2991" t="str">
        <f>"62018"</f>
        <v>62018</v>
      </c>
      <c r="B2991" t="s">
        <v>11</v>
      </c>
      <c r="C2991" t="s">
        <v>751</v>
      </c>
      <c r="D2991" t="s">
        <v>13</v>
      </c>
      <c r="E2991" t="s">
        <v>14</v>
      </c>
      <c r="F2991" t="s">
        <v>15</v>
      </c>
      <c r="G2991" t="s">
        <v>15</v>
      </c>
      <c r="H2991" t="s">
        <v>15</v>
      </c>
      <c r="I2991" s="1">
        <v>83832500</v>
      </c>
    </row>
    <row r="2992" spans="1:9" x14ac:dyDescent="0.25">
      <c r="A2992" t="str">
        <f>"62020"</f>
        <v>62020</v>
      </c>
      <c r="B2992" t="s">
        <v>11</v>
      </c>
      <c r="C2992" t="s">
        <v>999</v>
      </c>
      <c r="D2992" t="s">
        <v>13</v>
      </c>
      <c r="E2992" t="s">
        <v>14</v>
      </c>
      <c r="F2992" t="s">
        <v>15</v>
      </c>
      <c r="G2992" t="s">
        <v>15</v>
      </c>
      <c r="H2992" t="s">
        <v>15</v>
      </c>
      <c r="I2992" s="1">
        <v>62057100</v>
      </c>
    </row>
    <row r="2993" spans="1:9" x14ac:dyDescent="0.25">
      <c r="A2993" t="str">
        <f>"62022"</f>
        <v>62022</v>
      </c>
      <c r="B2993" t="s">
        <v>11</v>
      </c>
      <c r="C2993" t="s">
        <v>1212</v>
      </c>
      <c r="D2993" t="s">
        <v>13</v>
      </c>
      <c r="E2993" t="s">
        <v>14</v>
      </c>
      <c r="F2993" t="s">
        <v>15</v>
      </c>
      <c r="G2993" t="s">
        <v>15</v>
      </c>
      <c r="H2993" t="s">
        <v>15</v>
      </c>
      <c r="I2993" s="1">
        <v>62780400</v>
      </c>
    </row>
    <row r="2994" spans="1:9" x14ac:dyDescent="0.25">
      <c r="A2994" t="str">
        <f>"62024"</f>
        <v>62024</v>
      </c>
      <c r="B2994" t="s">
        <v>11</v>
      </c>
      <c r="C2994" t="s">
        <v>537</v>
      </c>
      <c r="D2994" t="s">
        <v>13</v>
      </c>
      <c r="E2994" t="s">
        <v>14</v>
      </c>
      <c r="F2994" t="s">
        <v>15</v>
      </c>
      <c r="G2994" t="s">
        <v>15</v>
      </c>
      <c r="H2994" t="s">
        <v>15</v>
      </c>
      <c r="I2994" s="1">
        <v>88951600</v>
      </c>
    </row>
    <row r="2995" spans="1:9" x14ac:dyDescent="0.25">
      <c r="A2995" t="str">
        <f>"62026"</f>
        <v>62026</v>
      </c>
      <c r="B2995" t="s">
        <v>11</v>
      </c>
      <c r="C2995" t="s">
        <v>1213</v>
      </c>
      <c r="D2995" t="s">
        <v>13</v>
      </c>
      <c r="E2995" t="s">
        <v>14</v>
      </c>
      <c r="F2995" t="s">
        <v>15</v>
      </c>
      <c r="G2995" t="s">
        <v>15</v>
      </c>
      <c r="H2995" t="s">
        <v>15</v>
      </c>
      <c r="I2995" s="1">
        <v>48099800</v>
      </c>
    </row>
    <row r="2996" spans="1:9" x14ac:dyDescent="0.25">
      <c r="A2996" t="str">
        <f>"62028"</f>
        <v>62028</v>
      </c>
      <c r="B2996" t="s">
        <v>11</v>
      </c>
      <c r="C2996" t="s">
        <v>504</v>
      </c>
      <c r="D2996" t="s">
        <v>13</v>
      </c>
      <c r="E2996" t="s">
        <v>14</v>
      </c>
      <c r="F2996" t="s">
        <v>15</v>
      </c>
      <c r="G2996" t="s">
        <v>15</v>
      </c>
      <c r="H2996" t="s">
        <v>15</v>
      </c>
      <c r="I2996" s="1">
        <v>32830500</v>
      </c>
    </row>
    <row r="2997" spans="1:9" x14ac:dyDescent="0.25">
      <c r="A2997" t="str">
        <f>"62030"</f>
        <v>62030</v>
      </c>
      <c r="B2997" t="s">
        <v>11</v>
      </c>
      <c r="C2997" t="s">
        <v>1214</v>
      </c>
      <c r="D2997" t="s">
        <v>13</v>
      </c>
      <c r="E2997" t="s">
        <v>14</v>
      </c>
      <c r="F2997" t="s">
        <v>15</v>
      </c>
      <c r="G2997" t="s">
        <v>15</v>
      </c>
      <c r="H2997" t="s">
        <v>15</v>
      </c>
      <c r="I2997" s="1">
        <v>32857100</v>
      </c>
    </row>
    <row r="2998" spans="1:9" x14ac:dyDescent="0.25">
      <c r="A2998" t="str">
        <f>"62032"</f>
        <v>62032</v>
      </c>
      <c r="B2998" t="s">
        <v>11</v>
      </c>
      <c r="C2998" t="s">
        <v>966</v>
      </c>
      <c r="D2998" t="s">
        <v>13</v>
      </c>
      <c r="E2998" t="s">
        <v>14</v>
      </c>
      <c r="F2998" t="s">
        <v>15</v>
      </c>
      <c r="G2998" t="s">
        <v>15</v>
      </c>
      <c r="H2998" t="s">
        <v>15</v>
      </c>
      <c r="I2998" s="1">
        <v>52027000</v>
      </c>
    </row>
    <row r="2999" spans="1:9" x14ac:dyDescent="0.25">
      <c r="A2999" t="str">
        <f>"62034"</f>
        <v>62034</v>
      </c>
      <c r="B2999" t="s">
        <v>11</v>
      </c>
      <c r="C2999" t="s">
        <v>165</v>
      </c>
      <c r="D2999" t="s">
        <v>13</v>
      </c>
      <c r="E2999" t="s">
        <v>14</v>
      </c>
      <c r="F2999" t="s">
        <v>15</v>
      </c>
      <c r="G2999" t="s">
        <v>15</v>
      </c>
      <c r="H2999" t="s">
        <v>15</v>
      </c>
      <c r="I2999" s="1">
        <v>42948000</v>
      </c>
    </row>
    <row r="3000" spans="1:9" x14ac:dyDescent="0.25">
      <c r="A3000" t="str">
        <f>"62036"</f>
        <v>62036</v>
      </c>
      <c r="B3000" t="s">
        <v>11</v>
      </c>
      <c r="C3000" t="s">
        <v>1215</v>
      </c>
      <c r="D3000" t="s">
        <v>13</v>
      </c>
      <c r="E3000" t="s">
        <v>14</v>
      </c>
      <c r="F3000" t="s">
        <v>15</v>
      </c>
      <c r="G3000" t="s">
        <v>15</v>
      </c>
      <c r="H3000" t="s">
        <v>15</v>
      </c>
      <c r="I3000" s="1">
        <v>150174100</v>
      </c>
    </row>
    <row r="3001" spans="1:9" x14ac:dyDescent="0.25">
      <c r="A3001" t="str">
        <f>"62038"</f>
        <v>62038</v>
      </c>
      <c r="B3001" t="s">
        <v>11</v>
      </c>
      <c r="C3001" t="s">
        <v>169</v>
      </c>
      <c r="D3001" t="s">
        <v>13</v>
      </c>
      <c r="E3001" t="s">
        <v>14</v>
      </c>
      <c r="F3001" t="s">
        <v>15</v>
      </c>
      <c r="G3001" t="s">
        <v>15</v>
      </c>
      <c r="H3001" t="s">
        <v>15</v>
      </c>
      <c r="I3001" s="1">
        <v>60868700</v>
      </c>
    </row>
    <row r="3002" spans="1:9" x14ac:dyDescent="0.25">
      <c r="A3002" t="str">
        <f>"62040"</f>
        <v>62040</v>
      </c>
      <c r="B3002" t="s">
        <v>11</v>
      </c>
      <c r="C3002" t="s">
        <v>644</v>
      </c>
      <c r="D3002" t="s">
        <v>13</v>
      </c>
      <c r="E3002" t="s">
        <v>14</v>
      </c>
      <c r="F3002" t="s">
        <v>15</v>
      </c>
      <c r="G3002" t="s">
        <v>15</v>
      </c>
      <c r="H3002" t="s">
        <v>15</v>
      </c>
      <c r="I3002" s="1">
        <v>65964300</v>
      </c>
    </row>
    <row r="3003" spans="1:9" x14ac:dyDescent="0.25">
      <c r="A3003" t="str">
        <f>"62042"</f>
        <v>62042</v>
      </c>
      <c r="B3003" t="s">
        <v>11</v>
      </c>
      <c r="C3003" t="s">
        <v>1216</v>
      </c>
      <c r="D3003" t="s">
        <v>13</v>
      </c>
      <c r="E3003" t="s">
        <v>14</v>
      </c>
      <c r="F3003" t="s">
        <v>15</v>
      </c>
      <c r="G3003" t="s">
        <v>15</v>
      </c>
      <c r="H3003" t="s">
        <v>15</v>
      </c>
      <c r="I3003" s="1">
        <v>31738600</v>
      </c>
    </row>
    <row r="3004" spans="1:9" x14ac:dyDescent="0.25">
      <c r="A3004" t="s">
        <v>32</v>
      </c>
      <c r="B3004" t="s">
        <v>33</v>
      </c>
      <c r="C3004" t="s">
        <v>34</v>
      </c>
      <c r="D3004" t="s">
        <v>13</v>
      </c>
      <c r="E3004" t="s">
        <v>14</v>
      </c>
      <c r="F3004" t="s">
        <v>15</v>
      </c>
      <c r="G3004" t="s">
        <v>15</v>
      </c>
      <c r="H3004" t="s">
        <v>15</v>
      </c>
      <c r="I3004" s="1">
        <v>1362952800</v>
      </c>
    </row>
    <row r="3005" spans="1:9" x14ac:dyDescent="0.25">
      <c r="A3005" t="str">
        <f>"62111"</f>
        <v>62111</v>
      </c>
      <c r="B3005" t="s">
        <v>35</v>
      </c>
      <c r="C3005" t="s">
        <v>1217</v>
      </c>
      <c r="D3005" t="s">
        <v>13</v>
      </c>
      <c r="E3005" t="s">
        <v>14</v>
      </c>
      <c r="F3005" t="s">
        <v>15</v>
      </c>
      <c r="G3005" t="s">
        <v>15</v>
      </c>
      <c r="H3005" t="s">
        <v>15</v>
      </c>
      <c r="I3005" s="1">
        <v>17637600</v>
      </c>
    </row>
    <row r="3006" spans="1:9" x14ac:dyDescent="0.25">
      <c r="A3006" t="str">
        <f>"62112"</f>
        <v>62112</v>
      </c>
      <c r="B3006" t="s">
        <v>35</v>
      </c>
      <c r="C3006" t="s">
        <v>1218</v>
      </c>
      <c r="D3006" t="s">
        <v>13</v>
      </c>
      <c r="E3006" t="s">
        <v>14</v>
      </c>
      <c r="F3006" t="s">
        <v>15</v>
      </c>
      <c r="G3006" t="s">
        <v>15</v>
      </c>
      <c r="H3006" t="s">
        <v>15</v>
      </c>
      <c r="I3006" s="1">
        <v>50869700</v>
      </c>
    </row>
    <row r="3007" spans="1:9" x14ac:dyDescent="0.25">
      <c r="A3007" t="str">
        <f>"62116"</f>
        <v>62116</v>
      </c>
      <c r="B3007" t="s">
        <v>35</v>
      </c>
      <c r="C3007" t="s">
        <v>293</v>
      </c>
      <c r="D3007" t="str">
        <f>"001"</f>
        <v>001</v>
      </c>
      <c r="E3007">
        <v>2001</v>
      </c>
      <c r="F3007">
        <v>340200</v>
      </c>
      <c r="G3007">
        <v>724800</v>
      </c>
      <c r="H3007">
        <v>384600</v>
      </c>
    </row>
    <row r="3008" spans="1:9" x14ac:dyDescent="0.25">
      <c r="A3008" t="str">
        <f>"62116"</f>
        <v>62116</v>
      </c>
      <c r="B3008" t="s">
        <v>35</v>
      </c>
      <c r="C3008" t="s">
        <v>293</v>
      </c>
      <c r="D3008" t="s">
        <v>13</v>
      </c>
      <c r="E3008" t="s">
        <v>14</v>
      </c>
      <c r="F3008" t="s">
        <v>15</v>
      </c>
      <c r="G3008" t="s">
        <v>15</v>
      </c>
      <c r="H3008" t="s">
        <v>15</v>
      </c>
      <c r="I3008" s="1">
        <v>15954900</v>
      </c>
    </row>
    <row r="3009" spans="1:9" x14ac:dyDescent="0.25">
      <c r="A3009" t="str">
        <f>"62131"</f>
        <v>62131</v>
      </c>
      <c r="B3009" t="s">
        <v>35</v>
      </c>
      <c r="C3009" t="s">
        <v>1211</v>
      </c>
      <c r="D3009" t="s">
        <v>13</v>
      </c>
      <c r="E3009" t="s">
        <v>14</v>
      </c>
      <c r="F3009" t="s">
        <v>15</v>
      </c>
      <c r="G3009" t="s">
        <v>15</v>
      </c>
      <c r="H3009" t="s">
        <v>15</v>
      </c>
      <c r="I3009" s="1">
        <v>14727500</v>
      </c>
    </row>
    <row r="3010" spans="1:9" x14ac:dyDescent="0.25">
      <c r="A3010" t="str">
        <f>"62146"</f>
        <v>62146</v>
      </c>
      <c r="B3010" t="s">
        <v>35</v>
      </c>
      <c r="C3010" t="s">
        <v>1219</v>
      </c>
      <c r="D3010" t="str">
        <f>"001"</f>
        <v>001</v>
      </c>
      <c r="E3010">
        <v>2003</v>
      </c>
      <c r="F3010">
        <v>118300</v>
      </c>
      <c r="G3010">
        <v>10488200</v>
      </c>
      <c r="H3010">
        <v>10369900</v>
      </c>
    </row>
    <row r="3011" spans="1:9" x14ac:dyDescent="0.25">
      <c r="A3011" t="str">
        <f>"62146"</f>
        <v>62146</v>
      </c>
      <c r="B3011" t="s">
        <v>35</v>
      </c>
      <c r="C3011" t="s">
        <v>1219</v>
      </c>
      <c r="D3011" t="s">
        <v>13</v>
      </c>
      <c r="E3011" t="s">
        <v>14</v>
      </c>
      <c r="F3011" t="s">
        <v>15</v>
      </c>
      <c r="G3011" t="s">
        <v>15</v>
      </c>
      <c r="H3011" t="s">
        <v>15</v>
      </c>
      <c r="I3011" s="1">
        <v>26116000</v>
      </c>
    </row>
    <row r="3012" spans="1:9" x14ac:dyDescent="0.25">
      <c r="A3012" t="str">
        <f>"62165"</f>
        <v>62165</v>
      </c>
      <c r="B3012" t="s">
        <v>35</v>
      </c>
      <c r="C3012" t="s">
        <v>846</v>
      </c>
      <c r="D3012" t="str">
        <f>"001"</f>
        <v>001</v>
      </c>
      <c r="E3012">
        <v>1998</v>
      </c>
      <c r="F3012">
        <v>486500</v>
      </c>
      <c r="G3012">
        <v>2092900</v>
      </c>
      <c r="H3012">
        <v>1606400</v>
      </c>
    </row>
    <row r="3013" spans="1:9" x14ac:dyDescent="0.25">
      <c r="A3013" t="str">
        <f>"62165"</f>
        <v>62165</v>
      </c>
      <c r="B3013" t="s">
        <v>35</v>
      </c>
      <c r="C3013" t="s">
        <v>846</v>
      </c>
      <c r="D3013" t="s">
        <v>13</v>
      </c>
      <c r="E3013" t="s">
        <v>14</v>
      </c>
      <c r="F3013" t="s">
        <v>15</v>
      </c>
      <c r="G3013" t="s">
        <v>15</v>
      </c>
      <c r="H3013" t="s">
        <v>15</v>
      </c>
      <c r="I3013" s="1">
        <v>15374100</v>
      </c>
    </row>
    <row r="3014" spans="1:9" x14ac:dyDescent="0.25">
      <c r="A3014" t="str">
        <f>"62176"</f>
        <v>62176</v>
      </c>
      <c r="B3014" t="s">
        <v>35</v>
      </c>
      <c r="C3014" t="s">
        <v>1220</v>
      </c>
      <c r="D3014" t="s">
        <v>13</v>
      </c>
      <c r="E3014" t="s">
        <v>14</v>
      </c>
      <c r="F3014" t="s">
        <v>15</v>
      </c>
      <c r="G3014" t="s">
        <v>15</v>
      </c>
      <c r="H3014" t="s">
        <v>15</v>
      </c>
      <c r="I3014" s="1">
        <v>15627400</v>
      </c>
    </row>
    <row r="3015" spans="1:9" x14ac:dyDescent="0.25">
      <c r="A3015" t="str">
        <f>"62181"</f>
        <v>62181</v>
      </c>
      <c r="B3015" t="s">
        <v>35</v>
      </c>
      <c r="C3015" t="s">
        <v>1221</v>
      </c>
      <c r="D3015" t="s">
        <v>13</v>
      </c>
      <c r="E3015" t="s">
        <v>14</v>
      </c>
      <c r="F3015" t="s">
        <v>15</v>
      </c>
      <c r="G3015" t="s">
        <v>15</v>
      </c>
      <c r="H3015" t="s">
        <v>15</v>
      </c>
      <c r="I3015" s="1">
        <v>58445200</v>
      </c>
    </row>
    <row r="3016" spans="1:9" x14ac:dyDescent="0.25">
      <c r="A3016" t="str">
        <f>"62186"</f>
        <v>62186</v>
      </c>
      <c r="B3016" t="s">
        <v>35</v>
      </c>
      <c r="C3016" t="s">
        <v>1036</v>
      </c>
      <c r="D3016" t="str">
        <f>"004"</f>
        <v>004</v>
      </c>
      <c r="E3016">
        <v>2007</v>
      </c>
      <c r="F3016">
        <v>319500</v>
      </c>
      <c r="G3016">
        <v>3525400</v>
      </c>
      <c r="H3016">
        <v>3205900</v>
      </c>
    </row>
    <row r="3017" spans="1:9" x14ac:dyDescent="0.25">
      <c r="A3017" t="str">
        <f>"62186"</f>
        <v>62186</v>
      </c>
      <c r="B3017" t="s">
        <v>35</v>
      </c>
      <c r="C3017" t="s">
        <v>1036</v>
      </c>
      <c r="D3017" t="s">
        <v>13</v>
      </c>
      <c r="E3017" t="s">
        <v>14</v>
      </c>
      <c r="F3017" t="s">
        <v>15</v>
      </c>
      <c r="G3017" t="s">
        <v>15</v>
      </c>
      <c r="H3017" t="s">
        <v>15</v>
      </c>
      <c r="I3017" s="1">
        <v>5697900</v>
      </c>
    </row>
    <row r="3018" spans="1:9" x14ac:dyDescent="0.25">
      <c r="A3018" t="s">
        <v>32</v>
      </c>
      <c r="B3018" t="s">
        <v>37</v>
      </c>
      <c r="C3018" t="s">
        <v>34</v>
      </c>
      <c r="D3018" t="s">
        <v>13</v>
      </c>
      <c r="E3018" t="s">
        <v>14</v>
      </c>
      <c r="F3018" t="s">
        <v>15</v>
      </c>
      <c r="G3018" t="s">
        <v>15</v>
      </c>
      <c r="H3018" t="s">
        <v>15</v>
      </c>
      <c r="I3018" s="1">
        <v>220450300</v>
      </c>
    </row>
    <row r="3019" spans="1:9" x14ac:dyDescent="0.25">
      <c r="A3019" t="str">
        <f>"62236"</f>
        <v>62236</v>
      </c>
      <c r="B3019" t="s">
        <v>38</v>
      </c>
      <c r="C3019" t="s">
        <v>1212</v>
      </c>
      <c r="D3019" t="str">
        <f>"002"</f>
        <v>002</v>
      </c>
      <c r="E3019">
        <v>1993</v>
      </c>
      <c r="F3019">
        <v>483600</v>
      </c>
      <c r="G3019">
        <v>13441400</v>
      </c>
      <c r="H3019">
        <v>12957800</v>
      </c>
    </row>
    <row r="3020" spans="1:9" x14ac:dyDescent="0.25">
      <c r="A3020" t="str">
        <f>"62236"</f>
        <v>62236</v>
      </c>
      <c r="B3020" t="s">
        <v>38</v>
      </c>
      <c r="C3020" t="s">
        <v>1212</v>
      </c>
      <c r="D3020" t="str">
        <f>"004"</f>
        <v>004</v>
      </c>
      <c r="E3020">
        <v>1998</v>
      </c>
      <c r="F3020">
        <v>2715800</v>
      </c>
      <c r="G3020">
        <v>11966300</v>
      </c>
      <c r="H3020">
        <v>9250500</v>
      </c>
    </row>
    <row r="3021" spans="1:9" x14ac:dyDescent="0.25">
      <c r="A3021" t="str">
        <f>"62236"</f>
        <v>62236</v>
      </c>
      <c r="B3021" t="s">
        <v>38</v>
      </c>
      <c r="C3021" t="s">
        <v>1212</v>
      </c>
      <c r="D3021" t="s">
        <v>13</v>
      </c>
      <c r="E3021" t="s">
        <v>14</v>
      </c>
      <c r="F3021" t="s">
        <v>15</v>
      </c>
      <c r="G3021" t="s">
        <v>15</v>
      </c>
      <c r="H3021" t="s">
        <v>15</v>
      </c>
      <c r="I3021" s="1">
        <v>48477400</v>
      </c>
    </row>
    <row r="3022" spans="1:9" x14ac:dyDescent="0.25">
      <c r="A3022" t="str">
        <f t="shared" ref="A3022:A3027" si="67">"62286"</f>
        <v>62286</v>
      </c>
      <c r="B3022" t="s">
        <v>38</v>
      </c>
      <c r="C3022" t="s">
        <v>1215</v>
      </c>
      <c r="D3022" t="str">
        <f>"002"</f>
        <v>002</v>
      </c>
      <c r="E3022">
        <v>1994</v>
      </c>
      <c r="F3022">
        <v>355500</v>
      </c>
      <c r="G3022">
        <v>2165400</v>
      </c>
      <c r="H3022">
        <v>1809900</v>
      </c>
    </row>
    <row r="3023" spans="1:9" x14ac:dyDescent="0.25">
      <c r="A3023" t="str">
        <f t="shared" si="67"/>
        <v>62286</v>
      </c>
      <c r="B3023" t="s">
        <v>38</v>
      </c>
      <c r="C3023" t="s">
        <v>1215</v>
      </c>
      <c r="D3023" t="str">
        <f>"003"</f>
        <v>003</v>
      </c>
      <c r="E3023">
        <v>1995</v>
      </c>
      <c r="F3023">
        <v>3810600</v>
      </c>
      <c r="G3023">
        <v>19137100</v>
      </c>
      <c r="H3023">
        <v>15326500</v>
      </c>
    </row>
    <row r="3024" spans="1:9" x14ac:dyDescent="0.25">
      <c r="A3024" t="str">
        <f t="shared" si="67"/>
        <v>62286</v>
      </c>
      <c r="B3024" t="s">
        <v>38</v>
      </c>
      <c r="C3024" t="s">
        <v>1215</v>
      </c>
      <c r="D3024" t="str">
        <f>"004"</f>
        <v>004</v>
      </c>
      <c r="E3024">
        <v>1999</v>
      </c>
      <c r="F3024">
        <v>293000</v>
      </c>
      <c r="G3024">
        <v>3935200</v>
      </c>
      <c r="H3024">
        <v>3642200</v>
      </c>
    </row>
    <row r="3025" spans="1:9" x14ac:dyDescent="0.25">
      <c r="A3025" t="str">
        <f t="shared" si="67"/>
        <v>62286</v>
      </c>
      <c r="B3025" t="s">
        <v>38</v>
      </c>
      <c r="C3025" t="s">
        <v>1215</v>
      </c>
      <c r="D3025" t="str">
        <f>"005"</f>
        <v>005</v>
      </c>
      <c r="E3025">
        <v>2006</v>
      </c>
      <c r="F3025">
        <v>279600</v>
      </c>
      <c r="G3025">
        <v>2207700</v>
      </c>
      <c r="H3025">
        <v>1928100</v>
      </c>
    </row>
    <row r="3026" spans="1:9" x14ac:dyDescent="0.25">
      <c r="A3026" t="str">
        <f t="shared" si="67"/>
        <v>62286</v>
      </c>
      <c r="B3026" t="s">
        <v>38</v>
      </c>
      <c r="C3026" t="s">
        <v>1215</v>
      </c>
      <c r="D3026" t="str">
        <f>"006"</f>
        <v>006</v>
      </c>
      <c r="E3026">
        <v>2015</v>
      </c>
      <c r="F3026">
        <v>13024300</v>
      </c>
      <c r="G3026">
        <v>20254600</v>
      </c>
      <c r="H3026">
        <v>7230300</v>
      </c>
    </row>
    <row r="3027" spans="1:9" x14ac:dyDescent="0.25">
      <c r="A3027" t="str">
        <f t="shared" si="67"/>
        <v>62286</v>
      </c>
      <c r="B3027" t="s">
        <v>38</v>
      </c>
      <c r="C3027" t="s">
        <v>1215</v>
      </c>
      <c r="D3027" t="s">
        <v>13</v>
      </c>
      <c r="E3027" t="s">
        <v>14</v>
      </c>
      <c r="F3027" t="s">
        <v>15</v>
      </c>
      <c r="G3027" t="s">
        <v>15</v>
      </c>
      <c r="H3027" t="s">
        <v>15</v>
      </c>
      <c r="I3027" s="1">
        <v>266986700</v>
      </c>
    </row>
    <row r="3028" spans="1:9" x14ac:dyDescent="0.25">
      <c r="A3028" t="str">
        <f>"62291"</f>
        <v>62291</v>
      </c>
      <c r="B3028" t="s">
        <v>38</v>
      </c>
      <c r="C3028" t="s">
        <v>1222</v>
      </c>
      <c r="D3028" t="str">
        <f>"002"</f>
        <v>002</v>
      </c>
      <c r="E3028">
        <v>2007</v>
      </c>
      <c r="F3028">
        <v>6226700</v>
      </c>
      <c r="G3028">
        <v>12383300</v>
      </c>
      <c r="H3028">
        <v>6156600</v>
      </c>
    </row>
    <row r="3029" spans="1:9" x14ac:dyDescent="0.25">
      <c r="A3029" t="str">
        <f>"62291"</f>
        <v>62291</v>
      </c>
      <c r="B3029" t="s">
        <v>38</v>
      </c>
      <c r="C3029" t="s">
        <v>1222</v>
      </c>
      <c r="D3029" t="str">
        <f>"003"</f>
        <v>003</v>
      </c>
      <c r="E3029">
        <v>2008</v>
      </c>
      <c r="F3029">
        <v>6591700</v>
      </c>
      <c r="G3029">
        <v>13722800</v>
      </c>
      <c r="H3029">
        <v>7131100</v>
      </c>
    </row>
    <row r="3030" spans="1:9" x14ac:dyDescent="0.25">
      <c r="A3030" t="str">
        <f>"62291"</f>
        <v>62291</v>
      </c>
      <c r="B3030" t="s">
        <v>38</v>
      </c>
      <c r="C3030" t="s">
        <v>1222</v>
      </c>
      <c r="D3030" t="s">
        <v>13</v>
      </c>
      <c r="E3030" t="s">
        <v>14</v>
      </c>
      <c r="F3030" t="s">
        <v>15</v>
      </c>
      <c r="G3030" t="s">
        <v>15</v>
      </c>
      <c r="H3030" t="s">
        <v>15</v>
      </c>
      <c r="I3030" s="1">
        <v>118806500</v>
      </c>
    </row>
    <row r="3031" spans="1:9" x14ac:dyDescent="0.25">
      <c r="A3031" t="s">
        <v>32</v>
      </c>
      <c r="B3031" t="s">
        <v>40</v>
      </c>
      <c r="C3031" t="s">
        <v>34</v>
      </c>
      <c r="D3031" t="s">
        <v>13</v>
      </c>
      <c r="E3031" t="s">
        <v>14</v>
      </c>
      <c r="F3031" t="s">
        <v>15</v>
      </c>
      <c r="G3031" t="s">
        <v>15</v>
      </c>
      <c r="H3031" t="s">
        <v>15</v>
      </c>
      <c r="I3031" s="1">
        <v>434270600</v>
      </c>
    </row>
    <row r="3032" spans="1:9" x14ac:dyDescent="0.25">
      <c r="A3032" t="s">
        <v>32</v>
      </c>
      <c r="B3032" t="s">
        <v>41</v>
      </c>
      <c r="C3032" t="s">
        <v>1223</v>
      </c>
      <c r="D3032" t="s">
        <v>13</v>
      </c>
      <c r="E3032" t="s">
        <v>14</v>
      </c>
      <c r="F3032" t="s">
        <v>15</v>
      </c>
      <c r="G3032" t="s">
        <v>15</v>
      </c>
      <c r="H3032" t="s">
        <v>15</v>
      </c>
      <c r="I3032" s="1">
        <v>2017673700</v>
      </c>
    </row>
    <row r="3033" spans="1:9" x14ac:dyDescent="0.25">
      <c r="A3033" t="str">
        <f>"63002"</f>
        <v>63002</v>
      </c>
      <c r="B3033" t="s">
        <v>11</v>
      </c>
      <c r="C3033" t="s">
        <v>1224</v>
      </c>
      <c r="D3033" t="s">
        <v>13</v>
      </c>
      <c r="E3033" t="s">
        <v>14</v>
      </c>
      <c r="F3033" t="s">
        <v>15</v>
      </c>
      <c r="G3033" t="s">
        <v>15</v>
      </c>
      <c r="H3033" t="s">
        <v>15</v>
      </c>
      <c r="I3033" s="1">
        <v>567697500</v>
      </c>
    </row>
    <row r="3034" spans="1:9" x14ac:dyDescent="0.25">
      <c r="A3034" t="str">
        <f>"63004"</f>
        <v>63004</v>
      </c>
      <c r="B3034" t="s">
        <v>11</v>
      </c>
      <c r="C3034" t="s">
        <v>1225</v>
      </c>
      <c r="D3034" t="s">
        <v>13</v>
      </c>
      <c r="E3034" t="s">
        <v>14</v>
      </c>
      <c r="F3034" t="s">
        <v>15</v>
      </c>
      <c r="G3034" t="s">
        <v>15</v>
      </c>
      <c r="H3034" t="s">
        <v>15</v>
      </c>
      <c r="I3034" s="1">
        <v>489070900</v>
      </c>
    </row>
    <row r="3035" spans="1:9" x14ac:dyDescent="0.25">
      <c r="A3035" t="str">
        <f>"63006"</f>
        <v>63006</v>
      </c>
      <c r="B3035" t="s">
        <v>11</v>
      </c>
      <c r="C3035" t="s">
        <v>400</v>
      </c>
      <c r="D3035" t="s">
        <v>13</v>
      </c>
      <c r="E3035" t="s">
        <v>14</v>
      </c>
      <c r="F3035" t="s">
        <v>15</v>
      </c>
      <c r="G3035" t="s">
        <v>15</v>
      </c>
      <c r="H3035" t="s">
        <v>15</v>
      </c>
      <c r="I3035" s="1">
        <v>259358000</v>
      </c>
    </row>
    <row r="3036" spans="1:9" x14ac:dyDescent="0.25">
      <c r="A3036" t="str">
        <f>"63008"</f>
        <v>63008</v>
      </c>
      <c r="B3036" t="s">
        <v>11</v>
      </c>
      <c r="C3036" t="s">
        <v>1226</v>
      </c>
      <c r="D3036" t="s">
        <v>13</v>
      </c>
      <c r="E3036" t="s">
        <v>14</v>
      </c>
      <c r="F3036" t="s">
        <v>15</v>
      </c>
      <c r="G3036" t="s">
        <v>15</v>
      </c>
      <c r="H3036" t="s">
        <v>15</v>
      </c>
      <c r="I3036" s="1">
        <v>385915400</v>
      </c>
    </row>
    <row r="3037" spans="1:9" x14ac:dyDescent="0.25">
      <c r="A3037" t="str">
        <f>"63010"</f>
        <v>63010</v>
      </c>
      <c r="B3037" t="s">
        <v>11</v>
      </c>
      <c r="C3037" t="s">
        <v>1227</v>
      </c>
      <c r="D3037" t="s">
        <v>13</v>
      </c>
      <c r="E3037" t="s">
        <v>14</v>
      </c>
      <c r="F3037" t="s">
        <v>15</v>
      </c>
      <c r="G3037" t="s">
        <v>15</v>
      </c>
      <c r="H3037" t="s">
        <v>15</v>
      </c>
      <c r="I3037" s="1">
        <v>955637800</v>
      </c>
    </row>
    <row r="3038" spans="1:9" x14ac:dyDescent="0.25">
      <c r="A3038" t="str">
        <f>"63012"</f>
        <v>63012</v>
      </c>
      <c r="B3038" t="s">
        <v>11</v>
      </c>
      <c r="C3038" t="s">
        <v>1228</v>
      </c>
      <c r="D3038" t="s">
        <v>13</v>
      </c>
      <c r="E3038" t="s">
        <v>14</v>
      </c>
      <c r="F3038" t="s">
        <v>15</v>
      </c>
      <c r="G3038" t="s">
        <v>15</v>
      </c>
      <c r="H3038" t="s">
        <v>15</v>
      </c>
      <c r="I3038" s="1">
        <v>455121200</v>
      </c>
    </row>
    <row r="3039" spans="1:9" x14ac:dyDescent="0.25">
      <c r="A3039" t="str">
        <f>"63014"</f>
        <v>63014</v>
      </c>
      <c r="B3039" t="s">
        <v>11</v>
      </c>
      <c r="C3039" t="s">
        <v>22</v>
      </c>
      <c r="D3039" t="s">
        <v>13</v>
      </c>
      <c r="E3039" t="s">
        <v>14</v>
      </c>
      <c r="F3039" t="s">
        <v>15</v>
      </c>
      <c r="G3039" t="s">
        <v>15</v>
      </c>
      <c r="H3039" t="s">
        <v>15</v>
      </c>
      <c r="I3039" s="1">
        <v>562302400</v>
      </c>
    </row>
    <row r="3040" spans="1:9" x14ac:dyDescent="0.25">
      <c r="A3040" t="str">
        <f>"63016"</f>
        <v>63016</v>
      </c>
      <c r="B3040" t="s">
        <v>11</v>
      </c>
      <c r="C3040" t="s">
        <v>1229</v>
      </c>
      <c r="D3040" t="s">
        <v>13</v>
      </c>
      <c r="E3040" t="s">
        <v>14</v>
      </c>
      <c r="F3040" t="s">
        <v>15</v>
      </c>
      <c r="G3040" t="s">
        <v>15</v>
      </c>
      <c r="H3040" t="s">
        <v>15</v>
      </c>
      <c r="I3040" s="1">
        <v>557685400</v>
      </c>
    </row>
    <row r="3041" spans="1:9" x14ac:dyDescent="0.25">
      <c r="A3041" t="str">
        <f>"63018"</f>
        <v>63018</v>
      </c>
      <c r="B3041" t="s">
        <v>11</v>
      </c>
      <c r="C3041" t="s">
        <v>1230</v>
      </c>
      <c r="D3041" t="s">
        <v>13</v>
      </c>
      <c r="E3041" t="s">
        <v>14</v>
      </c>
      <c r="F3041" t="s">
        <v>15</v>
      </c>
      <c r="G3041" t="s">
        <v>15</v>
      </c>
      <c r="H3041" t="s">
        <v>15</v>
      </c>
      <c r="I3041" s="1">
        <v>393923600</v>
      </c>
    </row>
    <row r="3042" spans="1:9" x14ac:dyDescent="0.25">
      <c r="A3042" t="str">
        <f>"63020"</f>
        <v>63020</v>
      </c>
      <c r="B3042" t="s">
        <v>11</v>
      </c>
      <c r="C3042" t="s">
        <v>1231</v>
      </c>
      <c r="D3042" t="s">
        <v>13</v>
      </c>
      <c r="E3042" t="s">
        <v>14</v>
      </c>
      <c r="F3042" t="s">
        <v>15</v>
      </c>
      <c r="G3042" t="s">
        <v>15</v>
      </c>
      <c r="H3042" t="s">
        <v>15</v>
      </c>
      <c r="I3042" s="1">
        <v>272017000</v>
      </c>
    </row>
    <row r="3043" spans="1:9" x14ac:dyDescent="0.25">
      <c r="A3043" t="str">
        <f>"63022"</f>
        <v>63022</v>
      </c>
      <c r="B3043" t="s">
        <v>11</v>
      </c>
      <c r="C3043" t="s">
        <v>1232</v>
      </c>
      <c r="D3043" t="s">
        <v>13</v>
      </c>
      <c r="E3043" t="s">
        <v>14</v>
      </c>
      <c r="F3043" t="s">
        <v>15</v>
      </c>
      <c r="G3043" t="s">
        <v>15</v>
      </c>
      <c r="H3043" t="s">
        <v>15</v>
      </c>
      <c r="I3043" s="1">
        <v>594820100</v>
      </c>
    </row>
    <row r="3044" spans="1:9" x14ac:dyDescent="0.25">
      <c r="A3044" t="str">
        <f>"63024"</f>
        <v>63024</v>
      </c>
      <c r="B3044" t="s">
        <v>11</v>
      </c>
      <c r="C3044" t="s">
        <v>1233</v>
      </c>
      <c r="D3044" t="s">
        <v>13</v>
      </c>
      <c r="E3044" t="s">
        <v>14</v>
      </c>
      <c r="F3044" t="s">
        <v>15</v>
      </c>
      <c r="G3044" t="s">
        <v>15</v>
      </c>
      <c r="H3044" t="s">
        <v>15</v>
      </c>
      <c r="I3044" s="1">
        <v>702533800</v>
      </c>
    </row>
    <row r="3045" spans="1:9" x14ac:dyDescent="0.25">
      <c r="A3045" t="str">
        <f>"63026"</f>
        <v>63026</v>
      </c>
      <c r="B3045" t="s">
        <v>11</v>
      </c>
      <c r="C3045" t="s">
        <v>393</v>
      </c>
      <c r="D3045" t="s">
        <v>13</v>
      </c>
      <c r="E3045" t="s">
        <v>14</v>
      </c>
      <c r="F3045" t="s">
        <v>15</v>
      </c>
      <c r="G3045" t="s">
        <v>15</v>
      </c>
      <c r="H3045" t="s">
        <v>15</v>
      </c>
      <c r="I3045" s="1">
        <v>561876900</v>
      </c>
    </row>
    <row r="3046" spans="1:9" x14ac:dyDescent="0.25">
      <c r="A3046" t="str">
        <f>"63028"</f>
        <v>63028</v>
      </c>
      <c r="B3046" t="s">
        <v>11</v>
      </c>
      <c r="C3046" t="s">
        <v>1234</v>
      </c>
      <c r="D3046" t="s">
        <v>13</v>
      </c>
      <c r="E3046" t="s">
        <v>14</v>
      </c>
      <c r="F3046" t="s">
        <v>15</v>
      </c>
      <c r="G3046" t="s">
        <v>15</v>
      </c>
      <c r="H3046" t="s">
        <v>15</v>
      </c>
      <c r="I3046" s="1">
        <v>276805100</v>
      </c>
    </row>
    <row r="3047" spans="1:9" x14ac:dyDescent="0.25">
      <c r="A3047" t="s">
        <v>32</v>
      </c>
      <c r="B3047" t="s">
        <v>33</v>
      </c>
      <c r="C3047" t="s">
        <v>34</v>
      </c>
      <c r="D3047" t="s">
        <v>13</v>
      </c>
      <c r="E3047" t="s">
        <v>14</v>
      </c>
      <c r="F3047" t="s">
        <v>15</v>
      </c>
      <c r="G3047" t="s">
        <v>15</v>
      </c>
      <c r="H3047" t="s">
        <v>15</v>
      </c>
      <c r="I3047" s="1">
        <v>7034765100</v>
      </c>
    </row>
    <row r="3048" spans="1:9" x14ac:dyDescent="0.25">
      <c r="A3048" t="str">
        <f>"63221"</f>
        <v>63221</v>
      </c>
      <c r="B3048" t="s">
        <v>38</v>
      </c>
      <c r="C3048" t="s">
        <v>1235</v>
      </c>
      <c r="D3048" t="str">
        <f>"002"</f>
        <v>002</v>
      </c>
      <c r="E3048">
        <v>2007</v>
      </c>
      <c r="F3048">
        <v>4062400</v>
      </c>
      <c r="G3048">
        <v>11522800</v>
      </c>
      <c r="H3048">
        <v>7460400</v>
      </c>
    </row>
    <row r="3049" spans="1:9" x14ac:dyDescent="0.25">
      <c r="A3049" t="str">
        <f>"63221"</f>
        <v>63221</v>
      </c>
      <c r="B3049" t="s">
        <v>38</v>
      </c>
      <c r="C3049" t="s">
        <v>1235</v>
      </c>
      <c r="D3049" t="str">
        <f>"003"</f>
        <v>003</v>
      </c>
      <c r="E3049">
        <v>2007</v>
      </c>
      <c r="F3049">
        <v>8138700</v>
      </c>
      <c r="G3049">
        <v>17198200</v>
      </c>
      <c r="H3049">
        <v>9059500</v>
      </c>
    </row>
    <row r="3050" spans="1:9" x14ac:dyDescent="0.25">
      <c r="A3050" t="str">
        <f>"63221"</f>
        <v>63221</v>
      </c>
      <c r="B3050" t="s">
        <v>38</v>
      </c>
      <c r="C3050" t="s">
        <v>1235</v>
      </c>
      <c r="D3050" t="s">
        <v>13</v>
      </c>
      <c r="E3050" t="s">
        <v>14</v>
      </c>
      <c r="F3050" t="s">
        <v>15</v>
      </c>
      <c r="G3050" t="s">
        <v>15</v>
      </c>
      <c r="H3050" t="s">
        <v>15</v>
      </c>
      <c r="I3050" s="1">
        <v>172578100</v>
      </c>
    </row>
    <row r="3051" spans="1:9" x14ac:dyDescent="0.25">
      <c r="A3051" t="s">
        <v>32</v>
      </c>
      <c r="B3051" t="s">
        <v>40</v>
      </c>
      <c r="C3051" t="s">
        <v>34</v>
      </c>
      <c r="D3051" t="s">
        <v>13</v>
      </c>
      <c r="E3051" t="s">
        <v>14</v>
      </c>
      <c r="F3051" t="s">
        <v>15</v>
      </c>
      <c r="G3051" t="s">
        <v>15</v>
      </c>
      <c r="H3051" t="s">
        <v>15</v>
      </c>
      <c r="I3051" s="1">
        <v>172578100</v>
      </c>
    </row>
    <row r="3052" spans="1:9" x14ac:dyDescent="0.25">
      <c r="A3052" t="s">
        <v>32</v>
      </c>
      <c r="B3052" t="s">
        <v>41</v>
      </c>
      <c r="C3052" t="s">
        <v>704</v>
      </c>
      <c r="D3052" t="s">
        <v>13</v>
      </c>
      <c r="E3052" t="s">
        <v>14</v>
      </c>
      <c r="F3052" t="s">
        <v>15</v>
      </c>
      <c r="G3052" t="s">
        <v>15</v>
      </c>
      <c r="H3052" t="s">
        <v>15</v>
      </c>
      <c r="I3052" s="1">
        <v>7207343200</v>
      </c>
    </row>
    <row r="3053" spans="1:9" x14ac:dyDescent="0.25">
      <c r="A3053" t="str">
        <f>"64002"</f>
        <v>64002</v>
      </c>
      <c r="B3053" t="s">
        <v>11</v>
      </c>
      <c r="C3053" t="s">
        <v>1236</v>
      </c>
      <c r="D3053" t="s">
        <v>13</v>
      </c>
      <c r="E3053" t="s">
        <v>14</v>
      </c>
      <c r="F3053" t="s">
        <v>15</v>
      </c>
      <c r="G3053" t="s">
        <v>15</v>
      </c>
      <c r="H3053" t="s">
        <v>15</v>
      </c>
      <c r="I3053" s="1">
        <v>117101700</v>
      </c>
    </row>
    <row r="3054" spans="1:9" x14ac:dyDescent="0.25">
      <c r="A3054" t="str">
        <f>"64004"</f>
        <v>64004</v>
      </c>
      <c r="B3054" t="s">
        <v>11</v>
      </c>
      <c r="C3054" t="s">
        <v>1237</v>
      </c>
      <c r="D3054" t="s">
        <v>13</v>
      </c>
      <c r="E3054" t="s">
        <v>14</v>
      </c>
      <c r="F3054" t="s">
        <v>15</v>
      </c>
      <c r="G3054" t="s">
        <v>15</v>
      </c>
      <c r="H3054" t="s">
        <v>15</v>
      </c>
      <c r="I3054" s="1">
        <v>220733400</v>
      </c>
    </row>
    <row r="3055" spans="1:9" x14ac:dyDescent="0.25">
      <c r="A3055" t="str">
        <f>"64006"</f>
        <v>64006</v>
      </c>
      <c r="B3055" t="s">
        <v>11</v>
      </c>
      <c r="C3055" t="s">
        <v>1238</v>
      </c>
      <c r="D3055" t="s">
        <v>13</v>
      </c>
      <c r="E3055" t="s">
        <v>14</v>
      </c>
      <c r="F3055" t="s">
        <v>15</v>
      </c>
      <c r="G3055" t="s">
        <v>15</v>
      </c>
      <c r="H3055" t="s">
        <v>15</v>
      </c>
      <c r="I3055" s="1">
        <v>1044875700</v>
      </c>
    </row>
    <row r="3056" spans="1:9" x14ac:dyDescent="0.25">
      <c r="A3056" t="str">
        <f>"64008"</f>
        <v>64008</v>
      </c>
      <c r="B3056" t="s">
        <v>11</v>
      </c>
      <c r="C3056" t="s">
        <v>1239</v>
      </c>
      <c r="D3056" t="s">
        <v>13</v>
      </c>
      <c r="E3056" t="s">
        <v>14</v>
      </c>
      <c r="F3056" t="s">
        <v>15</v>
      </c>
      <c r="G3056" t="s">
        <v>15</v>
      </c>
      <c r="H3056" t="s">
        <v>15</v>
      </c>
      <c r="I3056" s="1">
        <v>818517600</v>
      </c>
    </row>
    <row r="3057" spans="1:9" x14ac:dyDescent="0.25">
      <c r="A3057" t="str">
        <f>"64010"</f>
        <v>64010</v>
      </c>
      <c r="B3057" t="s">
        <v>11</v>
      </c>
      <c r="C3057" t="s">
        <v>1240</v>
      </c>
      <c r="D3057" t="s">
        <v>13</v>
      </c>
      <c r="E3057" t="s">
        <v>14</v>
      </c>
      <c r="F3057" t="s">
        <v>15</v>
      </c>
      <c r="G3057" t="s">
        <v>15</v>
      </c>
      <c r="H3057" t="s">
        <v>15</v>
      </c>
      <c r="I3057" s="1">
        <v>944144700</v>
      </c>
    </row>
    <row r="3058" spans="1:9" x14ac:dyDescent="0.25">
      <c r="A3058" t="str">
        <f>"64012"</f>
        <v>64012</v>
      </c>
      <c r="B3058" t="s">
        <v>11</v>
      </c>
      <c r="C3058" t="s">
        <v>830</v>
      </c>
      <c r="D3058" t="s">
        <v>13</v>
      </c>
      <c r="E3058" t="s">
        <v>14</v>
      </c>
      <c r="F3058" t="s">
        <v>15</v>
      </c>
      <c r="G3058" t="s">
        <v>15</v>
      </c>
      <c r="H3058" t="s">
        <v>15</v>
      </c>
      <c r="I3058" s="1">
        <v>297708300</v>
      </c>
    </row>
    <row r="3059" spans="1:9" x14ac:dyDescent="0.25">
      <c r="A3059" t="str">
        <f>"64014"</f>
        <v>64014</v>
      </c>
      <c r="B3059" t="s">
        <v>11</v>
      </c>
      <c r="C3059" t="s">
        <v>831</v>
      </c>
      <c r="D3059" t="s">
        <v>13</v>
      </c>
      <c r="E3059" t="s">
        <v>14</v>
      </c>
      <c r="F3059" t="s">
        <v>15</v>
      </c>
      <c r="G3059" t="s">
        <v>15</v>
      </c>
      <c r="H3059" t="s">
        <v>15</v>
      </c>
      <c r="I3059" s="1">
        <v>814699200</v>
      </c>
    </row>
    <row r="3060" spans="1:9" x14ac:dyDescent="0.25">
      <c r="A3060" t="str">
        <f>"64016"</f>
        <v>64016</v>
      </c>
      <c r="B3060" t="s">
        <v>11</v>
      </c>
      <c r="C3060" t="s">
        <v>1241</v>
      </c>
      <c r="D3060" t="s">
        <v>13</v>
      </c>
      <c r="E3060" t="s">
        <v>14</v>
      </c>
      <c r="F3060" t="s">
        <v>15</v>
      </c>
      <c r="G3060" t="s">
        <v>15</v>
      </c>
      <c r="H3060" t="s">
        <v>15</v>
      </c>
      <c r="I3060" s="1">
        <v>1921283700</v>
      </c>
    </row>
    <row r="3061" spans="1:9" x14ac:dyDescent="0.25">
      <c r="A3061" t="str">
        <f>"64018"</f>
        <v>64018</v>
      </c>
      <c r="B3061" t="s">
        <v>11</v>
      </c>
      <c r="C3061" t="s">
        <v>1242</v>
      </c>
      <c r="D3061" t="s">
        <v>13</v>
      </c>
      <c r="E3061" t="s">
        <v>14</v>
      </c>
      <c r="F3061" t="s">
        <v>15</v>
      </c>
      <c r="G3061" t="s">
        <v>15</v>
      </c>
      <c r="H3061" t="s">
        <v>15</v>
      </c>
      <c r="I3061" s="1">
        <v>475041900</v>
      </c>
    </row>
    <row r="3062" spans="1:9" x14ac:dyDescent="0.25">
      <c r="A3062" t="str">
        <f>"64020"</f>
        <v>64020</v>
      </c>
      <c r="B3062" t="s">
        <v>11</v>
      </c>
      <c r="C3062" t="s">
        <v>1083</v>
      </c>
      <c r="D3062" t="s">
        <v>13</v>
      </c>
      <c r="E3062" t="s">
        <v>14</v>
      </c>
      <c r="F3062" t="s">
        <v>15</v>
      </c>
      <c r="G3062" t="s">
        <v>15</v>
      </c>
      <c r="H3062" t="s">
        <v>15</v>
      </c>
      <c r="I3062" s="1">
        <v>263480100</v>
      </c>
    </row>
    <row r="3063" spans="1:9" x14ac:dyDescent="0.25">
      <c r="A3063" t="str">
        <f>"64022"</f>
        <v>64022</v>
      </c>
      <c r="B3063" t="s">
        <v>11</v>
      </c>
      <c r="C3063" t="s">
        <v>982</v>
      </c>
      <c r="D3063" t="s">
        <v>13</v>
      </c>
      <c r="E3063" t="s">
        <v>14</v>
      </c>
      <c r="F3063" t="s">
        <v>15</v>
      </c>
      <c r="G3063" t="s">
        <v>15</v>
      </c>
      <c r="H3063" t="s">
        <v>15</v>
      </c>
      <c r="I3063" s="1">
        <v>86993600</v>
      </c>
    </row>
    <row r="3064" spans="1:9" x14ac:dyDescent="0.25">
      <c r="A3064" t="str">
        <f>"64024"</f>
        <v>64024</v>
      </c>
      <c r="B3064" t="s">
        <v>11</v>
      </c>
      <c r="C3064" t="s">
        <v>1243</v>
      </c>
      <c r="D3064" t="s">
        <v>13</v>
      </c>
      <c r="E3064" t="s">
        <v>14</v>
      </c>
      <c r="F3064" t="s">
        <v>15</v>
      </c>
      <c r="G3064" t="s">
        <v>15</v>
      </c>
      <c r="H3064" t="s">
        <v>15</v>
      </c>
      <c r="I3064" s="1">
        <v>277133700</v>
      </c>
    </row>
    <row r="3065" spans="1:9" x14ac:dyDescent="0.25">
      <c r="A3065" t="str">
        <f>"64026"</f>
        <v>64026</v>
      </c>
      <c r="B3065" t="s">
        <v>11</v>
      </c>
      <c r="C3065" t="s">
        <v>1244</v>
      </c>
      <c r="D3065" t="s">
        <v>13</v>
      </c>
      <c r="E3065" t="s">
        <v>14</v>
      </c>
      <c r="F3065" t="s">
        <v>15</v>
      </c>
      <c r="G3065" t="s">
        <v>15</v>
      </c>
      <c r="H3065" t="s">
        <v>15</v>
      </c>
      <c r="I3065" s="1">
        <v>418590400</v>
      </c>
    </row>
    <row r="3066" spans="1:9" x14ac:dyDescent="0.25">
      <c r="A3066" t="str">
        <f>"64028"</f>
        <v>64028</v>
      </c>
      <c r="B3066" t="s">
        <v>11</v>
      </c>
      <c r="C3066" t="s">
        <v>1088</v>
      </c>
      <c r="D3066" t="s">
        <v>13</v>
      </c>
      <c r="E3066" t="s">
        <v>14</v>
      </c>
      <c r="F3066" t="s">
        <v>15</v>
      </c>
      <c r="G3066" t="s">
        <v>15</v>
      </c>
      <c r="H3066" t="s">
        <v>15</v>
      </c>
      <c r="I3066" s="1">
        <v>289584100</v>
      </c>
    </row>
    <row r="3067" spans="1:9" x14ac:dyDescent="0.25">
      <c r="A3067" t="str">
        <f>"64030"</f>
        <v>64030</v>
      </c>
      <c r="B3067" t="s">
        <v>11</v>
      </c>
      <c r="C3067" t="s">
        <v>1245</v>
      </c>
      <c r="D3067" t="s">
        <v>13</v>
      </c>
      <c r="E3067" t="s">
        <v>14</v>
      </c>
      <c r="F3067" t="s">
        <v>15</v>
      </c>
      <c r="G3067" t="s">
        <v>15</v>
      </c>
      <c r="H3067" t="s">
        <v>15</v>
      </c>
      <c r="I3067" s="1">
        <v>250637600</v>
      </c>
    </row>
    <row r="3068" spans="1:9" x14ac:dyDescent="0.25">
      <c r="A3068" t="str">
        <f>"64032"</f>
        <v>64032</v>
      </c>
      <c r="B3068" t="s">
        <v>11</v>
      </c>
      <c r="C3068" t="s">
        <v>617</v>
      </c>
      <c r="D3068" t="s">
        <v>13</v>
      </c>
      <c r="E3068" t="s">
        <v>14</v>
      </c>
      <c r="F3068" t="s">
        <v>15</v>
      </c>
      <c r="G3068" t="s">
        <v>15</v>
      </c>
      <c r="H3068" t="s">
        <v>15</v>
      </c>
      <c r="I3068" s="1">
        <v>331324600</v>
      </c>
    </row>
    <row r="3069" spans="1:9" x14ac:dyDescent="0.25">
      <c r="A3069" t="s">
        <v>32</v>
      </c>
      <c r="B3069" t="s">
        <v>33</v>
      </c>
      <c r="C3069" t="s">
        <v>34</v>
      </c>
      <c r="D3069" t="s">
        <v>13</v>
      </c>
      <c r="E3069" t="s">
        <v>14</v>
      </c>
      <c r="F3069" t="s">
        <v>15</v>
      </c>
      <c r="G3069" t="s">
        <v>15</v>
      </c>
      <c r="H3069" t="s">
        <v>15</v>
      </c>
      <c r="I3069" s="1">
        <v>8571850300</v>
      </c>
    </row>
    <row r="3070" spans="1:9" x14ac:dyDescent="0.25">
      <c r="A3070" t="str">
        <f>"64115"</f>
        <v>64115</v>
      </c>
      <c r="B3070" t="s">
        <v>35</v>
      </c>
      <c r="C3070" t="s">
        <v>1236</v>
      </c>
      <c r="D3070" t="s">
        <v>13</v>
      </c>
      <c r="E3070" t="s">
        <v>14</v>
      </c>
      <c r="F3070" t="s">
        <v>15</v>
      </c>
      <c r="G3070" t="s">
        <v>15</v>
      </c>
      <c r="H3070" t="s">
        <v>15</v>
      </c>
      <c r="I3070" s="1">
        <v>398128400</v>
      </c>
    </row>
    <row r="3071" spans="1:9" x14ac:dyDescent="0.25">
      <c r="A3071" t="str">
        <f>"64116"</f>
        <v>64116</v>
      </c>
      <c r="B3071" t="s">
        <v>35</v>
      </c>
      <c r="C3071" t="s">
        <v>1237</v>
      </c>
      <c r="D3071" t="str">
        <f>"003"</f>
        <v>003</v>
      </c>
      <c r="E3071">
        <v>2015</v>
      </c>
      <c r="F3071">
        <v>2174600</v>
      </c>
      <c r="G3071">
        <v>5926600</v>
      </c>
      <c r="H3071">
        <v>3752000</v>
      </c>
    </row>
    <row r="3072" spans="1:9" x14ac:dyDescent="0.25">
      <c r="A3072" t="str">
        <f>"64116"</f>
        <v>64116</v>
      </c>
      <c r="B3072" t="s">
        <v>35</v>
      </c>
      <c r="C3072" t="s">
        <v>1237</v>
      </c>
      <c r="D3072" t="s">
        <v>13</v>
      </c>
      <c r="E3072" t="s">
        <v>14</v>
      </c>
      <c r="F3072" t="s">
        <v>15</v>
      </c>
      <c r="G3072" t="s">
        <v>15</v>
      </c>
      <c r="H3072" t="s">
        <v>15</v>
      </c>
      <c r="I3072" s="1">
        <v>104895600</v>
      </c>
    </row>
    <row r="3073" spans="1:9" x14ac:dyDescent="0.25">
      <c r="A3073" t="str">
        <f>"64121"</f>
        <v>64121</v>
      </c>
      <c r="B3073" t="s">
        <v>35</v>
      </c>
      <c r="C3073" t="s">
        <v>1239</v>
      </c>
      <c r="D3073" t="str">
        <f>"003"</f>
        <v>003</v>
      </c>
      <c r="E3073">
        <v>1999</v>
      </c>
      <c r="F3073">
        <v>196800</v>
      </c>
      <c r="G3073">
        <v>36678100</v>
      </c>
      <c r="H3073">
        <v>36481300</v>
      </c>
    </row>
    <row r="3074" spans="1:9" x14ac:dyDescent="0.25">
      <c r="A3074" t="str">
        <f>"64121"</f>
        <v>64121</v>
      </c>
      <c r="B3074" t="s">
        <v>35</v>
      </c>
      <c r="C3074" t="s">
        <v>1239</v>
      </c>
      <c r="D3074" t="str">
        <f>"004"</f>
        <v>004</v>
      </c>
      <c r="E3074">
        <v>2018</v>
      </c>
      <c r="F3074">
        <v>1792100</v>
      </c>
      <c r="G3074">
        <v>2652400</v>
      </c>
      <c r="H3074">
        <v>860300</v>
      </c>
    </row>
    <row r="3075" spans="1:9" x14ac:dyDescent="0.25">
      <c r="A3075" t="str">
        <f>"64121"</f>
        <v>64121</v>
      </c>
      <c r="B3075" t="s">
        <v>35</v>
      </c>
      <c r="C3075" t="s">
        <v>1239</v>
      </c>
      <c r="D3075" t="s">
        <v>13</v>
      </c>
      <c r="E3075" t="s">
        <v>14</v>
      </c>
      <c r="F3075" t="s">
        <v>15</v>
      </c>
      <c r="G3075" t="s">
        <v>15</v>
      </c>
      <c r="H3075" t="s">
        <v>15</v>
      </c>
      <c r="I3075" s="1">
        <v>357704800</v>
      </c>
    </row>
    <row r="3076" spans="1:9" x14ac:dyDescent="0.25">
      <c r="A3076" t="str">
        <f>"64126"</f>
        <v>64126</v>
      </c>
      <c r="B3076" t="s">
        <v>35</v>
      </c>
      <c r="C3076" t="s">
        <v>1246</v>
      </c>
      <c r="D3076" t="str">
        <f>"001"</f>
        <v>001</v>
      </c>
      <c r="E3076">
        <v>2001</v>
      </c>
      <c r="F3076">
        <v>30220400</v>
      </c>
      <c r="G3076">
        <v>107212100</v>
      </c>
      <c r="H3076">
        <v>76991700</v>
      </c>
    </row>
    <row r="3077" spans="1:9" x14ac:dyDescent="0.25">
      <c r="A3077" t="str">
        <f>"64126"</f>
        <v>64126</v>
      </c>
      <c r="B3077" t="s">
        <v>35</v>
      </c>
      <c r="C3077" t="s">
        <v>1246</v>
      </c>
      <c r="D3077" t="s">
        <v>13</v>
      </c>
      <c r="E3077" t="s">
        <v>14</v>
      </c>
      <c r="F3077" t="s">
        <v>15</v>
      </c>
      <c r="G3077" t="s">
        <v>15</v>
      </c>
      <c r="H3077" t="s">
        <v>15</v>
      </c>
      <c r="I3077" s="1">
        <v>1187297800</v>
      </c>
    </row>
    <row r="3078" spans="1:9" x14ac:dyDescent="0.25">
      <c r="A3078" t="str">
        <f>"64131"</f>
        <v>64131</v>
      </c>
      <c r="B3078" t="s">
        <v>35</v>
      </c>
      <c r="C3078" t="s">
        <v>645</v>
      </c>
      <c r="D3078" t="s">
        <v>13</v>
      </c>
      <c r="E3078" t="s">
        <v>14</v>
      </c>
      <c r="F3078" t="s">
        <v>15</v>
      </c>
      <c r="G3078" t="s">
        <v>15</v>
      </c>
      <c r="H3078" t="s">
        <v>15</v>
      </c>
      <c r="I3078" s="1">
        <v>211852700</v>
      </c>
    </row>
    <row r="3079" spans="1:9" x14ac:dyDescent="0.25">
      <c r="A3079" t="str">
        <f>"64153"</f>
        <v>64153</v>
      </c>
      <c r="B3079" t="s">
        <v>35</v>
      </c>
      <c r="C3079" t="s">
        <v>1247</v>
      </c>
      <c r="D3079" t="str">
        <f>"005"</f>
        <v>005</v>
      </c>
      <c r="E3079">
        <v>2018</v>
      </c>
      <c r="F3079">
        <v>315200</v>
      </c>
      <c r="G3079">
        <v>12956600</v>
      </c>
      <c r="H3079">
        <v>12641400</v>
      </c>
    </row>
    <row r="3080" spans="1:9" x14ac:dyDescent="0.25">
      <c r="A3080" t="str">
        <f>"64153"</f>
        <v>64153</v>
      </c>
      <c r="B3080" t="s">
        <v>35</v>
      </c>
      <c r="C3080" t="s">
        <v>1247</v>
      </c>
      <c r="D3080" t="s">
        <v>13</v>
      </c>
      <c r="E3080" t="s">
        <v>14</v>
      </c>
      <c r="F3080" t="s">
        <v>15</v>
      </c>
      <c r="G3080" t="s">
        <v>15</v>
      </c>
      <c r="H3080" t="s">
        <v>15</v>
      </c>
      <c r="I3080" s="1">
        <v>23819300</v>
      </c>
    </row>
    <row r="3081" spans="1:9" x14ac:dyDescent="0.25">
      <c r="A3081" t="str">
        <f>"64181"</f>
        <v>64181</v>
      </c>
      <c r="B3081" t="s">
        <v>35</v>
      </c>
      <c r="C3081" t="s">
        <v>982</v>
      </c>
      <c r="D3081" t="str">
        <f>"004"</f>
        <v>004</v>
      </c>
      <c r="E3081">
        <v>2007</v>
      </c>
      <c r="F3081">
        <v>1067100</v>
      </c>
      <c r="G3081">
        <v>1002800</v>
      </c>
      <c r="H3081">
        <v>0</v>
      </c>
    </row>
    <row r="3082" spans="1:9" x14ac:dyDescent="0.25">
      <c r="A3082" t="str">
        <f>"64181"</f>
        <v>64181</v>
      </c>
      <c r="B3082" t="s">
        <v>35</v>
      </c>
      <c r="C3082" t="s">
        <v>982</v>
      </c>
      <c r="D3082" t="s">
        <v>13</v>
      </c>
      <c r="E3082" t="s">
        <v>14</v>
      </c>
      <c r="F3082" t="s">
        <v>15</v>
      </c>
      <c r="G3082" t="s">
        <v>15</v>
      </c>
      <c r="H3082" t="s">
        <v>15</v>
      </c>
      <c r="I3082" s="1">
        <v>80572400</v>
      </c>
    </row>
    <row r="3083" spans="1:9" x14ac:dyDescent="0.25">
      <c r="A3083" t="str">
        <f>"64191"</f>
        <v>64191</v>
      </c>
      <c r="B3083" t="s">
        <v>35</v>
      </c>
      <c r="C3083" t="s">
        <v>1245</v>
      </c>
      <c r="D3083" t="str">
        <f>"001"</f>
        <v>001</v>
      </c>
      <c r="E3083">
        <v>2011</v>
      </c>
      <c r="F3083">
        <v>6963900</v>
      </c>
      <c r="G3083">
        <v>8317800</v>
      </c>
      <c r="H3083">
        <v>1353900</v>
      </c>
    </row>
    <row r="3084" spans="1:9" x14ac:dyDescent="0.25">
      <c r="A3084" t="str">
        <f>"64191"</f>
        <v>64191</v>
      </c>
      <c r="B3084" t="s">
        <v>35</v>
      </c>
      <c r="C3084" t="s">
        <v>1245</v>
      </c>
      <c r="D3084" t="s">
        <v>13</v>
      </c>
      <c r="E3084" t="s">
        <v>14</v>
      </c>
      <c r="F3084" t="s">
        <v>15</v>
      </c>
      <c r="G3084" t="s">
        <v>15</v>
      </c>
      <c r="H3084" t="s">
        <v>15</v>
      </c>
      <c r="I3084" s="1">
        <v>238918400</v>
      </c>
    </row>
    <row r="3085" spans="1:9" x14ac:dyDescent="0.25">
      <c r="A3085" t="str">
        <f>"64192"</f>
        <v>64192</v>
      </c>
      <c r="B3085" t="s">
        <v>35</v>
      </c>
      <c r="C3085" t="s">
        <v>1248</v>
      </c>
      <c r="D3085" t="s">
        <v>13</v>
      </c>
      <c r="E3085" t="s">
        <v>14</v>
      </c>
      <c r="F3085" t="s">
        <v>15</v>
      </c>
      <c r="G3085" t="s">
        <v>15</v>
      </c>
      <c r="H3085" t="s">
        <v>15</v>
      </c>
      <c r="I3085" s="1">
        <v>815527700</v>
      </c>
    </row>
    <row r="3086" spans="1:9" x14ac:dyDescent="0.25">
      <c r="A3086" t="s">
        <v>32</v>
      </c>
      <c r="B3086" t="s">
        <v>37</v>
      </c>
      <c r="C3086" t="s">
        <v>34</v>
      </c>
      <c r="D3086" t="s">
        <v>13</v>
      </c>
      <c r="E3086" t="s">
        <v>14</v>
      </c>
      <c r="F3086" t="s">
        <v>15</v>
      </c>
      <c r="G3086" t="s">
        <v>15</v>
      </c>
      <c r="H3086" t="s">
        <v>15</v>
      </c>
      <c r="I3086" s="1">
        <v>3418717100</v>
      </c>
    </row>
    <row r="3087" spans="1:9" x14ac:dyDescent="0.25">
      <c r="A3087" t="str">
        <f>"64206"</f>
        <v>64206</v>
      </c>
      <c r="B3087" t="s">
        <v>38</v>
      </c>
      <c r="C3087" t="s">
        <v>1009</v>
      </c>
      <c r="D3087" t="str">
        <f>"005"</f>
        <v>005</v>
      </c>
      <c r="E3087">
        <v>2015</v>
      </c>
      <c r="F3087">
        <v>123900</v>
      </c>
      <c r="G3087">
        <v>10193500</v>
      </c>
      <c r="H3087">
        <v>10069600</v>
      </c>
    </row>
    <row r="3088" spans="1:9" x14ac:dyDescent="0.25">
      <c r="A3088" t="str">
        <f>"64206"</f>
        <v>64206</v>
      </c>
      <c r="B3088" t="s">
        <v>38</v>
      </c>
      <c r="C3088" t="s">
        <v>1009</v>
      </c>
      <c r="D3088" t="s">
        <v>13</v>
      </c>
      <c r="E3088" t="s">
        <v>14</v>
      </c>
      <c r="F3088" t="s">
        <v>15</v>
      </c>
      <c r="G3088" t="s">
        <v>15</v>
      </c>
      <c r="H3088" t="s">
        <v>15</v>
      </c>
      <c r="I3088" s="1">
        <v>295500</v>
      </c>
    </row>
    <row r="3089" spans="1:9" x14ac:dyDescent="0.25">
      <c r="A3089" t="str">
        <f>"64216"</f>
        <v>64216</v>
      </c>
      <c r="B3089" t="s">
        <v>38</v>
      </c>
      <c r="C3089" t="s">
        <v>1238</v>
      </c>
      <c r="D3089" t="str">
        <f>"004"</f>
        <v>004</v>
      </c>
      <c r="E3089">
        <v>2003</v>
      </c>
      <c r="F3089">
        <v>22997800</v>
      </c>
      <c r="G3089">
        <v>68760300</v>
      </c>
      <c r="H3089">
        <v>45762500</v>
      </c>
    </row>
    <row r="3090" spans="1:9" x14ac:dyDescent="0.25">
      <c r="A3090" t="str">
        <f>"64216"</f>
        <v>64216</v>
      </c>
      <c r="B3090" t="s">
        <v>38</v>
      </c>
      <c r="C3090" t="s">
        <v>1238</v>
      </c>
      <c r="D3090" t="str">
        <f>"005"</f>
        <v>005</v>
      </c>
      <c r="E3090">
        <v>2012</v>
      </c>
      <c r="F3090">
        <v>21830800</v>
      </c>
      <c r="G3090">
        <v>27786300</v>
      </c>
      <c r="H3090">
        <v>5955500</v>
      </c>
    </row>
    <row r="3091" spans="1:9" x14ac:dyDescent="0.25">
      <c r="A3091" t="str">
        <f>"64216"</f>
        <v>64216</v>
      </c>
      <c r="B3091" t="s">
        <v>38</v>
      </c>
      <c r="C3091" t="s">
        <v>1238</v>
      </c>
      <c r="D3091" t="s">
        <v>13</v>
      </c>
      <c r="E3091" t="s">
        <v>14</v>
      </c>
      <c r="F3091" t="s">
        <v>15</v>
      </c>
      <c r="G3091" t="s">
        <v>15</v>
      </c>
      <c r="H3091" t="s">
        <v>15</v>
      </c>
      <c r="I3091" s="1">
        <v>633434900</v>
      </c>
    </row>
    <row r="3092" spans="1:9" x14ac:dyDescent="0.25">
      <c r="A3092" t="str">
        <f>"64221"</f>
        <v>64221</v>
      </c>
      <c r="B3092" t="s">
        <v>38</v>
      </c>
      <c r="C3092" t="s">
        <v>1249</v>
      </c>
      <c r="D3092" t="str">
        <f>"004"</f>
        <v>004</v>
      </c>
      <c r="E3092">
        <v>2017</v>
      </c>
      <c r="F3092">
        <v>3533700</v>
      </c>
      <c r="G3092">
        <v>6261700</v>
      </c>
      <c r="H3092">
        <v>2728000</v>
      </c>
    </row>
    <row r="3093" spans="1:9" x14ac:dyDescent="0.25">
      <c r="A3093" t="str">
        <f>"64221"</f>
        <v>64221</v>
      </c>
      <c r="B3093" t="s">
        <v>38</v>
      </c>
      <c r="C3093" t="s">
        <v>1249</v>
      </c>
      <c r="D3093" t="s">
        <v>13</v>
      </c>
      <c r="E3093" t="s">
        <v>14</v>
      </c>
      <c r="F3093" t="s">
        <v>15</v>
      </c>
      <c r="G3093" t="s">
        <v>15</v>
      </c>
      <c r="H3093" t="s">
        <v>15</v>
      </c>
      <c r="I3093" s="1">
        <v>807934300</v>
      </c>
    </row>
    <row r="3094" spans="1:9" x14ac:dyDescent="0.25">
      <c r="A3094" t="str">
        <f>"64246"</f>
        <v>64246</v>
      </c>
      <c r="B3094" t="s">
        <v>38</v>
      </c>
      <c r="C3094" t="s">
        <v>1250</v>
      </c>
      <c r="D3094" t="s">
        <v>13</v>
      </c>
      <c r="E3094" t="s">
        <v>14</v>
      </c>
      <c r="F3094" t="s">
        <v>15</v>
      </c>
      <c r="G3094" t="s">
        <v>15</v>
      </c>
      <c r="H3094" t="s">
        <v>15</v>
      </c>
      <c r="I3094" s="1">
        <v>1466374700</v>
      </c>
    </row>
    <row r="3095" spans="1:9" x14ac:dyDescent="0.25">
      <c r="A3095" t="str">
        <f t="shared" ref="A3095:A3100" si="68">"64291"</f>
        <v>64291</v>
      </c>
      <c r="B3095" t="s">
        <v>38</v>
      </c>
      <c r="C3095" t="s">
        <v>617</v>
      </c>
      <c r="D3095" t="str">
        <f>"004"</f>
        <v>004</v>
      </c>
      <c r="E3095">
        <v>1990</v>
      </c>
      <c r="F3095">
        <v>21477100</v>
      </c>
      <c r="G3095">
        <v>80629500</v>
      </c>
      <c r="H3095">
        <v>59152400</v>
      </c>
    </row>
    <row r="3096" spans="1:9" x14ac:dyDescent="0.25">
      <c r="A3096" t="str">
        <f t="shared" si="68"/>
        <v>64291</v>
      </c>
      <c r="B3096" t="s">
        <v>38</v>
      </c>
      <c r="C3096" t="s">
        <v>617</v>
      </c>
      <c r="D3096" t="str">
        <f>"005"</f>
        <v>005</v>
      </c>
      <c r="E3096">
        <v>2007</v>
      </c>
      <c r="F3096">
        <v>3313200</v>
      </c>
      <c r="G3096">
        <v>3847700</v>
      </c>
      <c r="H3096">
        <v>534500</v>
      </c>
    </row>
    <row r="3097" spans="1:9" x14ac:dyDescent="0.25">
      <c r="A3097" t="str">
        <f t="shared" si="68"/>
        <v>64291</v>
      </c>
      <c r="B3097" t="s">
        <v>38</v>
      </c>
      <c r="C3097" t="s">
        <v>617</v>
      </c>
      <c r="D3097" t="str">
        <f>"006"</f>
        <v>006</v>
      </c>
      <c r="E3097">
        <v>2007</v>
      </c>
      <c r="F3097">
        <v>2623100</v>
      </c>
      <c r="G3097">
        <v>5807800</v>
      </c>
      <c r="H3097">
        <v>3184700</v>
      </c>
    </row>
    <row r="3098" spans="1:9" x14ac:dyDescent="0.25">
      <c r="A3098" t="str">
        <f t="shared" si="68"/>
        <v>64291</v>
      </c>
      <c r="B3098" t="s">
        <v>38</v>
      </c>
      <c r="C3098" t="s">
        <v>617</v>
      </c>
      <c r="D3098" t="str">
        <f>"007"</f>
        <v>007</v>
      </c>
      <c r="E3098">
        <v>2007</v>
      </c>
      <c r="F3098">
        <v>646700</v>
      </c>
      <c r="G3098">
        <v>309400</v>
      </c>
      <c r="H3098">
        <v>0</v>
      </c>
    </row>
    <row r="3099" spans="1:9" x14ac:dyDescent="0.25">
      <c r="A3099" t="str">
        <f t="shared" si="68"/>
        <v>64291</v>
      </c>
      <c r="B3099" t="s">
        <v>38</v>
      </c>
      <c r="C3099" t="s">
        <v>617</v>
      </c>
      <c r="D3099" t="str">
        <f>"009"</f>
        <v>009</v>
      </c>
      <c r="E3099">
        <v>2007</v>
      </c>
      <c r="F3099">
        <v>38700</v>
      </c>
      <c r="G3099">
        <v>63900</v>
      </c>
      <c r="H3099">
        <v>25200</v>
      </c>
    </row>
    <row r="3100" spans="1:9" x14ac:dyDescent="0.25">
      <c r="A3100" t="str">
        <f t="shared" si="68"/>
        <v>64291</v>
      </c>
      <c r="B3100" t="s">
        <v>38</v>
      </c>
      <c r="C3100" t="s">
        <v>617</v>
      </c>
      <c r="D3100" t="s">
        <v>13</v>
      </c>
      <c r="E3100" t="s">
        <v>14</v>
      </c>
      <c r="F3100" t="s">
        <v>15</v>
      </c>
      <c r="G3100" t="s">
        <v>15</v>
      </c>
      <c r="H3100" t="s">
        <v>15</v>
      </c>
      <c r="I3100" s="1">
        <v>548635000</v>
      </c>
    </row>
    <row r="3101" spans="1:9" x14ac:dyDescent="0.25">
      <c r="A3101" t="s">
        <v>32</v>
      </c>
      <c r="B3101" t="s">
        <v>40</v>
      </c>
      <c r="C3101" t="s">
        <v>34</v>
      </c>
      <c r="D3101" t="s">
        <v>13</v>
      </c>
      <c r="E3101" t="s">
        <v>14</v>
      </c>
      <c r="F3101" t="s">
        <v>15</v>
      </c>
      <c r="G3101" t="s">
        <v>15</v>
      </c>
      <c r="H3101" t="s">
        <v>15</v>
      </c>
      <c r="I3101" s="1">
        <v>3456674400</v>
      </c>
    </row>
    <row r="3102" spans="1:9" x14ac:dyDescent="0.25">
      <c r="A3102" t="s">
        <v>32</v>
      </c>
      <c r="B3102" t="s">
        <v>41</v>
      </c>
      <c r="C3102" t="s">
        <v>1245</v>
      </c>
      <c r="D3102" t="s">
        <v>13</v>
      </c>
      <c r="E3102" t="s">
        <v>14</v>
      </c>
      <c r="F3102" t="s">
        <v>15</v>
      </c>
      <c r="G3102" t="s">
        <v>15</v>
      </c>
      <c r="H3102" t="s">
        <v>15</v>
      </c>
      <c r="I3102" s="1">
        <v>15447241800</v>
      </c>
    </row>
    <row r="3103" spans="1:9" x14ac:dyDescent="0.25">
      <c r="A3103" t="str">
        <f>"65002"</f>
        <v>65002</v>
      </c>
      <c r="B3103" t="s">
        <v>11</v>
      </c>
      <c r="C3103" t="s">
        <v>1251</v>
      </c>
      <c r="D3103" t="s">
        <v>13</v>
      </c>
      <c r="E3103" t="s">
        <v>14</v>
      </c>
      <c r="F3103" t="s">
        <v>15</v>
      </c>
      <c r="G3103" t="s">
        <v>15</v>
      </c>
      <c r="H3103" t="s">
        <v>15</v>
      </c>
      <c r="I3103" s="1">
        <v>41665400</v>
      </c>
    </row>
    <row r="3104" spans="1:9" x14ac:dyDescent="0.25">
      <c r="A3104" t="str">
        <f>"65004"</f>
        <v>65004</v>
      </c>
      <c r="B3104" t="s">
        <v>11</v>
      </c>
      <c r="C3104" t="s">
        <v>1252</v>
      </c>
      <c r="D3104" t="s">
        <v>13</v>
      </c>
      <c r="E3104" t="s">
        <v>14</v>
      </c>
      <c r="F3104" t="s">
        <v>15</v>
      </c>
      <c r="G3104" t="s">
        <v>15</v>
      </c>
      <c r="H3104" t="s">
        <v>15</v>
      </c>
      <c r="I3104" s="1">
        <v>89273900</v>
      </c>
    </row>
    <row r="3105" spans="1:9" x14ac:dyDescent="0.25">
      <c r="A3105" t="str">
        <f>"65006"</f>
        <v>65006</v>
      </c>
      <c r="B3105" t="s">
        <v>11</v>
      </c>
      <c r="C3105" t="s">
        <v>1120</v>
      </c>
      <c r="D3105" t="s">
        <v>13</v>
      </c>
      <c r="E3105" t="s">
        <v>14</v>
      </c>
      <c r="F3105" t="s">
        <v>15</v>
      </c>
      <c r="G3105" t="s">
        <v>15</v>
      </c>
      <c r="H3105" t="s">
        <v>15</v>
      </c>
      <c r="I3105" s="1">
        <v>69076000</v>
      </c>
    </row>
    <row r="3106" spans="1:9" x14ac:dyDescent="0.25">
      <c r="A3106" t="str">
        <f>"65008"</f>
        <v>65008</v>
      </c>
      <c r="B3106" t="s">
        <v>11</v>
      </c>
      <c r="C3106" t="s">
        <v>1253</v>
      </c>
      <c r="D3106" t="s">
        <v>13</v>
      </c>
      <c r="E3106" t="s">
        <v>14</v>
      </c>
      <c r="F3106" t="s">
        <v>15</v>
      </c>
      <c r="G3106" t="s">
        <v>15</v>
      </c>
      <c r="H3106" t="s">
        <v>15</v>
      </c>
      <c r="I3106" s="1">
        <v>61775000</v>
      </c>
    </row>
    <row r="3107" spans="1:9" x14ac:dyDescent="0.25">
      <c r="A3107" t="str">
        <f>"65010"</f>
        <v>65010</v>
      </c>
      <c r="B3107" t="s">
        <v>11</v>
      </c>
      <c r="C3107" t="s">
        <v>1254</v>
      </c>
      <c r="D3107" t="s">
        <v>13</v>
      </c>
      <c r="E3107" t="s">
        <v>14</v>
      </c>
      <c r="F3107" t="s">
        <v>15</v>
      </c>
      <c r="G3107" t="s">
        <v>15</v>
      </c>
      <c r="H3107" t="s">
        <v>15</v>
      </c>
      <c r="I3107" s="1">
        <v>233707500</v>
      </c>
    </row>
    <row r="3108" spans="1:9" x14ac:dyDescent="0.25">
      <c r="A3108" t="str">
        <f>"65012"</f>
        <v>65012</v>
      </c>
      <c r="B3108" t="s">
        <v>11</v>
      </c>
      <c r="C3108" t="s">
        <v>334</v>
      </c>
      <c r="D3108" t="s">
        <v>13</v>
      </c>
      <c r="E3108" t="s">
        <v>14</v>
      </c>
      <c r="F3108" t="s">
        <v>15</v>
      </c>
      <c r="G3108" t="s">
        <v>15</v>
      </c>
      <c r="H3108" t="s">
        <v>15</v>
      </c>
      <c r="I3108" s="1">
        <v>42202700</v>
      </c>
    </row>
    <row r="3109" spans="1:9" x14ac:dyDescent="0.25">
      <c r="A3109" t="str">
        <f>"65014"</f>
        <v>65014</v>
      </c>
      <c r="B3109" t="s">
        <v>11</v>
      </c>
      <c r="C3109" t="s">
        <v>1255</v>
      </c>
      <c r="D3109" t="s">
        <v>13</v>
      </c>
      <c r="E3109" t="s">
        <v>14</v>
      </c>
      <c r="F3109" t="s">
        <v>15</v>
      </c>
      <c r="G3109" t="s">
        <v>15</v>
      </c>
      <c r="H3109" t="s">
        <v>15</v>
      </c>
      <c r="I3109" s="1">
        <v>179096300</v>
      </c>
    </row>
    <row r="3110" spans="1:9" x14ac:dyDescent="0.25">
      <c r="A3110" t="str">
        <f>"65016"</f>
        <v>65016</v>
      </c>
      <c r="B3110" t="s">
        <v>11</v>
      </c>
      <c r="C3110" t="s">
        <v>1256</v>
      </c>
      <c r="D3110" t="s">
        <v>13</v>
      </c>
      <c r="E3110" t="s">
        <v>14</v>
      </c>
      <c r="F3110" t="s">
        <v>15</v>
      </c>
      <c r="G3110" t="s">
        <v>15</v>
      </c>
      <c r="H3110" t="s">
        <v>15</v>
      </c>
      <c r="I3110" s="1">
        <v>110484100</v>
      </c>
    </row>
    <row r="3111" spans="1:9" x14ac:dyDescent="0.25">
      <c r="A3111" t="str">
        <f>"65018"</f>
        <v>65018</v>
      </c>
      <c r="B3111" t="s">
        <v>11</v>
      </c>
      <c r="C3111" t="s">
        <v>1257</v>
      </c>
      <c r="D3111" t="s">
        <v>13</v>
      </c>
      <c r="E3111" t="s">
        <v>14</v>
      </c>
      <c r="F3111" t="s">
        <v>15</v>
      </c>
      <c r="G3111" t="s">
        <v>15</v>
      </c>
      <c r="H3111" t="s">
        <v>15</v>
      </c>
      <c r="I3111" s="1">
        <v>44133800</v>
      </c>
    </row>
    <row r="3112" spans="1:9" x14ac:dyDescent="0.25">
      <c r="A3112" t="str">
        <f>"65020"</f>
        <v>65020</v>
      </c>
      <c r="B3112" t="s">
        <v>11</v>
      </c>
      <c r="C3112" t="s">
        <v>694</v>
      </c>
      <c r="D3112" t="s">
        <v>13</v>
      </c>
      <c r="E3112" t="s">
        <v>14</v>
      </c>
      <c r="F3112" t="s">
        <v>15</v>
      </c>
      <c r="G3112" t="s">
        <v>15</v>
      </c>
      <c r="H3112" t="s">
        <v>15</v>
      </c>
      <c r="I3112" s="1">
        <v>105766500</v>
      </c>
    </row>
    <row r="3113" spans="1:9" x14ac:dyDescent="0.25">
      <c r="A3113" t="str">
        <f>"65022"</f>
        <v>65022</v>
      </c>
      <c r="B3113" t="s">
        <v>11</v>
      </c>
      <c r="C3113" t="s">
        <v>1258</v>
      </c>
      <c r="D3113" t="s">
        <v>13</v>
      </c>
      <c r="E3113" t="s">
        <v>14</v>
      </c>
      <c r="F3113" t="s">
        <v>15</v>
      </c>
      <c r="G3113" t="s">
        <v>15</v>
      </c>
      <c r="H3113" t="s">
        <v>15</v>
      </c>
      <c r="I3113" s="1">
        <v>17500800</v>
      </c>
    </row>
    <row r="3114" spans="1:9" x14ac:dyDescent="0.25">
      <c r="A3114" t="str">
        <f>"65024"</f>
        <v>65024</v>
      </c>
      <c r="B3114" t="s">
        <v>11</v>
      </c>
      <c r="C3114" t="s">
        <v>1259</v>
      </c>
      <c r="D3114" t="s">
        <v>13</v>
      </c>
      <c r="E3114" t="s">
        <v>14</v>
      </c>
      <c r="F3114" t="s">
        <v>15</v>
      </c>
      <c r="G3114" t="s">
        <v>15</v>
      </c>
      <c r="H3114" t="s">
        <v>15</v>
      </c>
      <c r="I3114" s="1">
        <v>37737200</v>
      </c>
    </row>
    <row r="3115" spans="1:9" x14ac:dyDescent="0.25">
      <c r="A3115" t="str">
        <f>"65026"</f>
        <v>65026</v>
      </c>
      <c r="B3115" t="s">
        <v>11</v>
      </c>
      <c r="C3115" t="s">
        <v>454</v>
      </c>
      <c r="D3115" t="s">
        <v>13</v>
      </c>
      <c r="E3115" t="s">
        <v>14</v>
      </c>
      <c r="F3115" t="s">
        <v>15</v>
      </c>
      <c r="G3115" t="s">
        <v>15</v>
      </c>
      <c r="H3115" t="s">
        <v>15</v>
      </c>
      <c r="I3115" s="1">
        <v>219426700</v>
      </c>
    </row>
    <row r="3116" spans="1:9" x14ac:dyDescent="0.25">
      <c r="A3116" t="str">
        <f>"65028"</f>
        <v>65028</v>
      </c>
      <c r="B3116" t="s">
        <v>11</v>
      </c>
      <c r="C3116" t="s">
        <v>1260</v>
      </c>
      <c r="D3116" t="s">
        <v>13</v>
      </c>
      <c r="E3116" t="s">
        <v>14</v>
      </c>
      <c r="F3116" t="s">
        <v>15</v>
      </c>
      <c r="G3116" t="s">
        <v>15</v>
      </c>
      <c r="H3116" t="s">
        <v>15</v>
      </c>
      <c r="I3116" s="1">
        <v>153732000</v>
      </c>
    </row>
    <row r="3117" spans="1:9" x14ac:dyDescent="0.25">
      <c r="A3117" t="str">
        <f>"65030"</f>
        <v>65030</v>
      </c>
      <c r="B3117" t="s">
        <v>11</v>
      </c>
      <c r="C3117" t="s">
        <v>1261</v>
      </c>
      <c r="D3117" t="s">
        <v>13</v>
      </c>
      <c r="E3117" t="s">
        <v>14</v>
      </c>
      <c r="F3117" t="s">
        <v>15</v>
      </c>
      <c r="G3117" t="s">
        <v>15</v>
      </c>
      <c r="H3117" t="s">
        <v>15</v>
      </c>
      <c r="I3117" s="1">
        <v>347341900</v>
      </c>
    </row>
    <row r="3118" spans="1:9" x14ac:dyDescent="0.25">
      <c r="A3118" t="str">
        <f>"65032"</f>
        <v>65032</v>
      </c>
      <c r="B3118" t="s">
        <v>11</v>
      </c>
      <c r="C3118" t="s">
        <v>1262</v>
      </c>
      <c r="D3118" t="s">
        <v>13</v>
      </c>
      <c r="E3118" t="s">
        <v>14</v>
      </c>
      <c r="F3118" t="s">
        <v>15</v>
      </c>
      <c r="G3118" t="s">
        <v>15</v>
      </c>
      <c r="H3118" t="s">
        <v>15</v>
      </c>
      <c r="I3118" s="1">
        <v>77758700</v>
      </c>
    </row>
    <row r="3119" spans="1:9" x14ac:dyDescent="0.25">
      <c r="A3119" t="str">
        <f>"65034"</f>
        <v>65034</v>
      </c>
      <c r="B3119" t="s">
        <v>11</v>
      </c>
      <c r="C3119" t="s">
        <v>1263</v>
      </c>
      <c r="D3119" t="s">
        <v>13</v>
      </c>
      <c r="E3119" t="s">
        <v>14</v>
      </c>
      <c r="F3119" t="s">
        <v>15</v>
      </c>
      <c r="G3119" t="s">
        <v>15</v>
      </c>
      <c r="H3119" t="s">
        <v>15</v>
      </c>
      <c r="I3119" s="1">
        <v>94062000</v>
      </c>
    </row>
    <row r="3120" spans="1:9" x14ac:dyDescent="0.25">
      <c r="A3120" t="str">
        <f>"65036"</f>
        <v>65036</v>
      </c>
      <c r="B3120" t="s">
        <v>11</v>
      </c>
      <c r="C3120" t="s">
        <v>1264</v>
      </c>
      <c r="D3120" t="s">
        <v>13</v>
      </c>
      <c r="E3120" t="s">
        <v>14</v>
      </c>
      <c r="F3120" t="s">
        <v>15</v>
      </c>
      <c r="G3120" t="s">
        <v>15</v>
      </c>
      <c r="H3120" t="s">
        <v>15</v>
      </c>
      <c r="I3120" s="1">
        <v>41399200</v>
      </c>
    </row>
    <row r="3121" spans="1:9" x14ac:dyDescent="0.25">
      <c r="A3121" t="str">
        <f>"65038"</f>
        <v>65038</v>
      </c>
      <c r="B3121" t="s">
        <v>11</v>
      </c>
      <c r="C3121" t="s">
        <v>1265</v>
      </c>
      <c r="D3121" t="s">
        <v>13</v>
      </c>
      <c r="E3121" t="s">
        <v>14</v>
      </c>
      <c r="F3121" t="s">
        <v>15</v>
      </c>
      <c r="G3121" t="s">
        <v>15</v>
      </c>
      <c r="H3121" t="s">
        <v>15</v>
      </c>
      <c r="I3121" s="1">
        <v>18282300</v>
      </c>
    </row>
    <row r="3122" spans="1:9" x14ac:dyDescent="0.25">
      <c r="A3122" t="str">
        <f>"65040"</f>
        <v>65040</v>
      </c>
      <c r="B3122" t="s">
        <v>11</v>
      </c>
      <c r="C3122" t="s">
        <v>1266</v>
      </c>
      <c r="D3122" t="s">
        <v>13</v>
      </c>
      <c r="E3122" t="s">
        <v>14</v>
      </c>
      <c r="F3122" t="s">
        <v>15</v>
      </c>
      <c r="G3122" t="s">
        <v>15</v>
      </c>
      <c r="H3122" t="s">
        <v>15</v>
      </c>
      <c r="I3122" s="1">
        <v>75421200</v>
      </c>
    </row>
    <row r="3123" spans="1:9" x14ac:dyDescent="0.25">
      <c r="A3123" t="str">
        <f>"65042"</f>
        <v>65042</v>
      </c>
      <c r="B3123" t="s">
        <v>11</v>
      </c>
      <c r="C3123" t="s">
        <v>1267</v>
      </c>
      <c r="D3123" t="s">
        <v>13</v>
      </c>
      <c r="E3123" t="s">
        <v>14</v>
      </c>
      <c r="F3123" t="s">
        <v>15</v>
      </c>
      <c r="G3123" t="s">
        <v>15</v>
      </c>
      <c r="H3123" t="s">
        <v>15</v>
      </c>
      <c r="I3123" s="1">
        <v>139389600</v>
      </c>
    </row>
    <row r="3124" spans="1:9" x14ac:dyDescent="0.25">
      <c r="A3124" t="s">
        <v>32</v>
      </c>
      <c r="B3124" t="s">
        <v>33</v>
      </c>
      <c r="C3124" t="s">
        <v>34</v>
      </c>
      <c r="D3124" t="s">
        <v>13</v>
      </c>
      <c r="E3124" t="s">
        <v>14</v>
      </c>
      <c r="F3124" t="s">
        <v>15</v>
      </c>
      <c r="G3124" t="s">
        <v>15</v>
      </c>
      <c r="H3124" t="s">
        <v>15</v>
      </c>
      <c r="I3124" s="1">
        <v>2199232800</v>
      </c>
    </row>
    <row r="3125" spans="1:9" x14ac:dyDescent="0.25">
      <c r="A3125" t="str">
        <f>"65106"</f>
        <v>65106</v>
      </c>
      <c r="B3125" t="s">
        <v>35</v>
      </c>
      <c r="C3125" t="s">
        <v>1254</v>
      </c>
      <c r="D3125" t="str">
        <f>"001"</f>
        <v>001</v>
      </c>
      <c r="E3125">
        <v>2004</v>
      </c>
      <c r="F3125">
        <v>1905000</v>
      </c>
      <c r="G3125">
        <v>3791300</v>
      </c>
      <c r="H3125">
        <v>1886300</v>
      </c>
    </row>
    <row r="3126" spans="1:9" x14ac:dyDescent="0.25">
      <c r="A3126" t="str">
        <f>"65106"</f>
        <v>65106</v>
      </c>
      <c r="B3126" t="s">
        <v>35</v>
      </c>
      <c r="C3126" t="s">
        <v>1254</v>
      </c>
      <c r="D3126" t="str">
        <f>"002"</f>
        <v>002</v>
      </c>
      <c r="E3126">
        <v>2005</v>
      </c>
      <c r="F3126">
        <v>2174300</v>
      </c>
      <c r="G3126">
        <v>3140500</v>
      </c>
      <c r="H3126">
        <v>966200</v>
      </c>
    </row>
    <row r="3127" spans="1:9" x14ac:dyDescent="0.25">
      <c r="A3127" t="str">
        <f>"65106"</f>
        <v>65106</v>
      </c>
      <c r="B3127" t="s">
        <v>35</v>
      </c>
      <c r="C3127" t="s">
        <v>1254</v>
      </c>
      <c r="D3127" t="s">
        <v>13</v>
      </c>
      <c r="E3127" t="s">
        <v>14</v>
      </c>
      <c r="F3127" t="s">
        <v>15</v>
      </c>
      <c r="G3127" t="s">
        <v>15</v>
      </c>
      <c r="H3127" t="s">
        <v>15</v>
      </c>
      <c r="I3127" s="1">
        <v>31024500</v>
      </c>
    </row>
    <row r="3128" spans="1:9" x14ac:dyDescent="0.25">
      <c r="A3128" t="str">
        <f>"65151"</f>
        <v>65151</v>
      </c>
      <c r="B3128" t="s">
        <v>35</v>
      </c>
      <c r="C3128" t="s">
        <v>1261</v>
      </c>
      <c r="D3128" t="str">
        <f>"001"</f>
        <v>001</v>
      </c>
      <c r="E3128">
        <v>1988</v>
      </c>
      <c r="F3128">
        <v>306000</v>
      </c>
      <c r="G3128">
        <v>711100</v>
      </c>
      <c r="H3128">
        <v>405100</v>
      </c>
    </row>
    <row r="3129" spans="1:9" x14ac:dyDescent="0.25">
      <c r="A3129" t="str">
        <f>"65151"</f>
        <v>65151</v>
      </c>
      <c r="B3129" t="s">
        <v>35</v>
      </c>
      <c r="C3129" t="s">
        <v>1261</v>
      </c>
      <c r="D3129" t="str">
        <f>"002"</f>
        <v>002</v>
      </c>
      <c r="E3129">
        <v>1997</v>
      </c>
      <c r="F3129">
        <v>1390200</v>
      </c>
      <c r="G3129">
        <v>7553700</v>
      </c>
      <c r="H3129">
        <v>6163500</v>
      </c>
    </row>
    <row r="3130" spans="1:9" x14ac:dyDescent="0.25">
      <c r="A3130" t="str">
        <f>"65151"</f>
        <v>65151</v>
      </c>
      <c r="B3130" t="s">
        <v>35</v>
      </c>
      <c r="C3130" t="s">
        <v>1261</v>
      </c>
      <c r="D3130" t="str">
        <f>"003"</f>
        <v>003</v>
      </c>
      <c r="E3130">
        <v>2010</v>
      </c>
      <c r="F3130">
        <v>84900</v>
      </c>
      <c r="G3130">
        <v>933100</v>
      </c>
      <c r="H3130">
        <v>848200</v>
      </c>
    </row>
    <row r="3131" spans="1:9" x14ac:dyDescent="0.25">
      <c r="A3131" t="str">
        <f>"65151"</f>
        <v>65151</v>
      </c>
      <c r="B3131" t="s">
        <v>35</v>
      </c>
      <c r="C3131" t="s">
        <v>1261</v>
      </c>
      <c r="D3131" t="s">
        <v>13</v>
      </c>
      <c r="E3131" t="s">
        <v>14</v>
      </c>
      <c r="F3131" t="s">
        <v>15</v>
      </c>
      <c r="G3131" t="s">
        <v>15</v>
      </c>
      <c r="H3131" t="s">
        <v>15</v>
      </c>
      <c r="I3131" s="1">
        <v>32571200</v>
      </c>
    </row>
    <row r="3132" spans="1:9" x14ac:dyDescent="0.25">
      <c r="A3132" t="s">
        <v>32</v>
      </c>
      <c r="B3132" t="s">
        <v>37</v>
      </c>
      <c r="C3132" t="s">
        <v>34</v>
      </c>
      <c r="D3132" t="s">
        <v>13</v>
      </c>
      <c r="E3132" t="s">
        <v>14</v>
      </c>
      <c r="F3132" t="s">
        <v>15</v>
      </c>
      <c r="G3132" t="s">
        <v>15</v>
      </c>
      <c r="H3132" t="s">
        <v>15</v>
      </c>
      <c r="I3132" s="1">
        <v>63595700</v>
      </c>
    </row>
    <row r="3133" spans="1:9" x14ac:dyDescent="0.25">
      <c r="A3133" t="str">
        <f>"65281"</f>
        <v>65281</v>
      </c>
      <c r="B3133" t="s">
        <v>38</v>
      </c>
      <c r="C3133" t="s">
        <v>1263</v>
      </c>
      <c r="D3133" t="str">
        <f>"003"</f>
        <v>003</v>
      </c>
      <c r="E3133">
        <v>1996</v>
      </c>
      <c r="F3133">
        <v>618700</v>
      </c>
      <c r="G3133">
        <v>14758300</v>
      </c>
      <c r="H3133">
        <v>14139600</v>
      </c>
    </row>
    <row r="3134" spans="1:9" x14ac:dyDescent="0.25">
      <c r="A3134" t="str">
        <f>"65281"</f>
        <v>65281</v>
      </c>
      <c r="B3134" t="s">
        <v>38</v>
      </c>
      <c r="C3134" t="s">
        <v>1263</v>
      </c>
      <c r="D3134" t="str">
        <f>"004"</f>
        <v>004</v>
      </c>
      <c r="E3134">
        <v>2003</v>
      </c>
      <c r="F3134">
        <v>178000</v>
      </c>
      <c r="G3134">
        <v>9691300</v>
      </c>
      <c r="H3134">
        <v>9513300</v>
      </c>
    </row>
    <row r="3135" spans="1:9" x14ac:dyDescent="0.25">
      <c r="A3135" t="str">
        <f>"65281"</f>
        <v>65281</v>
      </c>
      <c r="B3135" t="s">
        <v>38</v>
      </c>
      <c r="C3135" t="s">
        <v>1263</v>
      </c>
      <c r="D3135" t="s">
        <v>13</v>
      </c>
      <c r="E3135" t="s">
        <v>14</v>
      </c>
      <c r="F3135" t="s">
        <v>15</v>
      </c>
      <c r="G3135" t="s">
        <v>15</v>
      </c>
      <c r="H3135" t="s">
        <v>15</v>
      </c>
      <c r="I3135" s="1">
        <v>137995400</v>
      </c>
    </row>
    <row r="3136" spans="1:9" x14ac:dyDescent="0.25">
      <c r="A3136" t="str">
        <f>"65282"</f>
        <v>65282</v>
      </c>
      <c r="B3136" t="s">
        <v>38</v>
      </c>
      <c r="C3136" t="s">
        <v>1268</v>
      </c>
      <c r="D3136" t="str">
        <f>"002"</f>
        <v>002</v>
      </c>
      <c r="E3136">
        <v>1996</v>
      </c>
      <c r="F3136">
        <v>5595700</v>
      </c>
      <c r="G3136">
        <v>29482600</v>
      </c>
      <c r="H3136">
        <v>23886900</v>
      </c>
    </row>
    <row r="3137" spans="1:9" x14ac:dyDescent="0.25">
      <c r="A3137" t="str">
        <f>"65282"</f>
        <v>65282</v>
      </c>
      <c r="B3137" t="s">
        <v>38</v>
      </c>
      <c r="C3137" t="s">
        <v>1268</v>
      </c>
      <c r="D3137" t="s">
        <v>13</v>
      </c>
      <c r="E3137" t="s">
        <v>14</v>
      </c>
      <c r="F3137" t="s">
        <v>15</v>
      </c>
      <c r="G3137" t="s">
        <v>15</v>
      </c>
      <c r="H3137" t="s">
        <v>15</v>
      </c>
      <c r="I3137" s="1">
        <v>185552500</v>
      </c>
    </row>
    <row r="3138" spans="1:9" x14ac:dyDescent="0.25">
      <c r="A3138" t="s">
        <v>32</v>
      </c>
      <c r="B3138" t="s">
        <v>40</v>
      </c>
      <c r="C3138" t="s">
        <v>34</v>
      </c>
      <c r="D3138" t="s">
        <v>13</v>
      </c>
      <c r="E3138" t="s">
        <v>14</v>
      </c>
      <c r="F3138" t="s">
        <v>15</v>
      </c>
      <c r="G3138" t="s">
        <v>15</v>
      </c>
      <c r="H3138" t="s">
        <v>15</v>
      </c>
      <c r="I3138" s="1">
        <v>323547900</v>
      </c>
    </row>
    <row r="3139" spans="1:9" x14ac:dyDescent="0.25">
      <c r="A3139" t="s">
        <v>32</v>
      </c>
      <c r="B3139" t="s">
        <v>41</v>
      </c>
      <c r="C3139" t="s">
        <v>108</v>
      </c>
      <c r="D3139" t="s">
        <v>13</v>
      </c>
      <c r="E3139" t="s">
        <v>14</v>
      </c>
      <c r="F3139" t="s">
        <v>15</v>
      </c>
      <c r="G3139" t="s">
        <v>15</v>
      </c>
      <c r="H3139" t="s">
        <v>15</v>
      </c>
      <c r="I3139" s="1">
        <v>2586376400</v>
      </c>
    </row>
    <row r="3140" spans="1:9" x14ac:dyDescent="0.25">
      <c r="A3140" t="str">
        <f>"66002"</f>
        <v>66002</v>
      </c>
      <c r="B3140" t="s">
        <v>11</v>
      </c>
      <c r="C3140" t="s">
        <v>1269</v>
      </c>
      <c r="D3140" t="s">
        <v>13</v>
      </c>
      <c r="E3140" t="s">
        <v>14</v>
      </c>
      <c r="F3140" t="s">
        <v>15</v>
      </c>
      <c r="G3140" t="s">
        <v>15</v>
      </c>
      <c r="H3140" t="s">
        <v>15</v>
      </c>
      <c r="I3140" s="1">
        <v>352499200</v>
      </c>
    </row>
    <row r="3141" spans="1:9" x14ac:dyDescent="0.25">
      <c r="A3141" t="str">
        <f>"66004"</f>
        <v>66004</v>
      </c>
      <c r="B3141" t="s">
        <v>11</v>
      </c>
      <c r="C3141" t="s">
        <v>1270</v>
      </c>
      <c r="D3141" t="s">
        <v>13</v>
      </c>
      <c r="E3141" t="s">
        <v>14</v>
      </c>
      <c r="F3141" t="s">
        <v>15</v>
      </c>
      <c r="G3141" t="s">
        <v>15</v>
      </c>
      <c r="H3141" t="s">
        <v>15</v>
      </c>
      <c r="I3141" s="1">
        <v>343066900</v>
      </c>
    </row>
    <row r="3142" spans="1:9" x14ac:dyDescent="0.25">
      <c r="A3142" t="str">
        <f>"66006"</f>
        <v>66006</v>
      </c>
      <c r="B3142" t="s">
        <v>11</v>
      </c>
      <c r="C3142" t="s">
        <v>1271</v>
      </c>
      <c r="D3142" t="s">
        <v>13</v>
      </c>
      <c r="E3142" t="s">
        <v>14</v>
      </c>
      <c r="F3142" t="s">
        <v>15</v>
      </c>
      <c r="G3142" t="s">
        <v>15</v>
      </c>
      <c r="H3142" t="s">
        <v>15</v>
      </c>
      <c r="I3142" s="1">
        <v>631519000</v>
      </c>
    </row>
    <row r="3143" spans="1:9" x14ac:dyDescent="0.25">
      <c r="A3143" t="str">
        <f>"66008"</f>
        <v>66008</v>
      </c>
      <c r="B3143" t="s">
        <v>11</v>
      </c>
      <c r="C3143" t="s">
        <v>606</v>
      </c>
      <c r="D3143" t="s">
        <v>13</v>
      </c>
      <c r="E3143" t="s">
        <v>14</v>
      </c>
      <c r="F3143" t="s">
        <v>15</v>
      </c>
      <c r="G3143" t="s">
        <v>15</v>
      </c>
      <c r="H3143" t="s">
        <v>15</v>
      </c>
      <c r="I3143" s="1">
        <v>450721900</v>
      </c>
    </row>
    <row r="3144" spans="1:9" x14ac:dyDescent="0.25">
      <c r="A3144" t="str">
        <f>"66010"</f>
        <v>66010</v>
      </c>
      <c r="B3144" t="s">
        <v>11</v>
      </c>
      <c r="C3144" t="s">
        <v>623</v>
      </c>
      <c r="D3144" t="s">
        <v>13</v>
      </c>
      <c r="E3144" t="s">
        <v>14</v>
      </c>
      <c r="F3144" t="s">
        <v>15</v>
      </c>
      <c r="G3144" t="s">
        <v>15</v>
      </c>
      <c r="H3144" t="s">
        <v>15</v>
      </c>
      <c r="I3144" s="1">
        <v>27260700</v>
      </c>
    </row>
    <row r="3145" spans="1:9" x14ac:dyDescent="0.25">
      <c r="A3145" t="str">
        <f>"66012"</f>
        <v>66012</v>
      </c>
      <c r="B3145" t="s">
        <v>11</v>
      </c>
      <c r="C3145" t="s">
        <v>375</v>
      </c>
      <c r="D3145" t="s">
        <v>13</v>
      </c>
      <c r="E3145" t="s">
        <v>14</v>
      </c>
      <c r="F3145" t="s">
        <v>15</v>
      </c>
      <c r="G3145" t="s">
        <v>15</v>
      </c>
      <c r="H3145" t="s">
        <v>15</v>
      </c>
      <c r="I3145" s="1">
        <v>427509700</v>
      </c>
    </row>
    <row r="3146" spans="1:9" x14ac:dyDescent="0.25">
      <c r="A3146" t="str">
        <f>"66014"</f>
        <v>66014</v>
      </c>
      <c r="B3146" t="s">
        <v>11</v>
      </c>
      <c r="C3146" t="s">
        <v>20</v>
      </c>
      <c r="D3146" t="s">
        <v>13</v>
      </c>
      <c r="E3146" t="s">
        <v>14</v>
      </c>
      <c r="F3146" t="s">
        <v>15</v>
      </c>
      <c r="G3146" t="s">
        <v>15</v>
      </c>
      <c r="H3146" t="s">
        <v>15</v>
      </c>
      <c r="I3146" s="1">
        <v>578998900</v>
      </c>
    </row>
    <row r="3147" spans="1:9" x14ac:dyDescent="0.25">
      <c r="A3147" t="str">
        <f>"66016"</f>
        <v>66016</v>
      </c>
      <c r="B3147" t="s">
        <v>11</v>
      </c>
      <c r="C3147" t="s">
        <v>475</v>
      </c>
      <c r="D3147" t="s">
        <v>13</v>
      </c>
      <c r="E3147" t="s">
        <v>14</v>
      </c>
      <c r="F3147" t="s">
        <v>15</v>
      </c>
      <c r="G3147" t="s">
        <v>15</v>
      </c>
      <c r="H3147" t="s">
        <v>15</v>
      </c>
      <c r="I3147" s="1">
        <v>139750900</v>
      </c>
    </row>
    <row r="3148" spans="1:9" x14ac:dyDescent="0.25">
      <c r="A3148" t="str">
        <f>"66018"</f>
        <v>66018</v>
      </c>
      <c r="B3148" t="s">
        <v>11</v>
      </c>
      <c r="C3148" t="s">
        <v>972</v>
      </c>
      <c r="D3148" t="s">
        <v>13</v>
      </c>
      <c r="E3148" t="s">
        <v>14</v>
      </c>
      <c r="F3148" t="s">
        <v>15</v>
      </c>
      <c r="G3148" t="s">
        <v>15</v>
      </c>
      <c r="H3148" t="s">
        <v>15</v>
      </c>
      <c r="I3148" s="1">
        <v>692729800</v>
      </c>
    </row>
    <row r="3149" spans="1:9" x14ac:dyDescent="0.25">
      <c r="A3149" t="str">
        <f>"66022"</f>
        <v>66022</v>
      </c>
      <c r="B3149" t="s">
        <v>11</v>
      </c>
      <c r="C3149" t="s">
        <v>368</v>
      </c>
      <c r="D3149" t="s">
        <v>13</v>
      </c>
      <c r="E3149" t="s">
        <v>14</v>
      </c>
      <c r="F3149" t="s">
        <v>15</v>
      </c>
      <c r="G3149" t="s">
        <v>15</v>
      </c>
      <c r="H3149" t="s">
        <v>15</v>
      </c>
      <c r="I3149" s="1">
        <v>556448400</v>
      </c>
    </row>
    <row r="3150" spans="1:9" x14ac:dyDescent="0.25">
      <c r="A3150" t="str">
        <f>"66024"</f>
        <v>66024</v>
      </c>
      <c r="B3150" t="s">
        <v>11</v>
      </c>
      <c r="C3150" t="s">
        <v>685</v>
      </c>
      <c r="D3150" t="s">
        <v>13</v>
      </c>
      <c r="E3150" t="s">
        <v>14</v>
      </c>
      <c r="F3150" t="s">
        <v>15</v>
      </c>
      <c r="G3150" t="s">
        <v>15</v>
      </c>
      <c r="H3150" t="s">
        <v>15</v>
      </c>
      <c r="I3150" s="1">
        <v>247051400</v>
      </c>
    </row>
    <row r="3151" spans="1:9" x14ac:dyDescent="0.25">
      <c r="A3151" t="str">
        <f>"66026"</f>
        <v>66026</v>
      </c>
      <c r="B3151" t="s">
        <v>11</v>
      </c>
      <c r="C3151" t="s">
        <v>1272</v>
      </c>
      <c r="D3151" t="s">
        <v>13</v>
      </c>
      <c r="E3151" t="s">
        <v>14</v>
      </c>
      <c r="F3151" t="s">
        <v>15</v>
      </c>
      <c r="G3151" t="s">
        <v>15</v>
      </c>
      <c r="H3151" t="s">
        <v>15</v>
      </c>
      <c r="I3151" s="1">
        <v>950428200</v>
      </c>
    </row>
    <row r="3152" spans="1:9" x14ac:dyDescent="0.25">
      <c r="A3152" t="s">
        <v>32</v>
      </c>
      <c r="B3152" t="s">
        <v>33</v>
      </c>
      <c r="C3152" t="s">
        <v>34</v>
      </c>
      <c r="D3152" t="s">
        <v>13</v>
      </c>
      <c r="E3152" t="s">
        <v>14</v>
      </c>
      <c r="F3152" t="s">
        <v>15</v>
      </c>
      <c r="G3152" t="s">
        <v>15</v>
      </c>
      <c r="H3152" t="s">
        <v>15</v>
      </c>
      <c r="I3152" s="1">
        <v>5397985000</v>
      </c>
    </row>
    <row r="3153" spans="1:9" x14ac:dyDescent="0.25">
      <c r="A3153" t="str">
        <f>"66131"</f>
        <v>66131</v>
      </c>
      <c r="B3153" t="s">
        <v>35</v>
      </c>
      <c r="C3153" t="s">
        <v>623</v>
      </c>
      <c r="D3153" t="str">
        <f>"006"</f>
        <v>006</v>
      </c>
      <c r="E3153">
        <v>2014</v>
      </c>
      <c r="F3153">
        <v>2796400</v>
      </c>
      <c r="G3153">
        <v>22690500</v>
      </c>
      <c r="H3153">
        <v>19894100</v>
      </c>
    </row>
    <row r="3154" spans="1:9" x14ac:dyDescent="0.25">
      <c r="A3154" t="str">
        <f>"66131"</f>
        <v>66131</v>
      </c>
      <c r="B3154" t="s">
        <v>35</v>
      </c>
      <c r="C3154" t="s">
        <v>623</v>
      </c>
      <c r="D3154" t="str">
        <f>"007"</f>
        <v>007</v>
      </c>
      <c r="E3154">
        <v>2018</v>
      </c>
      <c r="F3154">
        <v>9329900</v>
      </c>
      <c r="G3154">
        <v>11696600</v>
      </c>
      <c r="H3154">
        <v>2366700</v>
      </c>
    </row>
    <row r="3155" spans="1:9" x14ac:dyDescent="0.25">
      <c r="A3155" t="str">
        <f>"66131"</f>
        <v>66131</v>
      </c>
      <c r="B3155" t="s">
        <v>35</v>
      </c>
      <c r="C3155" t="s">
        <v>623</v>
      </c>
      <c r="D3155" t="str">
        <f>"008"</f>
        <v>008</v>
      </c>
      <c r="E3155">
        <v>2018</v>
      </c>
      <c r="F3155">
        <v>640700</v>
      </c>
      <c r="G3155">
        <v>14000000</v>
      </c>
      <c r="H3155">
        <v>13359300</v>
      </c>
    </row>
    <row r="3156" spans="1:9" x14ac:dyDescent="0.25">
      <c r="A3156" t="str">
        <f>"66131"</f>
        <v>66131</v>
      </c>
      <c r="B3156" t="s">
        <v>35</v>
      </c>
      <c r="C3156" t="s">
        <v>623</v>
      </c>
      <c r="D3156" t="s">
        <v>13</v>
      </c>
      <c r="E3156" t="s">
        <v>14</v>
      </c>
      <c r="F3156" t="s">
        <v>15</v>
      </c>
      <c r="G3156" t="s">
        <v>15</v>
      </c>
      <c r="H3156" t="s">
        <v>15</v>
      </c>
      <c r="I3156" s="1">
        <v>2772351300</v>
      </c>
    </row>
    <row r="3157" spans="1:9" x14ac:dyDescent="0.25">
      <c r="A3157" t="str">
        <f>"66141"</f>
        <v>66141</v>
      </c>
      <c r="B3157" t="s">
        <v>35</v>
      </c>
      <c r="C3157" t="s">
        <v>20</v>
      </c>
      <c r="D3157" t="str">
        <f>"004"</f>
        <v>004</v>
      </c>
      <c r="E3157">
        <v>1995</v>
      </c>
      <c r="F3157">
        <v>645700</v>
      </c>
      <c r="G3157">
        <v>46406600</v>
      </c>
      <c r="H3157">
        <v>45760900</v>
      </c>
    </row>
    <row r="3158" spans="1:9" x14ac:dyDescent="0.25">
      <c r="A3158" t="str">
        <f>"66141"</f>
        <v>66141</v>
      </c>
      <c r="B3158" t="s">
        <v>35</v>
      </c>
      <c r="C3158" t="s">
        <v>20</v>
      </c>
      <c r="D3158" t="str">
        <f>"005"</f>
        <v>005</v>
      </c>
      <c r="E3158">
        <v>2014</v>
      </c>
      <c r="F3158">
        <v>933100</v>
      </c>
      <c r="G3158">
        <v>7156400</v>
      </c>
      <c r="H3158">
        <v>6223300</v>
      </c>
    </row>
    <row r="3159" spans="1:9" x14ac:dyDescent="0.25">
      <c r="A3159" t="str">
        <f>"66141"</f>
        <v>66141</v>
      </c>
      <c r="B3159" t="s">
        <v>35</v>
      </c>
      <c r="C3159" t="s">
        <v>20</v>
      </c>
      <c r="D3159" t="str">
        <f>"006"</f>
        <v>006</v>
      </c>
      <c r="E3159">
        <v>2018</v>
      </c>
      <c r="F3159">
        <v>474900</v>
      </c>
      <c r="G3159">
        <v>2275200</v>
      </c>
      <c r="H3159">
        <v>1800300</v>
      </c>
    </row>
    <row r="3160" spans="1:9" x14ac:dyDescent="0.25">
      <c r="A3160" t="str">
        <f>"66141"</f>
        <v>66141</v>
      </c>
      <c r="B3160" t="s">
        <v>35</v>
      </c>
      <c r="C3160" t="s">
        <v>20</v>
      </c>
      <c r="D3160" t="s">
        <v>13</v>
      </c>
      <c r="E3160" t="s">
        <v>14</v>
      </c>
      <c r="F3160" t="s">
        <v>15</v>
      </c>
      <c r="G3160" t="s">
        <v>15</v>
      </c>
      <c r="H3160" t="s">
        <v>15</v>
      </c>
      <c r="I3160" s="1">
        <v>678525300</v>
      </c>
    </row>
    <row r="3161" spans="1:9" x14ac:dyDescent="0.25">
      <c r="A3161" t="str">
        <f>"66142"</f>
        <v>66142</v>
      </c>
      <c r="B3161" t="s">
        <v>35</v>
      </c>
      <c r="C3161" t="s">
        <v>475</v>
      </c>
      <c r="D3161" t="str">
        <f>"002"</f>
        <v>002</v>
      </c>
      <c r="E3161">
        <v>2005</v>
      </c>
      <c r="F3161">
        <v>2868700</v>
      </c>
      <c r="G3161">
        <v>25996600</v>
      </c>
      <c r="H3161">
        <v>23127900</v>
      </c>
    </row>
    <row r="3162" spans="1:9" x14ac:dyDescent="0.25">
      <c r="A3162" t="str">
        <f>"66142"</f>
        <v>66142</v>
      </c>
      <c r="B3162" t="s">
        <v>35</v>
      </c>
      <c r="C3162" t="s">
        <v>475</v>
      </c>
      <c r="D3162" t="s">
        <v>13</v>
      </c>
      <c r="E3162" t="s">
        <v>14</v>
      </c>
      <c r="F3162" t="s">
        <v>15</v>
      </c>
      <c r="G3162" t="s">
        <v>15</v>
      </c>
      <c r="H3162" t="s">
        <v>15</v>
      </c>
      <c r="I3162" s="1">
        <v>319830600</v>
      </c>
    </row>
    <row r="3163" spans="1:9" x14ac:dyDescent="0.25">
      <c r="A3163" t="str">
        <f>"66161"</f>
        <v>66161</v>
      </c>
      <c r="B3163" t="s">
        <v>35</v>
      </c>
      <c r="C3163" t="s">
        <v>923</v>
      </c>
      <c r="D3163" t="s">
        <v>13</v>
      </c>
      <c r="E3163" t="s">
        <v>14</v>
      </c>
      <c r="F3163" t="s">
        <v>15</v>
      </c>
      <c r="G3163" t="s">
        <v>15</v>
      </c>
      <c r="H3163" t="s">
        <v>15</v>
      </c>
      <c r="I3163" s="1">
        <v>81210600</v>
      </c>
    </row>
    <row r="3164" spans="1:9" x14ac:dyDescent="0.25">
      <c r="A3164" t="str">
        <f>"66166"</f>
        <v>66166</v>
      </c>
      <c r="B3164" t="s">
        <v>35</v>
      </c>
      <c r="C3164" t="s">
        <v>28</v>
      </c>
      <c r="D3164" t="s">
        <v>13</v>
      </c>
      <c r="E3164" t="s">
        <v>14</v>
      </c>
      <c r="F3164" t="s">
        <v>15</v>
      </c>
      <c r="G3164" t="s">
        <v>15</v>
      </c>
      <c r="H3164" t="s">
        <v>15</v>
      </c>
      <c r="I3164" s="1">
        <v>1831710300</v>
      </c>
    </row>
    <row r="3165" spans="1:9" x14ac:dyDescent="0.25">
      <c r="A3165" t="str">
        <f>"66181"</f>
        <v>66181</v>
      </c>
      <c r="B3165" t="s">
        <v>35</v>
      </c>
      <c r="C3165" t="s">
        <v>1273</v>
      </c>
      <c r="D3165" t="str">
        <f>"004"</f>
        <v>004</v>
      </c>
      <c r="E3165">
        <v>2015</v>
      </c>
      <c r="F3165">
        <v>3546200</v>
      </c>
      <c r="G3165">
        <v>12642400</v>
      </c>
      <c r="H3165">
        <v>9096200</v>
      </c>
    </row>
    <row r="3166" spans="1:9" x14ac:dyDescent="0.25">
      <c r="A3166" t="str">
        <f>"66181"</f>
        <v>66181</v>
      </c>
      <c r="B3166" t="s">
        <v>35</v>
      </c>
      <c r="C3166" t="s">
        <v>1273</v>
      </c>
      <c r="D3166" t="str">
        <f>"005"</f>
        <v>005</v>
      </c>
      <c r="E3166">
        <v>2016</v>
      </c>
      <c r="F3166">
        <v>784400</v>
      </c>
      <c r="G3166">
        <v>5479400</v>
      </c>
      <c r="H3166">
        <v>4695000</v>
      </c>
    </row>
    <row r="3167" spans="1:9" x14ac:dyDescent="0.25">
      <c r="A3167" t="str">
        <f>"66181"</f>
        <v>66181</v>
      </c>
      <c r="B3167" t="s">
        <v>35</v>
      </c>
      <c r="C3167" t="s">
        <v>1273</v>
      </c>
      <c r="D3167" t="s">
        <v>13</v>
      </c>
      <c r="E3167" t="s">
        <v>14</v>
      </c>
      <c r="F3167" t="s">
        <v>15</v>
      </c>
      <c r="G3167" t="s">
        <v>15</v>
      </c>
      <c r="H3167" t="s">
        <v>15</v>
      </c>
      <c r="I3167" s="1">
        <v>612834600</v>
      </c>
    </row>
    <row r="3168" spans="1:9" x14ac:dyDescent="0.25">
      <c r="A3168" t="s">
        <v>32</v>
      </c>
      <c r="B3168" t="s">
        <v>37</v>
      </c>
      <c r="C3168" t="s">
        <v>34</v>
      </c>
      <c r="D3168" t="s">
        <v>13</v>
      </c>
      <c r="E3168" t="s">
        <v>14</v>
      </c>
      <c r="F3168" t="s">
        <v>15</v>
      </c>
      <c r="G3168" t="s">
        <v>15</v>
      </c>
      <c r="H3168" t="s">
        <v>15</v>
      </c>
      <c r="I3168" s="1">
        <v>6296462700</v>
      </c>
    </row>
    <row r="3169" spans="1:9" x14ac:dyDescent="0.25">
      <c r="A3169" t="str">
        <f t="shared" ref="A3169:A3174" si="69">"66236"</f>
        <v>66236</v>
      </c>
      <c r="B3169" t="s">
        <v>38</v>
      </c>
      <c r="C3169" t="s">
        <v>375</v>
      </c>
      <c r="D3169" t="str">
        <f>"006"</f>
        <v>006</v>
      </c>
      <c r="E3169">
        <v>2008</v>
      </c>
      <c r="F3169">
        <v>1100000</v>
      </c>
      <c r="G3169">
        <v>1812400</v>
      </c>
      <c r="H3169">
        <v>712400</v>
      </c>
    </row>
    <row r="3170" spans="1:9" x14ac:dyDescent="0.25">
      <c r="A3170" t="str">
        <f t="shared" si="69"/>
        <v>66236</v>
      </c>
      <c r="B3170" t="s">
        <v>38</v>
      </c>
      <c r="C3170" t="s">
        <v>375</v>
      </c>
      <c r="D3170" t="str">
        <f>"007"</f>
        <v>007</v>
      </c>
      <c r="E3170">
        <v>2011</v>
      </c>
      <c r="F3170">
        <v>3600</v>
      </c>
      <c r="G3170">
        <v>2647000</v>
      </c>
      <c r="H3170">
        <v>2643400</v>
      </c>
    </row>
    <row r="3171" spans="1:9" x14ac:dyDescent="0.25">
      <c r="A3171" t="str">
        <f t="shared" si="69"/>
        <v>66236</v>
      </c>
      <c r="B3171" t="s">
        <v>38</v>
      </c>
      <c r="C3171" t="s">
        <v>375</v>
      </c>
      <c r="D3171" t="str">
        <f>"008"</f>
        <v>008</v>
      </c>
      <c r="E3171">
        <v>2013</v>
      </c>
      <c r="F3171">
        <v>6047400</v>
      </c>
      <c r="G3171">
        <v>9117200</v>
      </c>
      <c r="H3171">
        <v>3069800</v>
      </c>
    </row>
    <row r="3172" spans="1:9" x14ac:dyDescent="0.25">
      <c r="A3172" t="str">
        <f t="shared" si="69"/>
        <v>66236</v>
      </c>
      <c r="B3172" t="s">
        <v>38</v>
      </c>
      <c r="C3172" t="s">
        <v>375</v>
      </c>
      <c r="D3172" t="str">
        <f>"010"</f>
        <v>010</v>
      </c>
      <c r="E3172">
        <v>2017</v>
      </c>
      <c r="F3172">
        <v>4791600</v>
      </c>
      <c r="G3172">
        <v>9766100</v>
      </c>
      <c r="H3172">
        <v>4974500</v>
      </c>
    </row>
    <row r="3173" spans="1:9" x14ac:dyDescent="0.25">
      <c r="A3173" t="str">
        <f t="shared" si="69"/>
        <v>66236</v>
      </c>
      <c r="B3173" t="s">
        <v>38</v>
      </c>
      <c r="C3173" t="s">
        <v>375</v>
      </c>
      <c r="D3173" t="str">
        <f>"011"</f>
        <v>011</v>
      </c>
      <c r="E3173">
        <v>2017</v>
      </c>
      <c r="F3173">
        <v>11588700</v>
      </c>
      <c r="G3173">
        <v>15784900</v>
      </c>
      <c r="H3173">
        <v>4196200</v>
      </c>
    </row>
    <row r="3174" spans="1:9" x14ac:dyDescent="0.25">
      <c r="A3174" t="str">
        <f t="shared" si="69"/>
        <v>66236</v>
      </c>
      <c r="B3174" t="s">
        <v>38</v>
      </c>
      <c r="C3174" t="s">
        <v>375</v>
      </c>
      <c r="D3174" t="s">
        <v>13</v>
      </c>
      <c r="E3174" t="s">
        <v>14</v>
      </c>
      <c r="F3174" t="s">
        <v>15</v>
      </c>
      <c r="G3174" t="s">
        <v>15</v>
      </c>
      <c r="H3174" t="s">
        <v>15</v>
      </c>
      <c r="I3174" s="1">
        <v>1361386100</v>
      </c>
    </row>
    <row r="3175" spans="1:9" x14ac:dyDescent="0.25">
      <c r="A3175" t="str">
        <f>"66251"</f>
        <v>66251</v>
      </c>
      <c r="B3175" t="s">
        <v>38</v>
      </c>
      <c r="C3175" t="s">
        <v>822</v>
      </c>
      <c r="D3175" t="s">
        <v>13</v>
      </c>
      <c r="E3175" t="s">
        <v>14</v>
      </c>
      <c r="F3175" t="s">
        <v>15</v>
      </c>
      <c r="G3175" t="s">
        <v>15</v>
      </c>
      <c r="H3175" t="s">
        <v>15</v>
      </c>
      <c r="I3175" s="1">
        <v>1062800</v>
      </c>
    </row>
    <row r="3176" spans="1:9" x14ac:dyDescent="0.25">
      <c r="A3176" t="str">
        <f t="shared" ref="A3176:A3187" si="70">"66291"</f>
        <v>66291</v>
      </c>
      <c r="B3176" t="s">
        <v>38</v>
      </c>
      <c r="C3176" t="s">
        <v>1272</v>
      </c>
      <c r="D3176" t="str">
        <f>"003"</f>
        <v>003</v>
      </c>
      <c r="E3176">
        <v>1995</v>
      </c>
      <c r="F3176">
        <v>4817700</v>
      </c>
      <c r="G3176">
        <v>31952900</v>
      </c>
      <c r="H3176">
        <v>27135200</v>
      </c>
    </row>
    <row r="3177" spans="1:9" x14ac:dyDescent="0.25">
      <c r="A3177" t="str">
        <f t="shared" si="70"/>
        <v>66291</v>
      </c>
      <c r="B3177" t="s">
        <v>38</v>
      </c>
      <c r="C3177" t="s">
        <v>1272</v>
      </c>
      <c r="D3177" t="str">
        <f>"004"</f>
        <v>004</v>
      </c>
      <c r="E3177">
        <v>1997</v>
      </c>
      <c r="F3177">
        <v>829900</v>
      </c>
      <c r="G3177">
        <v>62751100</v>
      </c>
      <c r="H3177">
        <v>61921200</v>
      </c>
    </row>
    <row r="3178" spans="1:9" x14ac:dyDescent="0.25">
      <c r="A3178" t="str">
        <f t="shared" si="70"/>
        <v>66291</v>
      </c>
      <c r="B3178" t="s">
        <v>38</v>
      </c>
      <c r="C3178" t="s">
        <v>1272</v>
      </c>
      <c r="D3178" t="str">
        <f>"005"</f>
        <v>005</v>
      </c>
      <c r="E3178">
        <v>1998</v>
      </c>
      <c r="F3178">
        <v>1793400</v>
      </c>
      <c r="G3178">
        <v>11355000</v>
      </c>
      <c r="H3178">
        <v>9561600</v>
      </c>
    </row>
    <row r="3179" spans="1:9" x14ac:dyDescent="0.25">
      <c r="A3179" t="str">
        <f t="shared" si="70"/>
        <v>66291</v>
      </c>
      <c r="B3179" t="s">
        <v>38</v>
      </c>
      <c r="C3179" t="s">
        <v>1272</v>
      </c>
      <c r="D3179" t="str">
        <f>"006"</f>
        <v>006</v>
      </c>
      <c r="E3179">
        <v>1999</v>
      </c>
      <c r="F3179">
        <v>4303400</v>
      </c>
      <c r="G3179">
        <v>38112200</v>
      </c>
      <c r="H3179">
        <v>33808800</v>
      </c>
    </row>
    <row r="3180" spans="1:9" x14ac:dyDescent="0.25">
      <c r="A3180" t="str">
        <f t="shared" si="70"/>
        <v>66291</v>
      </c>
      <c r="B3180" t="s">
        <v>38</v>
      </c>
      <c r="C3180" t="s">
        <v>1272</v>
      </c>
      <c r="D3180" t="str">
        <f>"007"</f>
        <v>007</v>
      </c>
      <c r="E3180">
        <v>1999</v>
      </c>
      <c r="F3180">
        <v>20976800</v>
      </c>
      <c r="G3180">
        <v>28505700</v>
      </c>
      <c r="H3180">
        <v>7528900</v>
      </c>
    </row>
    <row r="3181" spans="1:9" x14ac:dyDescent="0.25">
      <c r="A3181" t="str">
        <f t="shared" si="70"/>
        <v>66291</v>
      </c>
      <c r="B3181" t="s">
        <v>38</v>
      </c>
      <c r="C3181" t="s">
        <v>1272</v>
      </c>
      <c r="D3181" t="str">
        <f>"008"</f>
        <v>008</v>
      </c>
      <c r="E3181">
        <v>1999</v>
      </c>
      <c r="F3181">
        <v>66200</v>
      </c>
      <c r="G3181">
        <v>1144500</v>
      </c>
      <c r="H3181">
        <v>1078300</v>
      </c>
    </row>
    <row r="3182" spans="1:9" x14ac:dyDescent="0.25">
      <c r="A3182" t="str">
        <f t="shared" si="70"/>
        <v>66291</v>
      </c>
      <c r="B3182" t="s">
        <v>38</v>
      </c>
      <c r="C3182" t="s">
        <v>1272</v>
      </c>
      <c r="D3182" t="str">
        <f>"009"</f>
        <v>009</v>
      </c>
      <c r="E3182">
        <v>2003</v>
      </c>
      <c r="F3182">
        <v>4144200</v>
      </c>
      <c r="G3182">
        <v>5403600</v>
      </c>
      <c r="H3182">
        <v>1259400</v>
      </c>
    </row>
    <row r="3183" spans="1:9" x14ac:dyDescent="0.25">
      <c r="A3183" t="str">
        <f t="shared" si="70"/>
        <v>66291</v>
      </c>
      <c r="B3183" t="s">
        <v>38</v>
      </c>
      <c r="C3183" t="s">
        <v>1272</v>
      </c>
      <c r="D3183" t="str">
        <f>"010"</f>
        <v>010</v>
      </c>
      <c r="E3183">
        <v>2004</v>
      </c>
      <c r="F3183">
        <v>6593500</v>
      </c>
      <c r="G3183">
        <v>42158600</v>
      </c>
      <c r="H3183">
        <v>35565100</v>
      </c>
    </row>
    <row r="3184" spans="1:9" x14ac:dyDescent="0.25">
      <c r="A3184" t="str">
        <f t="shared" si="70"/>
        <v>66291</v>
      </c>
      <c r="B3184" t="s">
        <v>38</v>
      </c>
      <c r="C3184" t="s">
        <v>1272</v>
      </c>
      <c r="D3184" t="str">
        <f>"011"</f>
        <v>011</v>
      </c>
      <c r="E3184">
        <v>2005</v>
      </c>
      <c r="F3184">
        <v>9623000</v>
      </c>
      <c r="G3184">
        <v>22373300</v>
      </c>
      <c r="H3184">
        <v>12750300</v>
      </c>
    </row>
    <row r="3185" spans="1:9" x14ac:dyDescent="0.25">
      <c r="A3185" t="str">
        <f t="shared" si="70"/>
        <v>66291</v>
      </c>
      <c r="B3185" t="s">
        <v>38</v>
      </c>
      <c r="C3185" t="s">
        <v>1272</v>
      </c>
      <c r="D3185" t="str">
        <f>"012"</f>
        <v>012</v>
      </c>
      <c r="E3185">
        <v>2008</v>
      </c>
      <c r="F3185">
        <v>11804500</v>
      </c>
      <c r="G3185">
        <v>31215600</v>
      </c>
      <c r="H3185">
        <v>19411100</v>
      </c>
    </row>
    <row r="3186" spans="1:9" x14ac:dyDescent="0.25">
      <c r="A3186" t="str">
        <f t="shared" si="70"/>
        <v>66291</v>
      </c>
      <c r="B3186" t="s">
        <v>38</v>
      </c>
      <c r="C3186" t="s">
        <v>1272</v>
      </c>
      <c r="D3186" t="str">
        <f>"013"</f>
        <v>013</v>
      </c>
      <c r="E3186">
        <v>2011</v>
      </c>
      <c r="F3186">
        <v>3634200</v>
      </c>
      <c r="G3186">
        <v>4547700</v>
      </c>
      <c r="H3186">
        <v>913500</v>
      </c>
    </row>
    <row r="3187" spans="1:9" x14ac:dyDescent="0.25">
      <c r="A3187" t="str">
        <f t="shared" si="70"/>
        <v>66291</v>
      </c>
      <c r="B3187" t="s">
        <v>38</v>
      </c>
      <c r="C3187" t="s">
        <v>1272</v>
      </c>
      <c r="D3187" t="s">
        <v>13</v>
      </c>
      <c r="E3187" t="s">
        <v>14</v>
      </c>
      <c r="F3187" t="s">
        <v>15</v>
      </c>
      <c r="G3187" t="s">
        <v>15</v>
      </c>
      <c r="H3187" t="s">
        <v>15</v>
      </c>
      <c r="I3187" s="1">
        <v>2745990400</v>
      </c>
    </row>
    <row r="3188" spans="1:9" x14ac:dyDescent="0.25">
      <c r="A3188" t="s">
        <v>32</v>
      </c>
      <c r="B3188" t="s">
        <v>40</v>
      </c>
      <c r="C3188" t="s">
        <v>34</v>
      </c>
      <c r="D3188" t="s">
        <v>13</v>
      </c>
      <c r="E3188" t="s">
        <v>14</v>
      </c>
      <c r="F3188" t="s">
        <v>15</v>
      </c>
      <c r="G3188" t="s">
        <v>15</v>
      </c>
      <c r="H3188" t="s">
        <v>15</v>
      </c>
      <c r="I3188" s="1">
        <v>4108439300</v>
      </c>
    </row>
    <row r="3189" spans="1:9" x14ac:dyDescent="0.25">
      <c r="A3189" t="s">
        <v>32</v>
      </c>
      <c r="B3189" t="s">
        <v>41</v>
      </c>
      <c r="C3189" t="s">
        <v>393</v>
      </c>
      <c r="D3189" t="s">
        <v>13</v>
      </c>
      <c r="E3189" t="s">
        <v>14</v>
      </c>
      <c r="F3189" t="s">
        <v>15</v>
      </c>
      <c r="G3189" t="s">
        <v>15</v>
      </c>
      <c r="H3189" t="s">
        <v>15</v>
      </c>
      <c r="I3189" s="1">
        <v>15802887000</v>
      </c>
    </row>
    <row r="3190" spans="1:9" x14ac:dyDescent="0.25">
      <c r="A3190" t="str">
        <f>"67002"</f>
        <v>67002</v>
      </c>
      <c r="B3190" t="s">
        <v>11</v>
      </c>
      <c r="C3190" t="s">
        <v>1274</v>
      </c>
      <c r="D3190" t="str">
        <f>"001A"</f>
        <v>001A</v>
      </c>
      <c r="E3190">
        <v>2014</v>
      </c>
      <c r="F3190">
        <v>65986900</v>
      </c>
      <c r="G3190">
        <v>289769000</v>
      </c>
      <c r="H3190">
        <v>223782100</v>
      </c>
    </row>
    <row r="3191" spans="1:9" x14ac:dyDescent="0.25">
      <c r="A3191" t="str">
        <f>"67002"</f>
        <v>67002</v>
      </c>
      <c r="B3191" t="s">
        <v>11</v>
      </c>
      <c r="C3191" t="s">
        <v>1274</v>
      </c>
      <c r="D3191" t="s">
        <v>13</v>
      </c>
      <c r="E3191" t="s">
        <v>14</v>
      </c>
      <c r="F3191" t="s">
        <v>15</v>
      </c>
      <c r="G3191" t="s">
        <v>15</v>
      </c>
      <c r="H3191" t="s">
        <v>15</v>
      </c>
      <c r="I3191" s="1">
        <v>1166574300</v>
      </c>
    </row>
    <row r="3192" spans="1:9" x14ac:dyDescent="0.25">
      <c r="A3192" t="str">
        <f>"67004"</f>
        <v>67004</v>
      </c>
      <c r="B3192" t="s">
        <v>11</v>
      </c>
      <c r="C3192" t="s">
        <v>1275</v>
      </c>
      <c r="D3192" t="s">
        <v>13</v>
      </c>
      <c r="E3192" t="s">
        <v>14</v>
      </c>
      <c r="F3192" t="s">
        <v>15</v>
      </c>
      <c r="G3192" t="s">
        <v>15</v>
      </c>
      <c r="H3192" t="s">
        <v>15</v>
      </c>
      <c r="I3192" s="1">
        <v>1679035200</v>
      </c>
    </row>
    <row r="3193" spans="1:9" x14ac:dyDescent="0.25">
      <c r="A3193" t="str">
        <f>"67006"</f>
        <v>67006</v>
      </c>
      <c r="B3193" t="s">
        <v>11</v>
      </c>
      <c r="C3193" t="s">
        <v>1024</v>
      </c>
      <c r="D3193" t="s">
        <v>13</v>
      </c>
      <c r="E3193" t="s">
        <v>14</v>
      </c>
      <c r="F3193" t="s">
        <v>15</v>
      </c>
      <c r="G3193" t="s">
        <v>15</v>
      </c>
      <c r="H3193" t="s">
        <v>15</v>
      </c>
      <c r="I3193" s="1">
        <v>534058700</v>
      </c>
    </row>
    <row r="3194" spans="1:9" x14ac:dyDescent="0.25">
      <c r="A3194" t="str">
        <f>"67008"</f>
        <v>67008</v>
      </c>
      <c r="B3194" t="s">
        <v>11</v>
      </c>
      <c r="C3194" t="s">
        <v>1276</v>
      </c>
      <c r="D3194" t="s">
        <v>13</v>
      </c>
      <c r="E3194" t="s">
        <v>14</v>
      </c>
      <c r="F3194" t="s">
        <v>15</v>
      </c>
      <c r="G3194" t="s">
        <v>15</v>
      </c>
      <c r="H3194" t="s">
        <v>15</v>
      </c>
      <c r="I3194" s="1">
        <v>1066199900</v>
      </c>
    </row>
    <row r="3195" spans="1:9" x14ac:dyDescent="0.25">
      <c r="A3195" t="str">
        <f>"67010"</f>
        <v>67010</v>
      </c>
      <c r="B3195" t="s">
        <v>11</v>
      </c>
      <c r="C3195" t="s">
        <v>627</v>
      </c>
      <c r="D3195" t="s">
        <v>13</v>
      </c>
      <c r="E3195" t="s">
        <v>14</v>
      </c>
      <c r="F3195" t="s">
        <v>15</v>
      </c>
      <c r="G3195" t="s">
        <v>15</v>
      </c>
      <c r="H3195" t="s">
        <v>15</v>
      </c>
      <c r="I3195" s="1">
        <v>1322314000</v>
      </c>
    </row>
    <row r="3196" spans="1:9" x14ac:dyDescent="0.25">
      <c r="A3196" t="str">
        <f>"67014"</f>
        <v>67014</v>
      </c>
      <c r="B3196" t="s">
        <v>11</v>
      </c>
      <c r="C3196" t="s">
        <v>1277</v>
      </c>
      <c r="D3196" t="s">
        <v>13</v>
      </c>
      <c r="E3196" t="s">
        <v>14</v>
      </c>
      <c r="F3196" t="s">
        <v>15</v>
      </c>
      <c r="G3196" t="s">
        <v>15</v>
      </c>
      <c r="H3196" t="s">
        <v>15</v>
      </c>
      <c r="I3196" s="1">
        <v>1726993900</v>
      </c>
    </row>
    <row r="3197" spans="1:9" x14ac:dyDescent="0.25">
      <c r="A3197" t="str">
        <f>"67016"</f>
        <v>67016</v>
      </c>
      <c r="B3197" t="s">
        <v>11</v>
      </c>
      <c r="C3197" t="s">
        <v>1247</v>
      </c>
      <c r="D3197" t="s">
        <v>13</v>
      </c>
      <c r="E3197" t="s">
        <v>14</v>
      </c>
      <c r="F3197" t="s">
        <v>15</v>
      </c>
      <c r="G3197" t="s">
        <v>15</v>
      </c>
      <c r="H3197" t="s">
        <v>15</v>
      </c>
      <c r="I3197" s="1">
        <v>946972700</v>
      </c>
    </row>
    <row r="3198" spans="1:9" x14ac:dyDescent="0.25">
      <c r="A3198" t="str">
        <f>"67022"</f>
        <v>67022</v>
      </c>
      <c r="B3198" t="s">
        <v>11</v>
      </c>
      <c r="C3198" t="s">
        <v>1278</v>
      </c>
      <c r="D3198" t="s">
        <v>13</v>
      </c>
      <c r="E3198" t="s">
        <v>14</v>
      </c>
      <c r="F3198" t="s">
        <v>15</v>
      </c>
      <c r="G3198" t="s">
        <v>15</v>
      </c>
      <c r="H3198" t="s">
        <v>15</v>
      </c>
      <c r="I3198" s="1">
        <v>1741003000</v>
      </c>
    </row>
    <row r="3199" spans="1:9" x14ac:dyDescent="0.25">
      <c r="A3199" t="str">
        <f>"67024"</f>
        <v>67024</v>
      </c>
      <c r="B3199" t="s">
        <v>11</v>
      </c>
      <c r="C3199" t="s">
        <v>1279</v>
      </c>
      <c r="D3199" t="s">
        <v>13</v>
      </c>
      <c r="E3199" t="s">
        <v>14</v>
      </c>
      <c r="F3199" t="s">
        <v>15</v>
      </c>
      <c r="G3199" t="s">
        <v>15</v>
      </c>
      <c r="H3199" t="s">
        <v>15</v>
      </c>
      <c r="I3199" s="1">
        <v>625666800</v>
      </c>
    </row>
    <row r="3200" spans="1:9" x14ac:dyDescent="0.25">
      <c r="A3200" t="str">
        <f>"67030"</f>
        <v>67030</v>
      </c>
      <c r="B3200" t="s">
        <v>11</v>
      </c>
      <c r="C3200" t="s">
        <v>1223</v>
      </c>
      <c r="D3200" t="s">
        <v>13</v>
      </c>
      <c r="E3200" t="s">
        <v>14</v>
      </c>
      <c r="F3200" t="s">
        <v>15</v>
      </c>
      <c r="G3200" t="s">
        <v>15</v>
      </c>
      <c r="H3200" t="s">
        <v>15</v>
      </c>
      <c r="I3200" s="1">
        <v>1004010900</v>
      </c>
    </row>
    <row r="3201" spans="1:9" x14ac:dyDescent="0.25">
      <c r="A3201" t="str">
        <f>"67032"</f>
        <v>67032</v>
      </c>
      <c r="B3201" t="s">
        <v>11</v>
      </c>
      <c r="C3201" t="s">
        <v>1280</v>
      </c>
      <c r="D3201" t="s">
        <v>13</v>
      </c>
      <c r="E3201" t="s">
        <v>14</v>
      </c>
      <c r="F3201" t="s">
        <v>15</v>
      </c>
      <c r="G3201" t="s">
        <v>15</v>
      </c>
      <c r="H3201" t="s">
        <v>15</v>
      </c>
      <c r="I3201" s="1">
        <v>1139752000</v>
      </c>
    </row>
    <row r="3202" spans="1:9" x14ac:dyDescent="0.25">
      <c r="A3202" t="s">
        <v>32</v>
      </c>
      <c r="B3202" t="s">
        <v>33</v>
      </c>
      <c r="C3202" t="s">
        <v>34</v>
      </c>
      <c r="D3202" t="s">
        <v>13</v>
      </c>
      <c r="E3202" t="s">
        <v>14</v>
      </c>
      <c r="F3202" t="s">
        <v>15</v>
      </c>
      <c r="G3202" t="s">
        <v>15</v>
      </c>
      <c r="H3202" t="s">
        <v>15</v>
      </c>
      <c r="I3202" s="1">
        <v>12952581400</v>
      </c>
    </row>
    <row r="3203" spans="1:9" x14ac:dyDescent="0.25">
      <c r="A3203" t="str">
        <f>"67106"</f>
        <v>67106</v>
      </c>
      <c r="B3203" t="s">
        <v>35</v>
      </c>
      <c r="C3203" t="s">
        <v>1054</v>
      </c>
      <c r="D3203" t="str">
        <f>"001"</f>
        <v>001</v>
      </c>
      <c r="E3203">
        <v>2013</v>
      </c>
      <c r="F3203">
        <v>14680600</v>
      </c>
      <c r="G3203">
        <v>14601000</v>
      </c>
      <c r="H3203">
        <v>0</v>
      </c>
    </row>
    <row r="3204" spans="1:9" x14ac:dyDescent="0.25">
      <c r="A3204" t="str">
        <f>"67106"</f>
        <v>67106</v>
      </c>
      <c r="B3204" t="s">
        <v>35</v>
      </c>
      <c r="C3204" t="s">
        <v>1054</v>
      </c>
      <c r="D3204" t="s">
        <v>13</v>
      </c>
      <c r="E3204" t="s">
        <v>14</v>
      </c>
      <c r="F3204" t="s">
        <v>15</v>
      </c>
      <c r="G3204" t="s">
        <v>15</v>
      </c>
      <c r="H3204" t="s">
        <v>15</v>
      </c>
      <c r="I3204" s="1">
        <v>186982700</v>
      </c>
    </row>
    <row r="3205" spans="1:9" x14ac:dyDescent="0.25">
      <c r="A3205" t="str">
        <f>"67107"</f>
        <v>67107</v>
      </c>
      <c r="B3205" t="s">
        <v>35</v>
      </c>
      <c r="C3205" t="s">
        <v>216</v>
      </c>
      <c r="D3205" t="s">
        <v>13</v>
      </c>
      <c r="E3205" t="s">
        <v>14</v>
      </c>
      <c r="F3205" t="s">
        <v>15</v>
      </c>
      <c r="G3205" t="s">
        <v>15</v>
      </c>
      <c r="H3205" t="s">
        <v>15</v>
      </c>
      <c r="I3205" s="1">
        <v>247158600</v>
      </c>
    </row>
    <row r="3206" spans="1:9" x14ac:dyDescent="0.25">
      <c r="A3206" t="str">
        <f>"67111"</f>
        <v>67111</v>
      </c>
      <c r="B3206" t="s">
        <v>35</v>
      </c>
      <c r="C3206" t="s">
        <v>1281</v>
      </c>
      <c r="D3206" t="s">
        <v>13</v>
      </c>
      <c r="E3206" t="s">
        <v>14</v>
      </c>
      <c r="F3206" t="s">
        <v>15</v>
      </c>
      <c r="G3206" t="s">
        <v>15</v>
      </c>
      <c r="H3206" t="s">
        <v>15</v>
      </c>
      <c r="I3206" s="1">
        <v>491901800</v>
      </c>
    </row>
    <row r="3207" spans="1:9" x14ac:dyDescent="0.25">
      <c r="A3207" t="str">
        <f>"67116"</f>
        <v>67116</v>
      </c>
      <c r="B3207" t="s">
        <v>35</v>
      </c>
      <c r="C3207" t="s">
        <v>1282</v>
      </c>
      <c r="D3207" t="s">
        <v>13</v>
      </c>
      <c r="E3207" t="s">
        <v>14</v>
      </c>
      <c r="F3207" t="s">
        <v>15</v>
      </c>
      <c r="G3207" t="s">
        <v>15</v>
      </c>
      <c r="H3207" t="s">
        <v>15</v>
      </c>
      <c r="I3207" s="1">
        <v>216275600</v>
      </c>
    </row>
    <row r="3208" spans="1:9" x14ac:dyDescent="0.25">
      <c r="A3208" t="str">
        <f>"67121"</f>
        <v>67121</v>
      </c>
      <c r="B3208" t="s">
        <v>35</v>
      </c>
      <c r="C3208" t="s">
        <v>1024</v>
      </c>
      <c r="D3208" t="s">
        <v>13</v>
      </c>
      <c r="E3208" t="s">
        <v>14</v>
      </c>
      <c r="F3208" t="s">
        <v>15</v>
      </c>
      <c r="G3208" t="s">
        <v>15</v>
      </c>
      <c r="H3208" t="s">
        <v>15</v>
      </c>
      <c r="I3208" s="1">
        <v>195934300</v>
      </c>
    </row>
    <row r="3209" spans="1:9" x14ac:dyDescent="0.25">
      <c r="A3209" t="str">
        <f>"67122"</f>
        <v>67122</v>
      </c>
      <c r="B3209" t="s">
        <v>35</v>
      </c>
      <c r="C3209" t="s">
        <v>1283</v>
      </c>
      <c r="D3209" t="str">
        <f>"002"</f>
        <v>002</v>
      </c>
      <c r="E3209">
        <v>2004</v>
      </c>
      <c r="F3209">
        <v>33435800</v>
      </c>
      <c r="G3209">
        <v>69074800</v>
      </c>
      <c r="H3209">
        <v>35639000</v>
      </c>
    </row>
    <row r="3210" spans="1:9" x14ac:dyDescent="0.25">
      <c r="A3210" t="str">
        <f>"67122"</f>
        <v>67122</v>
      </c>
      <c r="B3210" t="s">
        <v>35</v>
      </c>
      <c r="C3210" t="s">
        <v>1283</v>
      </c>
      <c r="D3210" t="s">
        <v>13</v>
      </c>
      <c r="E3210" t="s">
        <v>14</v>
      </c>
      <c r="F3210" t="s">
        <v>15</v>
      </c>
      <c r="G3210" t="s">
        <v>15</v>
      </c>
      <c r="H3210" t="s">
        <v>15</v>
      </c>
      <c r="I3210" s="1">
        <v>1214228700</v>
      </c>
    </row>
    <row r="3211" spans="1:9" x14ac:dyDescent="0.25">
      <c r="A3211" t="str">
        <f>"67136"</f>
        <v>67136</v>
      </c>
      <c r="B3211" t="s">
        <v>35</v>
      </c>
      <c r="C3211" t="s">
        <v>936</v>
      </c>
      <c r="D3211" t="str">
        <f>"004"</f>
        <v>004</v>
      </c>
      <c r="E3211">
        <v>2008</v>
      </c>
      <c r="F3211">
        <v>1018300</v>
      </c>
      <c r="G3211">
        <v>2873500</v>
      </c>
      <c r="H3211">
        <v>1855200</v>
      </c>
    </row>
    <row r="3212" spans="1:9" x14ac:dyDescent="0.25">
      <c r="A3212" t="str">
        <f>"67136"</f>
        <v>67136</v>
      </c>
      <c r="B3212" t="s">
        <v>35</v>
      </c>
      <c r="C3212" t="s">
        <v>936</v>
      </c>
      <c r="D3212" t="str">
        <f>"005"</f>
        <v>005</v>
      </c>
      <c r="E3212">
        <v>2011</v>
      </c>
      <c r="F3212">
        <v>353800</v>
      </c>
      <c r="G3212">
        <v>1625100</v>
      </c>
      <c r="H3212">
        <v>1271300</v>
      </c>
    </row>
    <row r="3213" spans="1:9" x14ac:dyDescent="0.25">
      <c r="A3213" t="str">
        <f>"67136"</f>
        <v>67136</v>
      </c>
      <c r="B3213" t="s">
        <v>35</v>
      </c>
      <c r="C3213" t="s">
        <v>936</v>
      </c>
      <c r="D3213" t="str">
        <f>"006"</f>
        <v>006</v>
      </c>
      <c r="E3213">
        <v>2015</v>
      </c>
      <c r="F3213">
        <v>1330300</v>
      </c>
      <c r="G3213">
        <v>13891700</v>
      </c>
      <c r="H3213">
        <v>12561400</v>
      </c>
    </row>
    <row r="3214" spans="1:9" x14ac:dyDescent="0.25">
      <c r="A3214" t="str">
        <f>"67136"</f>
        <v>67136</v>
      </c>
      <c r="B3214" t="s">
        <v>35</v>
      </c>
      <c r="C3214" t="s">
        <v>936</v>
      </c>
      <c r="D3214" t="s">
        <v>13</v>
      </c>
      <c r="E3214" t="s">
        <v>14</v>
      </c>
      <c r="F3214" t="s">
        <v>15</v>
      </c>
      <c r="G3214" t="s">
        <v>15</v>
      </c>
      <c r="H3214" t="s">
        <v>15</v>
      </c>
      <c r="I3214" s="1">
        <v>1382156300</v>
      </c>
    </row>
    <row r="3215" spans="1:9" x14ac:dyDescent="0.25">
      <c r="A3215" t="str">
        <f>"67146"</f>
        <v>67146</v>
      </c>
      <c r="B3215" t="s">
        <v>35</v>
      </c>
      <c r="C3215" t="s">
        <v>615</v>
      </c>
      <c r="D3215" t="s">
        <v>13</v>
      </c>
      <c r="E3215" t="s">
        <v>14</v>
      </c>
      <c r="F3215" t="s">
        <v>15</v>
      </c>
      <c r="G3215" t="s">
        <v>15</v>
      </c>
      <c r="H3215" t="s">
        <v>15</v>
      </c>
      <c r="I3215" s="1">
        <v>119541900</v>
      </c>
    </row>
    <row r="3216" spans="1:9" x14ac:dyDescent="0.25">
      <c r="A3216" t="str">
        <f>"67147"</f>
        <v>67147</v>
      </c>
      <c r="B3216" t="s">
        <v>35</v>
      </c>
      <c r="C3216" t="s">
        <v>1284</v>
      </c>
      <c r="D3216" t="str">
        <f>"001"</f>
        <v>001</v>
      </c>
      <c r="E3216">
        <v>2018</v>
      </c>
      <c r="F3216">
        <v>7653200</v>
      </c>
      <c r="G3216">
        <v>5888800</v>
      </c>
      <c r="H3216">
        <v>0</v>
      </c>
    </row>
    <row r="3217" spans="1:9" x14ac:dyDescent="0.25">
      <c r="A3217" t="str">
        <f>"67147"</f>
        <v>67147</v>
      </c>
      <c r="B3217" t="s">
        <v>35</v>
      </c>
      <c r="C3217" t="s">
        <v>1284</v>
      </c>
      <c r="D3217" t="str">
        <f>"002"</f>
        <v>002</v>
      </c>
      <c r="E3217">
        <v>2018</v>
      </c>
      <c r="F3217">
        <v>9756600</v>
      </c>
      <c r="G3217">
        <v>10007600</v>
      </c>
      <c r="H3217">
        <v>251000</v>
      </c>
    </row>
    <row r="3218" spans="1:9" x14ac:dyDescent="0.25">
      <c r="A3218" t="str">
        <f>"67147"</f>
        <v>67147</v>
      </c>
      <c r="B3218" t="s">
        <v>35</v>
      </c>
      <c r="C3218" t="s">
        <v>1284</v>
      </c>
      <c r="D3218" t="s">
        <v>13</v>
      </c>
      <c r="E3218" t="s">
        <v>14</v>
      </c>
      <c r="F3218" t="s">
        <v>15</v>
      </c>
      <c r="G3218" t="s">
        <v>15</v>
      </c>
      <c r="H3218" t="s">
        <v>15</v>
      </c>
      <c r="I3218" s="1">
        <v>141017000</v>
      </c>
    </row>
    <row r="3219" spans="1:9" x14ac:dyDescent="0.25">
      <c r="A3219" t="str">
        <f t="shared" ref="A3219:A3226" si="71">"67151"</f>
        <v>67151</v>
      </c>
      <c r="B3219" t="s">
        <v>35</v>
      </c>
      <c r="C3219" t="s">
        <v>1285</v>
      </c>
      <c r="D3219" t="str">
        <f>"006"</f>
        <v>006</v>
      </c>
      <c r="E3219">
        <v>2006</v>
      </c>
      <c r="F3219">
        <v>47828000</v>
      </c>
      <c r="G3219">
        <v>62597700</v>
      </c>
      <c r="H3219">
        <v>14769700</v>
      </c>
    </row>
    <row r="3220" spans="1:9" x14ac:dyDescent="0.25">
      <c r="A3220" t="str">
        <f t="shared" si="71"/>
        <v>67151</v>
      </c>
      <c r="B3220" t="s">
        <v>35</v>
      </c>
      <c r="C3220" t="s">
        <v>1285</v>
      </c>
      <c r="D3220" t="str">
        <f>"007"</f>
        <v>007</v>
      </c>
      <c r="E3220">
        <v>2008</v>
      </c>
      <c r="F3220">
        <v>1028100</v>
      </c>
      <c r="G3220">
        <v>22109500</v>
      </c>
      <c r="H3220">
        <v>21081400</v>
      </c>
    </row>
    <row r="3221" spans="1:9" x14ac:dyDescent="0.25">
      <c r="A3221" t="str">
        <f t="shared" si="71"/>
        <v>67151</v>
      </c>
      <c r="B3221" t="s">
        <v>35</v>
      </c>
      <c r="C3221" t="s">
        <v>1285</v>
      </c>
      <c r="D3221" t="str">
        <f>"008"</f>
        <v>008</v>
      </c>
      <c r="E3221">
        <v>2008</v>
      </c>
      <c r="F3221">
        <v>9017600</v>
      </c>
      <c r="G3221">
        <v>99252400</v>
      </c>
      <c r="H3221">
        <v>90234800</v>
      </c>
    </row>
    <row r="3222" spans="1:9" x14ac:dyDescent="0.25">
      <c r="A3222" t="str">
        <f t="shared" si="71"/>
        <v>67151</v>
      </c>
      <c r="B3222" t="s">
        <v>35</v>
      </c>
      <c r="C3222" t="s">
        <v>1285</v>
      </c>
      <c r="D3222" t="str">
        <f>"009"</f>
        <v>009</v>
      </c>
      <c r="E3222">
        <v>2010</v>
      </c>
      <c r="F3222">
        <v>104705400</v>
      </c>
      <c r="G3222">
        <v>119050000</v>
      </c>
      <c r="H3222">
        <v>14344600</v>
      </c>
    </row>
    <row r="3223" spans="1:9" x14ac:dyDescent="0.25">
      <c r="A3223" t="str">
        <f t="shared" si="71"/>
        <v>67151</v>
      </c>
      <c r="B3223" t="s">
        <v>35</v>
      </c>
      <c r="C3223" t="s">
        <v>1285</v>
      </c>
      <c r="D3223" t="str">
        <f>"010"</f>
        <v>010</v>
      </c>
      <c r="E3223">
        <v>2011</v>
      </c>
      <c r="F3223">
        <v>46196100</v>
      </c>
      <c r="G3223">
        <v>61558900</v>
      </c>
      <c r="H3223">
        <v>15362800</v>
      </c>
    </row>
    <row r="3224" spans="1:9" x14ac:dyDescent="0.25">
      <c r="A3224" t="str">
        <f t="shared" si="71"/>
        <v>67151</v>
      </c>
      <c r="B3224" t="s">
        <v>35</v>
      </c>
      <c r="C3224" t="s">
        <v>1285</v>
      </c>
      <c r="D3224" t="str">
        <f>"011"</f>
        <v>011</v>
      </c>
      <c r="E3224">
        <v>2011</v>
      </c>
      <c r="F3224">
        <v>11953600</v>
      </c>
      <c r="G3224">
        <v>15068200</v>
      </c>
      <c r="H3224">
        <v>3114600</v>
      </c>
    </row>
    <row r="3225" spans="1:9" x14ac:dyDescent="0.25">
      <c r="A3225" t="str">
        <f t="shared" si="71"/>
        <v>67151</v>
      </c>
      <c r="B3225" t="s">
        <v>35</v>
      </c>
      <c r="C3225" t="s">
        <v>1285</v>
      </c>
      <c r="D3225" t="str">
        <f>"012"</f>
        <v>012</v>
      </c>
      <c r="E3225">
        <v>2014</v>
      </c>
      <c r="F3225">
        <v>5083400</v>
      </c>
      <c r="G3225">
        <v>17493400</v>
      </c>
      <c r="H3225">
        <v>12410000</v>
      </c>
    </row>
    <row r="3226" spans="1:9" x14ac:dyDescent="0.25">
      <c r="A3226" t="str">
        <f t="shared" si="71"/>
        <v>67151</v>
      </c>
      <c r="B3226" t="s">
        <v>35</v>
      </c>
      <c r="C3226" t="s">
        <v>1285</v>
      </c>
      <c r="D3226" t="s">
        <v>13</v>
      </c>
      <c r="E3226" t="s">
        <v>14</v>
      </c>
      <c r="F3226" t="s">
        <v>15</v>
      </c>
      <c r="G3226" t="s">
        <v>15</v>
      </c>
      <c r="H3226" t="s">
        <v>15</v>
      </c>
      <c r="I3226" s="1">
        <v>5118611700</v>
      </c>
    </row>
    <row r="3227" spans="1:9" x14ac:dyDescent="0.25">
      <c r="A3227" t="str">
        <f>"67152"</f>
        <v>67152</v>
      </c>
      <c r="B3227" t="s">
        <v>35</v>
      </c>
      <c r="C3227" t="s">
        <v>1277</v>
      </c>
      <c r="D3227" t="s">
        <v>13</v>
      </c>
      <c r="E3227" t="s">
        <v>14</v>
      </c>
      <c r="F3227" t="s">
        <v>15</v>
      </c>
      <c r="G3227" t="s">
        <v>15</v>
      </c>
      <c r="H3227" t="s">
        <v>15</v>
      </c>
      <c r="I3227" s="1">
        <v>474341100</v>
      </c>
    </row>
    <row r="3228" spans="1:9" x14ac:dyDescent="0.25">
      <c r="A3228" t="str">
        <f>"67153"</f>
        <v>67153</v>
      </c>
      <c r="B3228" t="s">
        <v>35</v>
      </c>
      <c r="C3228" t="s">
        <v>1247</v>
      </c>
      <c r="D3228" t="str">
        <f>"003"</f>
        <v>003</v>
      </c>
      <c r="E3228">
        <v>2003</v>
      </c>
      <c r="F3228">
        <v>2389500</v>
      </c>
      <c r="G3228">
        <v>55712100</v>
      </c>
      <c r="H3228">
        <v>53322600</v>
      </c>
    </row>
    <row r="3229" spans="1:9" x14ac:dyDescent="0.25">
      <c r="A3229" t="str">
        <f>"67153"</f>
        <v>67153</v>
      </c>
      <c r="B3229" t="s">
        <v>35</v>
      </c>
      <c r="C3229" t="s">
        <v>1247</v>
      </c>
      <c r="D3229" t="str">
        <f>"004"</f>
        <v>004</v>
      </c>
      <c r="E3229">
        <v>2017</v>
      </c>
      <c r="F3229">
        <v>6368000</v>
      </c>
      <c r="G3229">
        <v>8744000</v>
      </c>
      <c r="H3229">
        <v>2376000</v>
      </c>
    </row>
    <row r="3230" spans="1:9" x14ac:dyDescent="0.25">
      <c r="A3230" t="str">
        <f>"67153"</f>
        <v>67153</v>
      </c>
      <c r="B3230" t="s">
        <v>35</v>
      </c>
      <c r="C3230" t="s">
        <v>1247</v>
      </c>
      <c r="D3230" t="s">
        <v>13</v>
      </c>
      <c r="E3230" t="s">
        <v>14</v>
      </c>
      <c r="F3230" t="s">
        <v>15</v>
      </c>
      <c r="G3230" t="s">
        <v>15</v>
      </c>
      <c r="H3230" t="s">
        <v>15</v>
      </c>
      <c r="I3230" s="1">
        <v>833978200</v>
      </c>
    </row>
    <row r="3231" spans="1:9" x14ac:dyDescent="0.25">
      <c r="A3231" t="str">
        <f>"67158"</f>
        <v>67158</v>
      </c>
      <c r="B3231" t="s">
        <v>35</v>
      </c>
      <c r="C3231" t="s">
        <v>1286</v>
      </c>
      <c r="D3231" t="s">
        <v>13</v>
      </c>
      <c r="E3231" t="s">
        <v>14</v>
      </c>
      <c r="F3231" t="s">
        <v>15</v>
      </c>
      <c r="G3231" t="s">
        <v>15</v>
      </c>
      <c r="H3231" t="s">
        <v>15</v>
      </c>
      <c r="I3231" s="1">
        <v>204363700</v>
      </c>
    </row>
    <row r="3232" spans="1:9" x14ac:dyDescent="0.25">
      <c r="A3232" t="str">
        <f>"67161"</f>
        <v>67161</v>
      </c>
      <c r="B3232" t="s">
        <v>35</v>
      </c>
      <c r="C3232" t="s">
        <v>1287</v>
      </c>
      <c r="D3232" t="s">
        <v>13</v>
      </c>
      <c r="E3232" t="s">
        <v>14</v>
      </c>
      <c r="F3232" t="s">
        <v>15</v>
      </c>
      <c r="G3232" t="s">
        <v>15</v>
      </c>
      <c r="H3232" t="s">
        <v>15</v>
      </c>
      <c r="I3232" s="1">
        <v>253592500</v>
      </c>
    </row>
    <row r="3233" spans="1:9" x14ac:dyDescent="0.25">
      <c r="A3233" t="str">
        <f>"67166"</f>
        <v>67166</v>
      </c>
      <c r="B3233" t="s">
        <v>35</v>
      </c>
      <c r="C3233" t="s">
        <v>1288</v>
      </c>
      <c r="D3233" t="s">
        <v>13</v>
      </c>
      <c r="E3233" t="s">
        <v>14</v>
      </c>
      <c r="F3233" t="s">
        <v>15</v>
      </c>
      <c r="G3233" t="s">
        <v>15</v>
      </c>
      <c r="H3233" t="s">
        <v>15</v>
      </c>
      <c r="I3233" s="1">
        <v>366396100</v>
      </c>
    </row>
    <row r="3234" spans="1:9" x14ac:dyDescent="0.25">
      <c r="A3234" t="str">
        <f>"67171"</f>
        <v>67171</v>
      </c>
      <c r="B3234" t="s">
        <v>35</v>
      </c>
      <c r="C3234" t="s">
        <v>1289</v>
      </c>
      <c r="D3234" t="str">
        <f>"002"</f>
        <v>002</v>
      </c>
      <c r="E3234">
        <v>2014</v>
      </c>
      <c r="F3234">
        <v>8659300</v>
      </c>
      <c r="G3234">
        <v>11947400</v>
      </c>
      <c r="H3234">
        <v>3288100</v>
      </c>
    </row>
    <row r="3235" spans="1:9" x14ac:dyDescent="0.25">
      <c r="A3235" t="str">
        <f>"67171"</f>
        <v>67171</v>
      </c>
      <c r="B3235" t="s">
        <v>35</v>
      </c>
      <c r="C3235" t="s">
        <v>1289</v>
      </c>
      <c r="D3235" t="s">
        <v>13</v>
      </c>
      <c r="E3235" t="s">
        <v>14</v>
      </c>
      <c r="F3235" t="s">
        <v>15</v>
      </c>
      <c r="G3235" t="s">
        <v>15</v>
      </c>
      <c r="H3235" t="s">
        <v>15</v>
      </c>
      <c r="I3235" s="1">
        <v>1056953100</v>
      </c>
    </row>
    <row r="3236" spans="1:9" x14ac:dyDescent="0.25">
      <c r="A3236" t="str">
        <f>"67172"</f>
        <v>67172</v>
      </c>
      <c r="B3236" t="s">
        <v>35</v>
      </c>
      <c r="C3236" t="s">
        <v>408</v>
      </c>
      <c r="D3236" t="s">
        <v>13</v>
      </c>
      <c r="E3236" t="s">
        <v>14</v>
      </c>
      <c r="F3236" t="s">
        <v>15</v>
      </c>
      <c r="G3236" t="s">
        <v>15</v>
      </c>
      <c r="H3236" t="s">
        <v>15</v>
      </c>
      <c r="I3236" s="1">
        <v>1090022600</v>
      </c>
    </row>
    <row r="3237" spans="1:9" x14ac:dyDescent="0.25">
      <c r="A3237" t="str">
        <f>"67181"</f>
        <v>67181</v>
      </c>
      <c r="B3237" t="s">
        <v>35</v>
      </c>
      <c r="C3237" t="s">
        <v>1290</v>
      </c>
      <c r="D3237" t="str">
        <f>"006"</f>
        <v>006</v>
      </c>
      <c r="E3237">
        <v>2013</v>
      </c>
      <c r="F3237">
        <v>24103600</v>
      </c>
      <c r="G3237">
        <v>64659100</v>
      </c>
      <c r="H3237">
        <v>40555500</v>
      </c>
    </row>
    <row r="3238" spans="1:9" x14ac:dyDescent="0.25">
      <c r="A3238" t="str">
        <f>"67181"</f>
        <v>67181</v>
      </c>
      <c r="B3238" t="s">
        <v>35</v>
      </c>
      <c r="C3238" t="s">
        <v>1290</v>
      </c>
      <c r="D3238" t="str">
        <f>"007"</f>
        <v>007</v>
      </c>
      <c r="E3238">
        <v>2018</v>
      </c>
      <c r="F3238">
        <v>240600</v>
      </c>
      <c r="G3238">
        <v>232800</v>
      </c>
      <c r="H3238">
        <v>0</v>
      </c>
    </row>
    <row r="3239" spans="1:9" x14ac:dyDescent="0.25">
      <c r="A3239" t="str">
        <f>"67181"</f>
        <v>67181</v>
      </c>
      <c r="B3239" t="s">
        <v>35</v>
      </c>
      <c r="C3239" t="s">
        <v>1290</v>
      </c>
      <c r="D3239" t="s">
        <v>13</v>
      </c>
      <c r="E3239" t="s">
        <v>14</v>
      </c>
      <c r="F3239" t="s">
        <v>15</v>
      </c>
      <c r="G3239" t="s">
        <v>15</v>
      </c>
      <c r="H3239" t="s">
        <v>15</v>
      </c>
      <c r="I3239" s="1">
        <v>1389435700</v>
      </c>
    </row>
    <row r="3240" spans="1:9" x14ac:dyDescent="0.25">
      <c r="A3240" t="str">
        <f>"67191"</f>
        <v>67191</v>
      </c>
      <c r="B3240" t="s">
        <v>35</v>
      </c>
      <c r="C3240" t="s">
        <v>1291</v>
      </c>
      <c r="D3240" t="str">
        <f>"001"</f>
        <v>001</v>
      </c>
      <c r="E3240">
        <v>2006</v>
      </c>
      <c r="F3240">
        <v>24568300</v>
      </c>
      <c r="G3240">
        <v>57519600</v>
      </c>
      <c r="H3240">
        <v>32951300</v>
      </c>
    </row>
    <row r="3241" spans="1:9" x14ac:dyDescent="0.25">
      <c r="A3241" t="str">
        <f>"67191"</f>
        <v>67191</v>
      </c>
      <c r="B3241" t="s">
        <v>35</v>
      </c>
      <c r="C3241" t="s">
        <v>1291</v>
      </c>
      <c r="D3241" t="s">
        <v>13</v>
      </c>
      <c r="E3241" t="s">
        <v>14</v>
      </c>
      <c r="F3241" t="s">
        <v>15</v>
      </c>
      <c r="G3241" t="s">
        <v>15</v>
      </c>
      <c r="H3241" t="s">
        <v>15</v>
      </c>
      <c r="I3241" s="1">
        <v>381869000</v>
      </c>
    </row>
    <row r="3242" spans="1:9" x14ac:dyDescent="0.25">
      <c r="A3242" t="s">
        <v>32</v>
      </c>
      <c r="B3242" t="s">
        <v>37</v>
      </c>
      <c r="C3242" t="s">
        <v>34</v>
      </c>
      <c r="D3242" t="s">
        <v>13</v>
      </c>
      <c r="E3242" t="s">
        <v>14</v>
      </c>
      <c r="F3242" t="s">
        <v>15</v>
      </c>
      <c r="G3242" t="s">
        <v>15</v>
      </c>
      <c r="H3242" t="s">
        <v>15</v>
      </c>
      <c r="I3242" s="1">
        <v>15364760600</v>
      </c>
    </row>
    <row r="3243" spans="1:9" x14ac:dyDescent="0.25">
      <c r="A3243" t="str">
        <f t="shared" ref="A3243:A3248" si="72">"67206"</f>
        <v>67206</v>
      </c>
      <c r="B3243" t="s">
        <v>38</v>
      </c>
      <c r="C3243" t="s">
        <v>1274</v>
      </c>
      <c r="D3243" t="str">
        <f>"004"</f>
        <v>004</v>
      </c>
      <c r="E3243">
        <v>2015</v>
      </c>
      <c r="F3243">
        <v>158800</v>
      </c>
      <c r="G3243">
        <v>1958500</v>
      </c>
      <c r="H3243">
        <v>1799700</v>
      </c>
    </row>
    <row r="3244" spans="1:9" x14ac:dyDescent="0.25">
      <c r="A3244" t="str">
        <f t="shared" si="72"/>
        <v>67206</v>
      </c>
      <c r="B3244" t="s">
        <v>38</v>
      </c>
      <c r="C3244" t="s">
        <v>1274</v>
      </c>
      <c r="D3244" t="str">
        <f>"005"</f>
        <v>005</v>
      </c>
      <c r="E3244">
        <v>2015</v>
      </c>
      <c r="F3244">
        <v>1407000</v>
      </c>
      <c r="G3244">
        <v>67208800</v>
      </c>
      <c r="H3244">
        <v>65801800</v>
      </c>
    </row>
    <row r="3245" spans="1:9" x14ac:dyDescent="0.25">
      <c r="A3245" t="str">
        <f t="shared" si="72"/>
        <v>67206</v>
      </c>
      <c r="B3245" t="s">
        <v>38</v>
      </c>
      <c r="C3245" t="s">
        <v>1274</v>
      </c>
      <c r="D3245" t="str">
        <f>"006"</f>
        <v>006</v>
      </c>
      <c r="E3245">
        <v>2016</v>
      </c>
      <c r="F3245">
        <v>15792400</v>
      </c>
      <c r="G3245">
        <v>43020700</v>
      </c>
      <c r="H3245">
        <v>27228300</v>
      </c>
    </row>
    <row r="3246" spans="1:9" x14ac:dyDescent="0.25">
      <c r="A3246" t="str">
        <f t="shared" si="72"/>
        <v>67206</v>
      </c>
      <c r="B3246" t="s">
        <v>38</v>
      </c>
      <c r="C3246" t="s">
        <v>1274</v>
      </c>
      <c r="D3246" t="str">
        <f>"007"</f>
        <v>007</v>
      </c>
      <c r="E3246">
        <v>2018</v>
      </c>
      <c r="F3246">
        <v>660600</v>
      </c>
      <c r="G3246">
        <v>2986300</v>
      </c>
      <c r="H3246">
        <v>2325700</v>
      </c>
    </row>
    <row r="3247" spans="1:9" x14ac:dyDescent="0.25">
      <c r="A3247" t="str">
        <f t="shared" si="72"/>
        <v>67206</v>
      </c>
      <c r="B3247" t="s">
        <v>38</v>
      </c>
      <c r="C3247" t="s">
        <v>1274</v>
      </c>
      <c r="D3247" t="str">
        <f>"008"</f>
        <v>008</v>
      </c>
      <c r="E3247">
        <v>2018</v>
      </c>
      <c r="F3247">
        <v>26528200</v>
      </c>
      <c r="G3247">
        <v>32795600</v>
      </c>
      <c r="H3247">
        <v>6267400</v>
      </c>
    </row>
    <row r="3248" spans="1:9" x14ac:dyDescent="0.25">
      <c r="A3248" t="str">
        <f t="shared" si="72"/>
        <v>67206</v>
      </c>
      <c r="B3248" t="s">
        <v>38</v>
      </c>
      <c r="C3248" t="s">
        <v>1274</v>
      </c>
      <c r="D3248" t="s">
        <v>13</v>
      </c>
      <c r="E3248" t="s">
        <v>14</v>
      </c>
      <c r="F3248" t="s">
        <v>15</v>
      </c>
      <c r="G3248" t="s">
        <v>15</v>
      </c>
      <c r="H3248" t="s">
        <v>15</v>
      </c>
      <c r="I3248" s="1">
        <v>7433255000</v>
      </c>
    </row>
    <row r="3249" spans="1:9" x14ac:dyDescent="0.25">
      <c r="A3249" t="str">
        <f>"67216"</f>
        <v>67216</v>
      </c>
      <c r="B3249" t="s">
        <v>38</v>
      </c>
      <c r="C3249" t="s">
        <v>1275</v>
      </c>
      <c r="D3249" t="str">
        <f>"004"</f>
        <v>004</v>
      </c>
      <c r="E3249">
        <v>2012</v>
      </c>
      <c r="F3249">
        <v>8097000</v>
      </c>
      <c r="G3249">
        <v>14690300</v>
      </c>
      <c r="H3249">
        <v>6593300</v>
      </c>
    </row>
    <row r="3250" spans="1:9" x14ac:dyDescent="0.25">
      <c r="A3250" t="str">
        <f>"67216"</f>
        <v>67216</v>
      </c>
      <c r="B3250" t="s">
        <v>38</v>
      </c>
      <c r="C3250" t="s">
        <v>1275</v>
      </c>
      <c r="D3250" t="s">
        <v>13</v>
      </c>
      <c r="E3250" t="s">
        <v>14</v>
      </c>
      <c r="F3250" t="s">
        <v>15</v>
      </c>
      <c r="G3250" t="s">
        <v>15</v>
      </c>
      <c r="H3250" t="s">
        <v>15</v>
      </c>
      <c r="I3250" s="1">
        <v>1545273200</v>
      </c>
    </row>
    <row r="3251" spans="1:9" x14ac:dyDescent="0.25">
      <c r="A3251" t="str">
        <f>"67250"</f>
        <v>67250</v>
      </c>
      <c r="B3251" t="s">
        <v>38</v>
      </c>
      <c r="C3251" t="s">
        <v>822</v>
      </c>
      <c r="D3251" t="s">
        <v>13</v>
      </c>
      <c r="E3251" t="s">
        <v>14</v>
      </c>
      <c r="F3251" t="s">
        <v>15</v>
      </c>
      <c r="G3251" t="s">
        <v>15</v>
      </c>
      <c r="H3251" t="s">
        <v>15</v>
      </c>
      <c r="I3251" s="1">
        <v>13350400</v>
      </c>
    </row>
    <row r="3252" spans="1:9" x14ac:dyDescent="0.25">
      <c r="A3252" t="str">
        <f>"67251"</f>
        <v>67251</v>
      </c>
      <c r="B3252" t="s">
        <v>38</v>
      </c>
      <c r="C3252" t="s">
        <v>1292</v>
      </c>
      <c r="D3252" t="str">
        <f>"008"</f>
        <v>008</v>
      </c>
      <c r="E3252">
        <v>2000</v>
      </c>
      <c r="F3252">
        <v>18412800</v>
      </c>
      <c r="G3252">
        <v>26078300</v>
      </c>
      <c r="H3252">
        <v>7665500</v>
      </c>
    </row>
    <row r="3253" spans="1:9" x14ac:dyDescent="0.25">
      <c r="A3253" t="str">
        <f>"67251"</f>
        <v>67251</v>
      </c>
      <c r="B3253" t="s">
        <v>38</v>
      </c>
      <c r="C3253" t="s">
        <v>1292</v>
      </c>
      <c r="D3253" t="str">
        <f>"009"</f>
        <v>009</v>
      </c>
      <c r="E3253">
        <v>2003</v>
      </c>
      <c r="F3253">
        <v>23720900</v>
      </c>
      <c r="G3253">
        <v>51976600</v>
      </c>
      <c r="H3253">
        <v>28255700</v>
      </c>
    </row>
    <row r="3254" spans="1:9" x14ac:dyDescent="0.25">
      <c r="A3254" t="str">
        <f>"67251"</f>
        <v>67251</v>
      </c>
      <c r="B3254" t="s">
        <v>38</v>
      </c>
      <c r="C3254" t="s">
        <v>1292</v>
      </c>
      <c r="D3254" t="str">
        <f>"010"</f>
        <v>010</v>
      </c>
      <c r="E3254">
        <v>2008</v>
      </c>
      <c r="F3254">
        <v>1150600</v>
      </c>
      <c r="G3254">
        <v>65125000</v>
      </c>
      <c r="H3254">
        <v>63974400</v>
      </c>
    </row>
    <row r="3255" spans="1:9" x14ac:dyDescent="0.25">
      <c r="A3255" t="str">
        <f>"67251"</f>
        <v>67251</v>
      </c>
      <c r="B3255" t="s">
        <v>38</v>
      </c>
      <c r="C3255" t="s">
        <v>1292</v>
      </c>
      <c r="D3255" t="str">
        <f>"011"</f>
        <v>011</v>
      </c>
      <c r="E3255">
        <v>2016</v>
      </c>
      <c r="F3255">
        <v>2400</v>
      </c>
      <c r="G3255">
        <v>18810200</v>
      </c>
      <c r="H3255">
        <v>18807800</v>
      </c>
    </row>
    <row r="3256" spans="1:9" x14ac:dyDescent="0.25">
      <c r="A3256" t="str">
        <f>"67251"</f>
        <v>67251</v>
      </c>
      <c r="B3256" t="s">
        <v>38</v>
      </c>
      <c r="C3256" t="s">
        <v>1292</v>
      </c>
      <c r="D3256" t="s">
        <v>13</v>
      </c>
      <c r="E3256" t="s">
        <v>14</v>
      </c>
      <c r="F3256" t="s">
        <v>15</v>
      </c>
      <c r="G3256" t="s">
        <v>15</v>
      </c>
      <c r="H3256" t="s">
        <v>15</v>
      </c>
      <c r="I3256" s="1">
        <v>3182851400</v>
      </c>
    </row>
    <row r="3257" spans="1:9" x14ac:dyDescent="0.25">
      <c r="A3257" t="str">
        <f>"67261"</f>
        <v>67261</v>
      </c>
      <c r="B3257" t="s">
        <v>38</v>
      </c>
      <c r="C3257" t="s">
        <v>1293</v>
      </c>
      <c r="D3257" t="str">
        <f>"003"</f>
        <v>003</v>
      </c>
      <c r="E3257">
        <v>2018</v>
      </c>
      <c r="F3257">
        <v>729000</v>
      </c>
      <c r="G3257">
        <v>13900800</v>
      </c>
      <c r="H3257">
        <v>13171800</v>
      </c>
    </row>
    <row r="3258" spans="1:9" x14ac:dyDescent="0.25">
      <c r="A3258" t="str">
        <f>"67261"</f>
        <v>67261</v>
      </c>
      <c r="B3258" t="s">
        <v>38</v>
      </c>
      <c r="C3258" t="s">
        <v>1293</v>
      </c>
      <c r="D3258" t="s">
        <v>13</v>
      </c>
      <c r="E3258" t="s">
        <v>14</v>
      </c>
      <c r="F3258" t="s">
        <v>15</v>
      </c>
      <c r="G3258" t="s">
        <v>15</v>
      </c>
      <c r="H3258" t="s">
        <v>15</v>
      </c>
      <c r="I3258" s="1">
        <v>5701233900</v>
      </c>
    </row>
    <row r="3259" spans="1:9" x14ac:dyDescent="0.25">
      <c r="A3259" t="str">
        <f>"67265"</f>
        <v>67265</v>
      </c>
      <c r="B3259" t="s">
        <v>38</v>
      </c>
      <c r="C3259" t="s">
        <v>1278</v>
      </c>
      <c r="D3259" t="str">
        <f>"004"</f>
        <v>004</v>
      </c>
      <c r="E3259">
        <v>2003</v>
      </c>
      <c r="F3259">
        <v>50424400</v>
      </c>
      <c r="G3259">
        <v>80988300</v>
      </c>
      <c r="H3259">
        <v>30563900</v>
      </c>
    </row>
    <row r="3260" spans="1:9" x14ac:dyDescent="0.25">
      <c r="A3260" t="str">
        <f>"67265"</f>
        <v>67265</v>
      </c>
      <c r="B3260" t="s">
        <v>38</v>
      </c>
      <c r="C3260" t="s">
        <v>1278</v>
      </c>
      <c r="D3260" t="str">
        <f>"005"</f>
        <v>005</v>
      </c>
      <c r="E3260">
        <v>2017</v>
      </c>
      <c r="F3260">
        <v>6019700</v>
      </c>
      <c r="G3260">
        <v>23010400</v>
      </c>
      <c r="H3260">
        <v>16990700</v>
      </c>
    </row>
    <row r="3261" spans="1:9" x14ac:dyDescent="0.25">
      <c r="A3261" t="str">
        <f>"67265"</f>
        <v>67265</v>
      </c>
      <c r="B3261" t="s">
        <v>38</v>
      </c>
      <c r="C3261" t="s">
        <v>1278</v>
      </c>
      <c r="D3261" t="str">
        <f>"006"</f>
        <v>006</v>
      </c>
      <c r="E3261">
        <v>2017</v>
      </c>
      <c r="F3261">
        <v>1801800</v>
      </c>
      <c r="G3261">
        <v>14912800</v>
      </c>
      <c r="H3261">
        <v>13111000</v>
      </c>
    </row>
    <row r="3262" spans="1:9" x14ac:dyDescent="0.25">
      <c r="A3262" t="str">
        <f>"67265"</f>
        <v>67265</v>
      </c>
      <c r="B3262" t="s">
        <v>38</v>
      </c>
      <c r="C3262" t="s">
        <v>1278</v>
      </c>
      <c r="D3262" t="s">
        <v>13</v>
      </c>
      <c r="E3262" t="s">
        <v>14</v>
      </c>
      <c r="F3262" t="s">
        <v>15</v>
      </c>
      <c r="G3262" t="s">
        <v>15</v>
      </c>
      <c r="H3262" t="s">
        <v>15</v>
      </c>
      <c r="I3262" s="1">
        <v>2383150300</v>
      </c>
    </row>
    <row r="3263" spans="1:9" x14ac:dyDescent="0.25">
      <c r="A3263" t="str">
        <f>"67270"</f>
        <v>67270</v>
      </c>
      <c r="B3263" t="s">
        <v>38</v>
      </c>
      <c r="C3263" t="s">
        <v>1289</v>
      </c>
      <c r="D3263" t="s">
        <v>13</v>
      </c>
      <c r="E3263" t="s">
        <v>14</v>
      </c>
      <c r="F3263" t="s">
        <v>15</v>
      </c>
      <c r="G3263" t="s">
        <v>15</v>
      </c>
      <c r="H3263" t="s">
        <v>15</v>
      </c>
      <c r="I3263" s="1">
        <v>3333311300</v>
      </c>
    </row>
    <row r="3264" spans="1:9" x14ac:dyDescent="0.25">
      <c r="A3264" t="str">
        <f t="shared" ref="A3264:A3277" si="73">"67291"</f>
        <v>67291</v>
      </c>
      <c r="B3264" t="s">
        <v>38</v>
      </c>
      <c r="C3264" t="s">
        <v>1280</v>
      </c>
      <c r="D3264" t="str">
        <f>"011"</f>
        <v>011</v>
      </c>
      <c r="E3264">
        <v>1997</v>
      </c>
      <c r="F3264">
        <v>37524600</v>
      </c>
      <c r="G3264">
        <v>93383900</v>
      </c>
      <c r="H3264">
        <v>55859300</v>
      </c>
    </row>
    <row r="3265" spans="1:9" x14ac:dyDescent="0.25">
      <c r="A3265" t="str">
        <f t="shared" si="73"/>
        <v>67291</v>
      </c>
      <c r="B3265" t="s">
        <v>38</v>
      </c>
      <c r="C3265" t="s">
        <v>1280</v>
      </c>
      <c r="D3265" t="str">
        <f>"012"</f>
        <v>012</v>
      </c>
      <c r="E3265">
        <v>2001</v>
      </c>
      <c r="F3265">
        <v>107700</v>
      </c>
      <c r="G3265">
        <v>18914500</v>
      </c>
      <c r="H3265">
        <v>18806800</v>
      </c>
    </row>
    <row r="3266" spans="1:9" x14ac:dyDescent="0.25">
      <c r="A3266" t="str">
        <f t="shared" si="73"/>
        <v>67291</v>
      </c>
      <c r="B3266" t="s">
        <v>38</v>
      </c>
      <c r="C3266" t="s">
        <v>1280</v>
      </c>
      <c r="D3266" t="str">
        <f>"013"</f>
        <v>013</v>
      </c>
      <c r="E3266">
        <v>2003</v>
      </c>
      <c r="F3266">
        <v>481800</v>
      </c>
      <c r="G3266">
        <v>4438400</v>
      </c>
      <c r="H3266">
        <v>3956600</v>
      </c>
    </row>
    <row r="3267" spans="1:9" x14ac:dyDescent="0.25">
      <c r="A3267" t="str">
        <f t="shared" si="73"/>
        <v>67291</v>
      </c>
      <c r="B3267" t="s">
        <v>38</v>
      </c>
      <c r="C3267" t="s">
        <v>1280</v>
      </c>
      <c r="D3267" t="str">
        <f>"014"</f>
        <v>014</v>
      </c>
      <c r="E3267">
        <v>2003</v>
      </c>
      <c r="F3267">
        <v>9889800</v>
      </c>
      <c r="G3267">
        <v>98685600</v>
      </c>
      <c r="H3267">
        <v>88795800</v>
      </c>
    </row>
    <row r="3268" spans="1:9" x14ac:dyDescent="0.25">
      <c r="A3268" t="str">
        <f t="shared" si="73"/>
        <v>67291</v>
      </c>
      <c r="B3268" t="s">
        <v>38</v>
      </c>
      <c r="C3268" t="s">
        <v>1280</v>
      </c>
      <c r="D3268" t="str">
        <f>"017"</f>
        <v>017</v>
      </c>
      <c r="E3268">
        <v>2007</v>
      </c>
      <c r="F3268">
        <v>57329000</v>
      </c>
      <c r="G3268">
        <v>89609400</v>
      </c>
      <c r="H3268">
        <v>32280400</v>
      </c>
    </row>
    <row r="3269" spans="1:9" x14ac:dyDescent="0.25">
      <c r="A3269" t="str">
        <f t="shared" si="73"/>
        <v>67291</v>
      </c>
      <c r="B3269" t="s">
        <v>38</v>
      </c>
      <c r="C3269" t="s">
        <v>1280</v>
      </c>
      <c r="D3269" t="str">
        <f>"018"</f>
        <v>018</v>
      </c>
      <c r="E3269">
        <v>2009</v>
      </c>
      <c r="F3269">
        <v>704300</v>
      </c>
      <c r="G3269">
        <v>6432900</v>
      </c>
      <c r="H3269">
        <v>5728600</v>
      </c>
    </row>
    <row r="3270" spans="1:9" x14ac:dyDescent="0.25">
      <c r="A3270" t="str">
        <f t="shared" si="73"/>
        <v>67291</v>
      </c>
      <c r="B3270" t="s">
        <v>38</v>
      </c>
      <c r="C3270" t="s">
        <v>1280</v>
      </c>
      <c r="D3270" t="str">
        <f>"019"</f>
        <v>019</v>
      </c>
      <c r="E3270">
        <v>2010</v>
      </c>
      <c r="F3270">
        <v>13626400</v>
      </c>
      <c r="G3270">
        <v>31633000</v>
      </c>
      <c r="H3270">
        <v>18006600</v>
      </c>
    </row>
    <row r="3271" spans="1:9" x14ac:dyDescent="0.25">
      <c r="A3271" t="str">
        <f t="shared" si="73"/>
        <v>67291</v>
      </c>
      <c r="B3271" t="s">
        <v>38</v>
      </c>
      <c r="C3271" t="s">
        <v>1280</v>
      </c>
      <c r="D3271" t="str">
        <f>"020"</f>
        <v>020</v>
      </c>
      <c r="E3271">
        <v>2010</v>
      </c>
      <c r="F3271">
        <v>14119600</v>
      </c>
      <c r="G3271">
        <v>14810800</v>
      </c>
      <c r="H3271">
        <v>691200</v>
      </c>
    </row>
    <row r="3272" spans="1:9" x14ac:dyDescent="0.25">
      <c r="A3272" t="str">
        <f t="shared" si="73"/>
        <v>67291</v>
      </c>
      <c r="B3272" t="s">
        <v>38</v>
      </c>
      <c r="C3272" t="s">
        <v>1280</v>
      </c>
      <c r="D3272" t="str">
        <f>"021"</f>
        <v>021</v>
      </c>
      <c r="E3272">
        <v>2012</v>
      </c>
      <c r="F3272">
        <v>11343900</v>
      </c>
      <c r="G3272">
        <v>33068600</v>
      </c>
      <c r="H3272">
        <v>21724700</v>
      </c>
    </row>
    <row r="3273" spans="1:9" x14ac:dyDescent="0.25">
      <c r="A3273" t="str">
        <f t="shared" si="73"/>
        <v>67291</v>
      </c>
      <c r="B3273" t="s">
        <v>38</v>
      </c>
      <c r="C3273" t="s">
        <v>1280</v>
      </c>
      <c r="D3273" t="str">
        <f>"022"</f>
        <v>022</v>
      </c>
      <c r="E3273">
        <v>2013</v>
      </c>
      <c r="F3273">
        <v>38400500</v>
      </c>
      <c r="G3273">
        <v>71416100</v>
      </c>
      <c r="H3273">
        <v>33015600</v>
      </c>
    </row>
    <row r="3274" spans="1:9" x14ac:dyDescent="0.25">
      <c r="A3274" t="str">
        <f t="shared" si="73"/>
        <v>67291</v>
      </c>
      <c r="B3274" t="s">
        <v>38</v>
      </c>
      <c r="C3274" t="s">
        <v>1280</v>
      </c>
      <c r="D3274" t="str">
        <f>"023"</f>
        <v>023</v>
      </c>
      <c r="E3274">
        <v>2014</v>
      </c>
      <c r="F3274">
        <v>4300600</v>
      </c>
      <c r="G3274">
        <v>12016000</v>
      </c>
      <c r="H3274">
        <v>7715400</v>
      </c>
    </row>
    <row r="3275" spans="1:9" x14ac:dyDescent="0.25">
      <c r="A3275" t="str">
        <f t="shared" si="73"/>
        <v>67291</v>
      </c>
      <c r="B3275" t="s">
        <v>38</v>
      </c>
      <c r="C3275" t="s">
        <v>1280</v>
      </c>
      <c r="D3275" t="str">
        <f>"024"</f>
        <v>024</v>
      </c>
      <c r="E3275">
        <v>2018</v>
      </c>
      <c r="F3275">
        <v>10345200</v>
      </c>
      <c r="G3275">
        <v>9953300</v>
      </c>
      <c r="H3275">
        <v>0</v>
      </c>
    </row>
    <row r="3276" spans="1:9" x14ac:dyDescent="0.25">
      <c r="A3276" t="str">
        <f t="shared" si="73"/>
        <v>67291</v>
      </c>
      <c r="B3276" t="s">
        <v>38</v>
      </c>
      <c r="C3276" t="s">
        <v>1280</v>
      </c>
      <c r="D3276" t="str">
        <f>"025"</f>
        <v>025</v>
      </c>
      <c r="E3276">
        <v>2015</v>
      </c>
      <c r="F3276">
        <v>6226600</v>
      </c>
      <c r="G3276">
        <v>19909300</v>
      </c>
      <c r="H3276">
        <v>13682700</v>
      </c>
    </row>
    <row r="3277" spans="1:9" x14ac:dyDescent="0.25">
      <c r="A3277" t="str">
        <f t="shared" si="73"/>
        <v>67291</v>
      </c>
      <c r="B3277" t="s">
        <v>38</v>
      </c>
      <c r="C3277" t="s">
        <v>1280</v>
      </c>
      <c r="D3277" t="s">
        <v>13</v>
      </c>
      <c r="E3277" t="s">
        <v>14</v>
      </c>
      <c r="F3277" t="s">
        <v>15</v>
      </c>
      <c r="G3277" t="s">
        <v>15</v>
      </c>
      <c r="H3277" t="s">
        <v>15</v>
      </c>
      <c r="I3277" s="1">
        <v>6449153000</v>
      </c>
    </row>
    <row r="3278" spans="1:9" x14ac:dyDescent="0.25">
      <c r="A3278" t="s">
        <v>32</v>
      </c>
      <c r="B3278" t="s">
        <v>40</v>
      </c>
      <c r="C3278" t="s">
        <v>34</v>
      </c>
      <c r="D3278" t="s">
        <v>13</v>
      </c>
      <c r="E3278" t="s">
        <v>14</v>
      </c>
      <c r="F3278" t="s">
        <v>15</v>
      </c>
      <c r="G3278" t="s">
        <v>15</v>
      </c>
      <c r="H3278" t="s">
        <v>15</v>
      </c>
      <c r="I3278" s="1">
        <v>30041578500</v>
      </c>
    </row>
    <row r="3279" spans="1:9" x14ac:dyDescent="0.25">
      <c r="A3279" t="s">
        <v>32</v>
      </c>
      <c r="B3279" t="s">
        <v>41</v>
      </c>
      <c r="C3279" t="s">
        <v>1280</v>
      </c>
      <c r="D3279" t="s">
        <v>13</v>
      </c>
      <c r="E3279" t="s">
        <v>14</v>
      </c>
      <c r="F3279" t="s">
        <v>15</v>
      </c>
      <c r="G3279" t="s">
        <v>15</v>
      </c>
      <c r="H3279" t="s">
        <v>15</v>
      </c>
      <c r="I3279" s="1">
        <v>58358920500</v>
      </c>
    </row>
    <row r="3280" spans="1:9" x14ac:dyDescent="0.25">
      <c r="A3280" t="str">
        <f>"68002"</f>
        <v>68002</v>
      </c>
      <c r="B3280" t="s">
        <v>11</v>
      </c>
      <c r="C3280" t="s">
        <v>908</v>
      </c>
      <c r="D3280" t="s">
        <v>13</v>
      </c>
      <c r="E3280" t="s">
        <v>14</v>
      </c>
      <c r="F3280" t="s">
        <v>15</v>
      </c>
      <c r="G3280" t="s">
        <v>15</v>
      </c>
      <c r="H3280" t="s">
        <v>15</v>
      </c>
      <c r="I3280" s="1">
        <v>68023100</v>
      </c>
    </row>
    <row r="3281" spans="1:9" x14ac:dyDescent="0.25">
      <c r="A3281" t="str">
        <f>"68004"</f>
        <v>68004</v>
      </c>
      <c r="B3281" t="s">
        <v>11</v>
      </c>
      <c r="C3281" t="s">
        <v>254</v>
      </c>
      <c r="D3281" t="s">
        <v>13</v>
      </c>
      <c r="E3281" t="s">
        <v>14</v>
      </c>
      <c r="F3281" t="s">
        <v>15</v>
      </c>
      <c r="G3281" t="s">
        <v>15</v>
      </c>
      <c r="H3281" t="s">
        <v>15</v>
      </c>
      <c r="I3281" s="1">
        <v>168532200</v>
      </c>
    </row>
    <row r="3282" spans="1:9" x14ac:dyDescent="0.25">
      <c r="A3282" t="str">
        <f>"68006"</f>
        <v>68006</v>
      </c>
      <c r="B3282" t="s">
        <v>11</v>
      </c>
      <c r="C3282" t="s">
        <v>1023</v>
      </c>
      <c r="D3282" t="s">
        <v>13</v>
      </c>
      <c r="E3282" t="s">
        <v>14</v>
      </c>
      <c r="F3282" t="s">
        <v>15</v>
      </c>
      <c r="G3282" t="s">
        <v>15</v>
      </c>
      <c r="H3282" t="s">
        <v>15</v>
      </c>
      <c r="I3282" s="1">
        <v>413026400</v>
      </c>
    </row>
    <row r="3283" spans="1:9" x14ac:dyDescent="0.25">
      <c r="A3283" t="str">
        <f>"68008"</f>
        <v>68008</v>
      </c>
      <c r="B3283" t="s">
        <v>11</v>
      </c>
      <c r="C3283" t="s">
        <v>1294</v>
      </c>
      <c r="D3283" t="s">
        <v>13</v>
      </c>
      <c r="E3283" t="s">
        <v>14</v>
      </c>
      <c r="F3283" t="s">
        <v>15</v>
      </c>
      <c r="G3283" t="s">
        <v>15</v>
      </c>
      <c r="H3283" t="s">
        <v>15</v>
      </c>
      <c r="I3283" s="1">
        <v>58622500</v>
      </c>
    </row>
    <row r="3284" spans="1:9" x14ac:dyDescent="0.25">
      <c r="A3284" t="str">
        <f>"68010"</f>
        <v>68010</v>
      </c>
      <c r="B3284" t="s">
        <v>11</v>
      </c>
      <c r="C3284" t="s">
        <v>606</v>
      </c>
      <c r="D3284" t="s">
        <v>13</v>
      </c>
      <c r="E3284" t="s">
        <v>14</v>
      </c>
      <c r="F3284" t="s">
        <v>15</v>
      </c>
      <c r="G3284" t="s">
        <v>15</v>
      </c>
      <c r="H3284" t="s">
        <v>15</v>
      </c>
      <c r="I3284" s="1">
        <v>530757500</v>
      </c>
    </row>
    <row r="3285" spans="1:9" x14ac:dyDescent="0.25">
      <c r="A3285" t="str">
        <f>"68012"</f>
        <v>68012</v>
      </c>
      <c r="B3285" t="s">
        <v>11</v>
      </c>
      <c r="C3285" t="s">
        <v>220</v>
      </c>
      <c r="D3285" t="s">
        <v>13</v>
      </c>
      <c r="E3285" t="s">
        <v>14</v>
      </c>
      <c r="F3285" t="s">
        <v>15</v>
      </c>
      <c r="G3285" t="s">
        <v>15</v>
      </c>
      <c r="H3285" t="s">
        <v>15</v>
      </c>
      <c r="I3285" s="1">
        <v>91908800</v>
      </c>
    </row>
    <row r="3286" spans="1:9" x14ac:dyDescent="0.25">
      <c r="A3286" t="str">
        <f>"68014"</f>
        <v>68014</v>
      </c>
      <c r="B3286" t="s">
        <v>11</v>
      </c>
      <c r="C3286" t="s">
        <v>175</v>
      </c>
      <c r="D3286" t="s">
        <v>13</v>
      </c>
      <c r="E3286" t="s">
        <v>14</v>
      </c>
      <c r="F3286" t="s">
        <v>15</v>
      </c>
      <c r="G3286" t="s">
        <v>15</v>
      </c>
      <c r="H3286" t="s">
        <v>15</v>
      </c>
      <c r="I3286" s="1">
        <v>57438900</v>
      </c>
    </row>
    <row r="3287" spans="1:9" x14ac:dyDescent="0.25">
      <c r="A3287" t="str">
        <f>"68016"</f>
        <v>68016</v>
      </c>
      <c r="B3287" t="s">
        <v>11</v>
      </c>
      <c r="C3287" t="s">
        <v>1295</v>
      </c>
      <c r="D3287" t="s">
        <v>13</v>
      </c>
      <c r="E3287" t="s">
        <v>14</v>
      </c>
      <c r="F3287" t="s">
        <v>15</v>
      </c>
      <c r="G3287" t="s">
        <v>15</v>
      </c>
      <c r="H3287" t="s">
        <v>15</v>
      </c>
      <c r="I3287" s="1">
        <v>74097500</v>
      </c>
    </row>
    <row r="3288" spans="1:9" x14ac:dyDescent="0.25">
      <c r="A3288" t="str">
        <f>"68018"</f>
        <v>68018</v>
      </c>
      <c r="B3288" t="s">
        <v>11</v>
      </c>
      <c r="C3288" t="s">
        <v>1296</v>
      </c>
      <c r="D3288" t="s">
        <v>13</v>
      </c>
      <c r="E3288" t="s">
        <v>14</v>
      </c>
      <c r="F3288" t="s">
        <v>15</v>
      </c>
      <c r="G3288" t="s">
        <v>15</v>
      </c>
      <c r="H3288" t="s">
        <v>15</v>
      </c>
      <c r="I3288" s="1">
        <v>112199700</v>
      </c>
    </row>
    <row r="3289" spans="1:9" x14ac:dyDescent="0.25">
      <c r="A3289" t="str">
        <f>"68020"</f>
        <v>68020</v>
      </c>
      <c r="B3289" t="s">
        <v>11</v>
      </c>
      <c r="C3289" t="s">
        <v>1297</v>
      </c>
      <c r="D3289" t="s">
        <v>13</v>
      </c>
      <c r="E3289" t="s">
        <v>14</v>
      </c>
      <c r="F3289" t="s">
        <v>15</v>
      </c>
      <c r="G3289" t="s">
        <v>15</v>
      </c>
      <c r="H3289" t="s">
        <v>15</v>
      </c>
      <c r="I3289" s="1">
        <v>91841200</v>
      </c>
    </row>
    <row r="3290" spans="1:9" x14ac:dyDescent="0.25">
      <c r="A3290" t="str">
        <f>"68022"</f>
        <v>68022</v>
      </c>
      <c r="B3290" t="s">
        <v>11</v>
      </c>
      <c r="C3290" t="s">
        <v>360</v>
      </c>
      <c r="D3290" t="s">
        <v>13</v>
      </c>
      <c r="E3290" t="s">
        <v>14</v>
      </c>
      <c r="F3290" t="s">
        <v>15</v>
      </c>
      <c r="G3290" t="s">
        <v>15</v>
      </c>
      <c r="H3290" t="s">
        <v>15</v>
      </c>
      <c r="I3290" s="1">
        <v>124032600</v>
      </c>
    </row>
    <row r="3291" spans="1:9" x14ac:dyDescent="0.25">
      <c r="A3291" t="str">
        <f>"68024"</f>
        <v>68024</v>
      </c>
      <c r="B3291" t="s">
        <v>11</v>
      </c>
      <c r="C3291" t="s">
        <v>1298</v>
      </c>
      <c r="D3291" t="s">
        <v>13</v>
      </c>
      <c r="E3291" t="s">
        <v>14</v>
      </c>
      <c r="F3291" t="s">
        <v>15</v>
      </c>
      <c r="G3291" t="s">
        <v>15</v>
      </c>
      <c r="H3291" t="s">
        <v>15</v>
      </c>
      <c r="I3291" s="1">
        <v>140366300</v>
      </c>
    </row>
    <row r="3292" spans="1:9" x14ac:dyDescent="0.25">
      <c r="A3292" t="str">
        <f>"68026"</f>
        <v>68026</v>
      </c>
      <c r="B3292" t="s">
        <v>11</v>
      </c>
      <c r="C3292" t="s">
        <v>1299</v>
      </c>
      <c r="D3292" t="s">
        <v>13</v>
      </c>
      <c r="E3292" t="s">
        <v>14</v>
      </c>
      <c r="F3292" t="s">
        <v>15</v>
      </c>
      <c r="G3292" t="s">
        <v>15</v>
      </c>
      <c r="H3292" t="s">
        <v>15</v>
      </c>
      <c r="I3292" s="1">
        <v>110421300</v>
      </c>
    </row>
    <row r="3293" spans="1:9" x14ac:dyDescent="0.25">
      <c r="A3293" t="str">
        <f>"68028"</f>
        <v>68028</v>
      </c>
      <c r="B3293" t="s">
        <v>11</v>
      </c>
      <c r="C3293" t="s">
        <v>1300</v>
      </c>
      <c r="D3293" t="str">
        <f>"001C"</f>
        <v>001C</v>
      </c>
      <c r="E3293">
        <v>2004</v>
      </c>
      <c r="F3293">
        <v>0</v>
      </c>
      <c r="G3293">
        <v>9800</v>
      </c>
      <c r="H3293">
        <v>9800</v>
      </c>
    </row>
    <row r="3294" spans="1:9" x14ac:dyDescent="0.25">
      <c r="A3294" t="str">
        <f>"68028"</f>
        <v>68028</v>
      </c>
      <c r="B3294" t="s">
        <v>11</v>
      </c>
      <c r="C3294" t="s">
        <v>1300</v>
      </c>
      <c r="D3294" t="s">
        <v>13</v>
      </c>
      <c r="E3294" t="s">
        <v>14</v>
      </c>
      <c r="F3294" t="s">
        <v>15</v>
      </c>
      <c r="G3294" t="s">
        <v>15</v>
      </c>
      <c r="H3294" t="s">
        <v>15</v>
      </c>
      <c r="I3294" s="1">
        <v>72138200</v>
      </c>
    </row>
    <row r="3295" spans="1:9" x14ac:dyDescent="0.25">
      <c r="A3295" t="str">
        <f>"68030"</f>
        <v>68030</v>
      </c>
      <c r="B3295" t="s">
        <v>11</v>
      </c>
      <c r="C3295" t="s">
        <v>1301</v>
      </c>
      <c r="D3295" t="s">
        <v>13</v>
      </c>
      <c r="E3295" t="s">
        <v>14</v>
      </c>
      <c r="F3295" t="s">
        <v>15</v>
      </c>
      <c r="G3295" t="s">
        <v>15</v>
      </c>
      <c r="H3295" t="s">
        <v>15</v>
      </c>
      <c r="I3295" s="1">
        <v>242810300</v>
      </c>
    </row>
    <row r="3296" spans="1:9" x14ac:dyDescent="0.25">
      <c r="A3296" t="str">
        <f>"68032"</f>
        <v>68032</v>
      </c>
      <c r="B3296" t="s">
        <v>11</v>
      </c>
      <c r="C3296" t="s">
        <v>1302</v>
      </c>
      <c r="D3296" t="s">
        <v>13</v>
      </c>
      <c r="E3296" t="s">
        <v>14</v>
      </c>
      <c r="F3296" t="s">
        <v>15</v>
      </c>
      <c r="G3296" t="s">
        <v>15</v>
      </c>
      <c r="H3296" t="s">
        <v>15</v>
      </c>
      <c r="I3296" s="1">
        <v>142660700</v>
      </c>
    </row>
    <row r="3297" spans="1:9" x14ac:dyDescent="0.25">
      <c r="A3297" t="str">
        <f>"68034"</f>
        <v>68034</v>
      </c>
      <c r="B3297" t="s">
        <v>11</v>
      </c>
      <c r="C3297" t="s">
        <v>1303</v>
      </c>
      <c r="D3297" t="s">
        <v>13</v>
      </c>
      <c r="E3297" t="s">
        <v>14</v>
      </c>
      <c r="F3297" t="s">
        <v>15</v>
      </c>
      <c r="G3297" t="s">
        <v>15</v>
      </c>
      <c r="H3297" t="s">
        <v>15</v>
      </c>
      <c r="I3297" s="1">
        <v>63985700</v>
      </c>
    </row>
    <row r="3298" spans="1:9" x14ac:dyDescent="0.25">
      <c r="A3298" t="str">
        <f>"68036"</f>
        <v>68036</v>
      </c>
      <c r="B3298" t="s">
        <v>11</v>
      </c>
      <c r="C3298" t="s">
        <v>1304</v>
      </c>
      <c r="D3298" t="s">
        <v>13</v>
      </c>
      <c r="E3298" t="s">
        <v>14</v>
      </c>
      <c r="F3298" t="s">
        <v>15</v>
      </c>
      <c r="G3298" t="s">
        <v>15</v>
      </c>
      <c r="H3298" t="s">
        <v>15</v>
      </c>
      <c r="I3298" s="1">
        <v>112359900</v>
      </c>
    </row>
    <row r="3299" spans="1:9" x14ac:dyDescent="0.25">
      <c r="A3299" t="str">
        <f>"68038"</f>
        <v>68038</v>
      </c>
      <c r="B3299" t="s">
        <v>11</v>
      </c>
      <c r="C3299" t="s">
        <v>165</v>
      </c>
      <c r="D3299" t="s">
        <v>13</v>
      </c>
      <c r="E3299" t="s">
        <v>14</v>
      </c>
      <c r="F3299" t="s">
        <v>15</v>
      </c>
      <c r="G3299" t="s">
        <v>15</v>
      </c>
      <c r="H3299" t="s">
        <v>15</v>
      </c>
      <c r="I3299" s="1">
        <v>62784800</v>
      </c>
    </row>
    <row r="3300" spans="1:9" x14ac:dyDescent="0.25">
      <c r="A3300" t="str">
        <f>"68040"</f>
        <v>68040</v>
      </c>
      <c r="B3300" t="s">
        <v>11</v>
      </c>
      <c r="C3300" t="s">
        <v>1305</v>
      </c>
      <c r="D3300" t="s">
        <v>13</v>
      </c>
      <c r="E3300" t="s">
        <v>14</v>
      </c>
      <c r="F3300" t="s">
        <v>15</v>
      </c>
      <c r="G3300" t="s">
        <v>15</v>
      </c>
      <c r="H3300" t="s">
        <v>15</v>
      </c>
      <c r="I3300" s="1">
        <v>107522500</v>
      </c>
    </row>
    <row r="3301" spans="1:9" x14ac:dyDescent="0.25">
      <c r="A3301" t="str">
        <f>"68042"</f>
        <v>68042</v>
      </c>
      <c r="B3301" t="s">
        <v>11</v>
      </c>
      <c r="C3301" t="s">
        <v>1306</v>
      </c>
      <c r="D3301" t="str">
        <f>"001T"</f>
        <v>001T</v>
      </c>
      <c r="E3301">
        <v>2005</v>
      </c>
      <c r="F3301">
        <v>1668700</v>
      </c>
      <c r="G3301">
        <v>7025200</v>
      </c>
      <c r="H3301">
        <v>5356500</v>
      </c>
    </row>
    <row r="3302" spans="1:9" x14ac:dyDescent="0.25">
      <c r="A3302" t="str">
        <f>"68042"</f>
        <v>68042</v>
      </c>
      <c r="B3302" t="s">
        <v>11</v>
      </c>
      <c r="C3302" t="s">
        <v>1306</v>
      </c>
      <c r="D3302" t="s">
        <v>13</v>
      </c>
      <c r="E3302" t="s">
        <v>14</v>
      </c>
      <c r="F3302" t="s">
        <v>15</v>
      </c>
      <c r="G3302" t="s">
        <v>15</v>
      </c>
      <c r="H3302" t="s">
        <v>15</v>
      </c>
      <c r="I3302" s="1">
        <v>57131000</v>
      </c>
    </row>
    <row r="3303" spans="1:9" x14ac:dyDescent="0.25">
      <c r="A3303" t="str">
        <f>"68044"</f>
        <v>68044</v>
      </c>
      <c r="B3303" t="s">
        <v>11</v>
      </c>
      <c r="C3303" t="s">
        <v>566</v>
      </c>
      <c r="D3303" t="s">
        <v>13</v>
      </c>
      <c r="E3303" t="s">
        <v>14</v>
      </c>
      <c r="F3303" t="s">
        <v>15</v>
      </c>
      <c r="G3303" t="s">
        <v>15</v>
      </c>
      <c r="H3303" t="s">
        <v>15</v>
      </c>
      <c r="I3303" s="1">
        <v>38098800</v>
      </c>
    </row>
    <row r="3304" spans="1:9" x14ac:dyDescent="0.25">
      <c r="A3304" t="s">
        <v>32</v>
      </c>
      <c r="B3304" t="s">
        <v>33</v>
      </c>
      <c r="C3304" t="s">
        <v>34</v>
      </c>
      <c r="D3304" t="s">
        <v>13</v>
      </c>
      <c r="E3304" t="s">
        <v>14</v>
      </c>
      <c r="F3304" t="s">
        <v>15</v>
      </c>
      <c r="G3304" t="s">
        <v>15</v>
      </c>
      <c r="H3304" t="s">
        <v>15</v>
      </c>
      <c r="I3304" s="1">
        <v>2940759900</v>
      </c>
    </row>
    <row r="3305" spans="1:9" x14ac:dyDescent="0.25">
      <c r="A3305" t="str">
        <f>"68106"</f>
        <v>68106</v>
      </c>
      <c r="B3305" t="s">
        <v>35</v>
      </c>
      <c r="C3305" t="s">
        <v>1055</v>
      </c>
      <c r="D3305" t="s">
        <v>13</v>
      </c>
      <c r="E3305" t="s">
        <v>14</v>
      </c>
      <c r="F3305" t="s">
        <v>15</v>
      </c>
      <c r="G3305" t="s">
        <v>15</v>
      </c>
      <c r="H3305" t="s">
        <v>15</v>
      </c>
      <c r="I3305" s="1">
        <v>3502700</v>
      </c>
    </row>
    <row r="3306" spans="1:9" x14ac:dyDescent="0.25">
      <c r="A3306" t="str">
        <f>"68121"</f>
        <v>68121</v>
      </c>
      <c r="B3306" t="s">
        <v>35</v>
      </c>
      <c r="C3306" t="s">
        <v>1307</v>
      </c>
      <c r="D3306" t="s">
        <v>13</v>
      </c>
      <c r="E3306" t="s">
        <v>14</v>
      </c>
      <c r="F3306" t="s">
        <v>15</v>
      </c>
      <c r="G3306" t="s">
        <v>15</v>
      </c>
      <c r="H3306" t="s">
        <v>15</v>
      </c>
      <c r="I3306" s="1">
        <v>16432900</v>
      </c>
    </row>
    <row r="3307" spans="1:9" x14ac:dyDescent="0.25">
      <c r="A3307" t="str">
        <f>"68126"</f>
        <v>68126</v>
      </c>
      <c r="B3307" t="s">
        <v>35</v>
      </c>
      <c r="C3307" t="s">
        <v>220</v>
      </c>
      <c r="D3307" t="s">
        <v>13</v>
      </c>
      <c r="E3307" t="s">
        <v>14</v>
      </c>
      <c r="F3307" t="s">
        <v>15</v>
      </c>
      <c r="G3307" t="s">
        <v>15</v>
      </c>
      <c r="H3307" t="s">
        <v>15</v>
      </c>
      <c r="I3307" s="1">
        <v>75773500</v>
      </c>
    </row>
    <row r="3308" spans="1:9" x14ac:dyDescent="0.25">
      <c r="A3308" t="str">
        <f>"68141"</f>
        <v>68141</v>
      </c>
      <c r="B3308" t="s">
        <v>35</v>
      </c>
      <c r="C3308" t="s">
        <v>1296</v>
      </c>
      <c r="D3308" t="s">
        <v>13</v>
      </c>
      <c r="E3308" t="s">
        <v>14</v>
      </c>
      <c r="F3308" t="s">
        <v>15</v>
      </c>
      <c r="G3308" t="s">
        <v>15</v>
      </c>
      <c r="H3308" t="s">
        <v>15</v>
      </c>
      <c r="I3308" s="1">
        <v>63070100</v>
      </c>
    </row>
    <row r="3309" spans="1:9" x14ac:dyDescent="0.25">
      <c r="A3309" t="str">
        <f>"68165"</f>
        <v>68165</v>
      </c>
      <c r="B3309" t="s">
        <v>35</v>
      </c>
      <c r="C3309" t="s">
        <v>1308</v>
      </c>
      <c r="D3309" t="s">
        <v>13</v>
      </c>
      <c r="E3309" t="s">
        <v>14</v>
      </c>
      <c r="F3309" t="s">
        <v>15</v>
      </c>
      <c r="G3309" t="s">
        <v>15</v>
      </c>
      <c r="H3309" t="s">
        <v>15</v>
      </c>
      <c r="I3309" s="1">
        <v>7900700</v>
      </c>
    </row>
    <row r="3310" spans="1:9" x14ac:dyDescent="0.25">
      <c r="A3310" t="str">
        <f>"68181"</f>
        <v>68181</v>
      </c>
      <c r="B3310" t="s">
        <v>35</v>
      </c>
      <c r="C3310" t="s">
        <v>1304</v>
      </c>
      <c r="D3310" t="s">
        <v>13</v>
      </c>
      <c r="E3310" t="s">
        <v>14</v>
      </c>
      <c r="F3310" t="s">
        <v>15</v>
      </c>
      <c r="G3310" t="s">
        <v>15</v>
      </c>
      <c r="H3310" t="s">
        <v>15</v>
      </c>
      <c r="I3310" s="1">
        <v>17312300</v>
      </c>
    </row>
    <row r="3311" spans="1:9" x14ac:dyDescent="0.25">
      <c r="A3311" t="s">
        <v>32</v>
      </c>
      <c r="B3311" t="s">
        <v>37</v>
      </c>
      <c r="C3311" t="s">
        <v>34</v>
      </c>
      <c r="D3311" t="s">
        <v>13</v>
      </c>
      <c r="E3311" t="s">
        <v>14</v>
      </c>
      <c r="F3311" t="s">
        <v>15</v>
      </c>
      <c r="G3311" t="s">
        <v>15</v>
      </c>
      <c r="H3311" t="s">
        <v>15</v>
      </c>
      <c r="I3311" s="1">
        <v>183992200</v>
      </c>
    </row>
    <row r="3312" spans="1:9" x14ac:dyDescent="0.25">
      <c r="A3312" t="str">
        <f>"68211"</f>
        <v>68211</v>
      </c>
      <c r="B3312" t="s">
        <v>38</v>
      </c>
      <c r="C3312" t="s">
        <v>1309</v>
      </c>
      <c r="D3312" t="str">
        <f>"008"</f>
        <v>008</v>
      </c>
      <c r="E3312">
        <v>2018</v>
      </c>
      <c r="F3312">
        <v>781200</v>
      </c>
      <c r="G3312">
        <v>2064700</v>
      </c>
      <c r="H3312">
        <v>1283500</v>
      </c>
    </row>
    <row r="3313" spans="1:9" x14ac:dyDescent="0.25">
      <c r="A3313" t="str">
        <f>"68211"</f>
        <v>68211</v>
      </c>
      <c r="B3313" t="s">
        <v>38</v>
      </c>
      <c r="C3313" t="s">
        <v>1309</v>
      </c>
      <c r="D3313" t="str">
        <f>"009"</f>
        <v>009</v>
      </c>
      <c r="E3313">
        <v>2018</v>
      </c>
      <c r="F3313">
        <v>4630300</v>
      </c>
      <c r="G3313">
        <v>5791800</v>
      </c>
      <c r="H3313">
        <v>1161500</v>
      </c>
    </row>
    <row r="3314" spans="1:9" x14ac:dyDescent="0.25">
      <c r="A3314" t="str">
        <f>"68211"</f>
        <v>68211</v>
      </c>
      <c r="B3314" t="s">
        <v>38</v>
      </c>
      <c r="C3314" t="s">
        <v>1309</v>
      </c>
      <c r="D3314" t="s">
        <v>13</v>
      </c>
      <c r="E3314" t="s">
        <v>14</v>
      </c>
      <c r="F3314" t="s">
        <v>15</v>
      </c>
      <c r="G3314" t="s">
        <v>15</v>
      </c>
      <c r="H3314" t="s">
        <v>15</v>
      </c>
      <c r="I3314" s="1">
        <v>232337100</v>
      </c>
    </row>
    <row r="3315" spans="1:9" x14ac:dyDescent="0.25">
      <c r="A3315" t="str">
        <f>"68251"</f>
        <v>68251</v>
      </c>
      <c r="B3315" t="s">
        <v>38</v>
      </c>
      <c r="C3315" t="s">
        <v>1310</v>
      </c>
      <c r="D3315" t="str">
        <f>"002"</f>
        <v>002</v>
      </c>
      <c r="E3315">
        <v>2016</v>
      </c>
      <c r="F3315">
        <v>2392700</v>
      </c>
      <c r="G3315">
        <v>4901100</v>
      </c>
      <c r="H3315">
        <v>2508400</v>
      </c>
    </row>
    <row r="3316" spans="1:9" x14ac:dyDescent="0.25">
      <c r="A3316" t="str">
        <f>"68251"</f>
        <v>68251</v>
      </c>
      <c r="B3316" t="s">
        <v>38</v>
      </c>
      <c r="C3316" t="s">
        <v>1310</v>
      </c>
      <c r="D3316" t="str">
        <f>"003"</f>
        <v>003</v>
      </c>
      <c r="E3316">
        <v>2018</v>
      </c>
      <c r="F3316">
        <v>2362600</v>
      </c>
      <c r="G3316">
        <v>2954300</v>
      </c>
      <c r="H3316">
        <v>591700</v>
      </c>
    </row>
    <row r="3317" spans="1:9" x14ac:dyDescent="0.25">
      <c r="A3317" t="str">
        <f>"68251"</f>
        <v>68251</v>
      </c>
      <c r="B3317" t="s">
        <v>38</v>
      </c>
      <c r="C3317" t="s">
        <v>1310</v>
      </c>
      <c r="D3317" t="s">
        <v>13</v>
      </c>
      <c r="E3317" t="s">
        <v>14</v>
      </c>
      <c r="F3317" t="s">
        <v>15</v>
      </c>
      <c r="G3317" t="s">
        <v>15</v>
      </c>
      <c r="H3317" t="s">
        <v>15</v>
      </c>
      <c r="I3317" s="1">
        <v>81412100</v>
      </c>
    </row>
    <row r="3318" spans="1:9" x14ac:dyDescent="0.25">
      <c r="A3318" t="str">
        <f>"68252"</f>
        <v>68252</v>
      </c>
      <c r="B3318" t="s">
        <v>38</v>
      </c>
      <c r="C3318" t="s">
        <v>507</v>
      </c>
      <c r="D3318" t="str">
        <f>"002"</f>
        <v>002</v>
      </c>
      <c r="E3318">
        <v>1995</v>
      </c>
      <c r="F3318">
        <v>871300</v>
      </c>
      <c r="G3318">
        <v>3453300</v>
      </c>
      <c r="H3318">
        <v>2582000</v>
      </c>
    </row>
    <row r="3319" spans="1:9" x14ac:dyDescent="0.25">
      <c r="A3319" t="str">
        <f>"68252"</f>
        <v>68252</v>
      </c>
      <c r="B3319" t="s">
        <v>38</v>
      </c>
      <c r="C3319" t="s">
        <v>507</v>
      </c>
      <c r="D3319" t="s">
        <v>13</v>
      </c>
      <c r="E3319" t="s">
        <v>14</v>
      </c>
      <c r="F3319" t="s">
        <v>15</v>
      </c>
      <c r="G3319" t="s">
        <v>15</v>
      </c>
      <c r="H3319" t="s">
        <v>15</v>
      </c>
      <c r="I3319" s="1">
        <v>56110900</v>
      </c>
    </row>
    <row r="3320" spans="1:9" x14ac:dyDescent="0.25">
      <c r="A3320" t="str">
        <f>"68261"</f>
        <v>68261</v>
      </c>
      <c r="B3320" t="s">
        <v>38</v>
      </c>
      <c r="C3320" t="s">
        <v>915</v>
      </c>
      <c r="D3320" t="s">
        <v>13</v>
      </c>
      <c r="E3320" t="s">
        <v>14</v>
      </c>
      <c r="F3320" t="s">
        <v>15</v>
      </c>
      <c r="G3320" t="s">
        <v>15</v>
      </c>
      <c r="H3320" t="s">
        <v>15</v>
      </c>
      <c r="I3320" s="1">
        <v>276836300</v>
      </c>
    </row>
    <row r="3321" spans="1:9" x14ac:dyDescent="0.25">
      <c r="A3321" t="str">
        <f t="shared" ref="A3321:A3327" si="74">"68291"</f>
        <v>68291</v>
      </c>
      <c r="B3321" t="s">
        <v>38</v>
      </c>
      <c r="C3321" t="s">
        <v>1305</v>
      </c>
      <c r="D3321" t="str">
        <f>"003"</f>
        <v>003</v>
      </c>
      <c r="E3321">
        <v>2000</v>
      </c>
      <c r="F3321">
        <v>1912500</v>
      </c>
      <c r="G3321">
        <v>17795400</v>
      </c>
      <c r="H3321">
        <v>15882900</v>
      </c>
    </row>
    <row r="3322" spans="1:9" x14ac:dyDescent="0.25">
      <c r="A3322" t="str">
        <f t="shared" si="74"/>
        <v>68291</v>
      </c>
      <c r="B3322" t="s">
        <v>38</v>
      </c>
      <c r="C3322" t="s">
        <v>1305</v>
      </c>
      <c r="D3322" t="str">
        <f>"004"</f>
        <v>004</v>
      </c>
      <c r="E3322">
        <v>2000</v>
      </c>
      <c r="F3322">
        <v>2901600</v>
      </c>
      <c r="G3322">
        <v>30662200</v>
      </c>
      <c r="H3322">
        <v>27760600</v>
      </c>
    </row>
    <row r="3323" spans="1:9" x14ac:dyDescent="0.25">
      <c r="A3323" t="str">
        <f t="shared" si="74"/>
        <v>68291</v>
      </c>
      <c r="B3323" t="s">
        <v>38</v>
      </c>
      <c r="C3323" t="s">
        <v>1305</v>
      </c>
      <c r="D3323" t="str">
        <f>"006"</f>
        <v>006</v>
      </c>
      <c r="E3323">
        <v>2000</v>
      </c>
      <c r="F3323">
        <v>10906600</v>
      </c>
      <c r="G3323">
        <v>35452000</v>
      </c>
      <c r="H3323">
        <v>24545400</v>
      </c>
    </row>
    <row r="3324" spans="1:9" x14ac:dyDescent="0.25">
      <c r="A3324" t="str">
        <f t="shared" si="74"/>
        <v>68291</v>
      </c>
      <c r="B3324" t="s">
        <v>38</v>
      </c>
      <c r="C3324" t="s">
        <v>1305</v>
      </c>
      <c r="D3324" t="str">
        <f>"008"</f>
        <v>008</v>
      </c>
      <c r="E3324">
        <v>2001</v>
      </c>
      <c r="F3324">
        <v>1772600</v>
      </c>
      <c r="G3324">
        <v>8460100</v>
      </c>
      <c r="H3324">
        <v>6687500</v>
      </c>
    </row>
    <row r="3325" spans="1:9" x14ac:dyDescent="0.25">
      <c r="A3325" t="str">
        <f t="shared" si="74"/>
        <v>68291</v>
      </c>
      <c r="B3325" t="s">
        <v>38</v>
      </c>
      <c r="C3325" t="s">
        <v>1305</v>
      </c>
      <c r="D3325" t="str">
        <f>"009"</f>
        <v>009</v>
      </c>
      <c r="E3325">
        <v>2001</v>
      </c>
      <c r="F3325">
        <v>2208100</v>
      </c>
      <c r="G3325">
        <v>1098300</v>
      </c>
      <c r="H3325">
        <v>0</v>
      </c>
    </row>
    <row r="3326" spans="1:9" x14ac:dyDescent="0.25">
      <c r="A3326" t="str">
        <f t="shared" si="74"/>
        <v>68291</v>
      </c>
      <c r="B3326" t="s">
        <v>38</v>
      </c>
      <c r="C3326" t="s">
        <v>1305</v>
      </c>
      <c r="D3326" t="str">
        <f>"010"</f>
        <v>010</v>
      </c>
      <c r="E3326">
        <v>2001</v>
      </c>
      <c r="F3326">
        <v>281800</v>
      </c>
      <c r="G3326">
        <v>3353400</v>
      </c>
      <c r="H3326">
        <v>3071600</v>
      </c>
    </row>
    <row r="3327" spans="1:9" x14ac:dyDescent="0.25">
      <c r="A3327" t="str">
        <f t="shared" si="74"/>
        <v>68291</v>
      </c>
      <c r="B3327" t="s">
        <v>38</v>
      </c>
      <c r="C3327" t="s">
        <v>1305</v>
      </c>
      <c r="D3327" t="s">
        <v>13</v>
      </c>
      <c r="E3327" t="s">
        <v>14</v>
      </c>
      <c r="F3327" t="s">
        <v>15</v>
      </c>
      <c r="G3327" t="s">
        <v>15</v>
      </c>
      <c r="H3327" t="s">
        <v>15</v>
      </c>
      <c r="I3327" s="1">
        <v>373907500</v>
      </c>
    </row>
    <row r="3328" spans="1:9" x14ac:dyDescent="0.25">
      <c r="A3328" t="str">
        <f>"68292"</f>
        <v>68292</v>
      </c>
      <c r="B3328" t="s">
        <v>38</v>
      </c>
      <c r="C3328" t="s">
        <v>1306</v>
      </c>
      <c r="D3328" t="str">
        <f>"004"</f>
        <v>004</v>
      </c>
      <c r="E3328">
        <v>2001</v>
      </c>
      <c r="F3328">
        <v>458800</v>
      </c>
      <c r="G3328">
        <v>4787100</v>
      </c>
      <c r="H3328">
        <v>4328300</v>
      </c>
    </row>
    <row r="3329" spans="1:9" x14ac:dyDescent="0.25">
      <c r="A3329" t="str">
        <f>"68292"</f>
        <v>68292</v>
      </c>
      <c r="B3329" t="s">
        <v>38</v>
      </c>
      <c r="C3329" t="s">
        <v>1306</v>
      </c>
      <c r="D3329" t="str">
        <f>"005"</f>
        <v>005</v>
      </c>
      <c r="E3329">
        <v>2007</v>
      </c>
      <c r="F3329">
        <v>1858800</v>
      </c>
      <c r="G3329">
        <v>2264000</v>
      </c>
      <c r="H3329">
        <v>405200</v>
      </c>
    </row>
    <row r="3330" spans="1:9" x14ac:dyDescent="0.25">
      <c r="A3330" t="str">
        <f>"68292"</f>
        <v>68292</v>
      </c>
      <c r="B3330" t="s">
        <v>38</v>
      </c>
      <c r="C3330" t="s">
        <v>1306</v>
      </c>
      <c r="D3330" t="str">
        <f>"006"</f>
        <v>006</v>
      </c>
      <c r="E3330">
        <v>2015</v>
      </c>
      <c r="F3330">
        <v>6611000</v>
      </c>
      <c r="G3330">
        <v>10590600</v>
      </c>
      <c r="H3330">
        <v>3979600</v>
      </c>
    </row>
    <row r="3331" spans="1:9" x14ac:dyDescent="0.25">
      <c r="A3331" t="str">
        <f>"68292"</f>
        <v>68292</v>
      </c>
      <c r="B3331" t="s">
        <v>38</v>
      </c>
      <c r="C3331" t="s">
        <v>1306</v>
      </c>
      <c r="D3331" t="str">
        <f>"007"</f>
        <v>007</v>
      </c>
      <c r="E3331">
        <v>2015</v>
      </c>
      <c r="F3331">
        <v>749700</v>
      </c>
      <c r="G3331">
        <v>1408100</v>
      </c>
      <c r="H3331">
        <v>658400</v>
      </c>
    </row>
    <row r="3332" spans="1:9" x14ac:dyDescent="0.25">
      <c r="A3332" t="str">
        <f>"68292"</f>
        <v>68292</v>
      </c>
      <c r="B3332" t="s">
        <v>38</v>
      </c>
      <c r="C3332" t="s">
        <v>1306</v>
      </c>
      <c r="D3332" t="s">
        <v>13</v>
      </c>
      <c r="E3332" t="s">
        <v>14</v>
      </c>
      <c r="F3332" t="s">
        <v>15</v>
      </c>
      <c r="G3332" t="s">
        <v>15</v>
      </c>
      <c r="H3332" t="s">
        <v>15</v>
      </c>
      <c r="I3332" s="1">
        <v>90370000</v>
      </c>
    </row>
    <row r="3333" spans="1:9" x14ac:dyDescent="0.25">
      <c r="A3333" t="s">
        <v>32</v>
      </c>
      <c r="B3333" t="s">
        <v>40</v>
      </c>
      <c r="C3333" t="s">
        <v>34</v>
      </c>
      <c r="D3333" t="s">
        <v>13</v>
      </c>
      <c r="E3333" t="s">
        <v>14</v>
      </c>
      <c r="F3333" t="s">
        <v>15</v>
      </c>
      <c r="G3333" t="s">
        <v>15</v>
      </c>
      <c r="H3333" t="s">
        <v>15</v>
      </c>
      <c r="I3333" s="1">
        <v>1110973900</v>
      </c>
    </row>
    <row r="3334" spans="1:9" x14ac:dyDescent="0.25">
      <c r="A3334" t="s">
        <v>32</v>
      </c>
      <c r="B3334" t="s">
        <v>41</v>
      </c>
      <c r="C3334" t="s">
        <v>1305</v>
      </c>
      <c r="D3334" t="s">
        <v>13</v>
      </c>
      <c r="E3334" t="s">
        <v>14</v>
      </c>
      <c r="F3334" t="s">
        <v>15</v>
      </c>
      <c r="G3334" t="s">
        <v>15</v>
      </c>
      <c r="H3334" t="s">
        <v>15</v>
      </c>
      <c r="I3334" s="1">
        <v>4235726000</v>
      </c>
    </row>
    <row r="3335" spans="1:9" x14ac:dyDescent="0.25">
      <c r="A3335" t="str">
        <f>"69002"</f>
        <v>69002</v>
      </c>
      <c r="B3335" t="s">
        <v>11</v>
      </c>
      <c r="C3335" t="s">
        <v>448</v>
      </c>
      <c r="D3335" t="s">
        <v>13</v>
      </c>
      <c r="E3335" t="s">
        <v>14</v>
      </c>
      <c r="F3335" t="s">
        <v>15</v>
      </c>
      <c r="G3335" t="s">
        <v>15</v>
      </c>
      <c r="H3335" t="s">
        <v>15</v>
      </c>
      <c r="I3335" s="1">
        <v>103001400</v>
      </c>
    </row>
    <row r="3336" spans="1:9" x14ac:dyDescent="0.25">
      <c r="A3336" t="str">
        <f>"69004"</f>
        <v>69004</v>
      </c>
      <c r="B3336" t="s">
        <v>11</v>
      </c>
      <c r="C3336" t="s">
        <v>1236</v>
      </c>
      <c r="D3336" t="s">
        <v>13</v>
      </c>
      <c r="E3336" t="s">
        <v>14</v>
      </c>
      <c r="F3336" t="s">
        <v>15</v>
      </c>
      <c r="G3336" t="s">
        <v>15</v>
      </c>
      <c r="H3336" t="s">
        <v>15</v>
      </c>
      <c r="I3336" s="1">
        <v>110835800</v>
      </c>
    </row>
    <row r="3337" spans="1:9" x14ac:dyDescent="0.25">
      <c r="A3337" t="str">
        <f>"69006"</f>
        <v>69006</v>
      </c>
      <c r="B3337" t="s">
        <v>11</v>
      </c>
      <c r="C3337" t="s">
        <v>1311</v>
      </c>
      <c r="D3337" t="s">
        <v>13</v>
      </c>
      <c r="E3337" t="s">
        <v>14</v>
      </c>
      <c r="F3337" t="s">
        <v>15</v>
      </c>
      <c r="G3337" t="s">
        <v>15</v>
      </c>
      <c r="H3337" t="s">
        <v>15</v>
      </c>
      <c r="I3337" s="1">
        <v>105245600</v>
      </c>
    </row>
    <row r="3338" spans="1:9" x14ac:dyDescent="0.25">
      <c r="A3338" t="str">
        <f>"69008"</f>
        <v>69008</v>
      </c>
      <c r="B3338" t="s">
        <v>11</v>
      </c>
      <c r="C3338" t="s">
        <v>1312</v>
      </c>
      <c r="D3338" t="s">
        <v>13</v>
      </c>
      <c r="E3338" t="s">
        <v>14</v>
      </c>
      <c r="F3338" t="s">
        <v>15</v>
      </c>
      <c r="G3338" t="s">
        <v>15</v>
      </c>
      <c r="H3338" t="s">
        <v>15</v>
      </c>
      <c r="I3338" s="1">
        <v>111337100</v>
      </c>
    </row>
    <row r="3339" spans="1:9" x14ac:dyDescent="0.25">
      <c r="A3339" t="str">
        <f>"69010"</f>
        <v>69010</v>
      </c>
      <c r="B3339" t="s">
        <v>11</v>
      </c>
      <c r="C3339" t="s">
        <v>312</v>
      </c>
      <c r="D3339" t="s">
        <v>13</v>
      </c>
      <c r="E3339" t="s">
        <v>14</v>
      </c>
      <c r="F3339" t="s">
        <v>15</v>
      </c>
      <c r="G3339" t="s">
        <v>15</v>
      </c>
      <c r="H3339" t="s">
        <v>15</v>
      </c>
      <c r="I3339" s="1">
        <v>103930300</v>
      </c>
    </row>
    <row r="3340" spans="1:9" x14ac:dyDescent="0.25">
      <c r="A3340" t="str">
        <f>"69012"</f>
        <v>69012</v>
      </c>
      <c r="B3340" t="s">
        <v>11</v>
      </c>
      <c r="C3340" t="s">
        <v>1313</v>
      </c>
      <c r="D3340" t="s">
        <v>13</v>
      </c>
      <c r="E3340" t="s">
        <v>14</v>
      </c>
      <c r="F3340" t="s">
        <v>15</v>
      </c>
      <c r="G3340" t="s">
        <v>15</v>
      </c>
      <c r="H3340" t="s">
        <v>15</v>
      </c>
      <c r="I3340" s="1">
        <v>80438500</v>
      </c>
    </row>
    <row r="3341" spans="1:9" x14ac:dyDescent="0.25">
      <c r="A3341" t="str">
        <f>"69014"</f>
        <v>69014</v>
      </c>
      <c r="B3341" t="s">
        <v>11</v>
      </c>
      <c r="C3341" t="s">
        <v>832</v>
      </c>
      <c r="D3341" t="s">
        <v>13</v>
      </c>
      <c r="E3341" t="s">
        <v>14</v>
      </c>
      <c r="F3341" t="s">
        <v>15</v>
      </c>
      <c r="G3341" t="s">
        <v>15</v>
      </c>
      <c r="H3341" t="s">
        <v>15</v>
      </c>
      <c r="I3341" s="1">
        <v>184743600</v>
      </c>
    </row>
    <row r="3342" spans="1:9" x14ac:dyDescent="0.25">
      <c r="A3342" t="str">
        <f>"69016"</f>
        <v>69016</v>
      </c>
      <c r="B3342" t="s">
        <v>11</v>
      </c>
      <c r="C3342" t="s">
        <v>507</v>
      </c>
      <c r="D3342" t="s">
        <v>13</v>
      </c>
      <c r="E3342" t="s">
        <v>14</v>
      </c>
      <c r="F3342" t="s">
        <v>15</v>
      </c>
      <c r="G3342" t="s">
        <v>15</v>
      </c>
      <c r="H3342" t="s">
        <v>15</v>
      </c>
      <c r="I3342" s="1">
        <v>363295700</v>
      </c>
    </row>
    <row r="3343" spans="1:9" x14ac:dyDescent="0.25">
      <c r="A3343" t="str">
        <f>"69018"</f>
        <v>69018</v>
      </c>
      <c r="B3343" t="s">
        <v>11</v>
      </c>
      <c r="C3343" t="s">
        <v>1314</v>
      </c>
      <c r="D3343" t="s">
        <v>13</v>
      </c>
      <c r="E3343" t="s">
        <v>14</v>
      </c>
      <c r="F3343" t="s">
        <v>15</v>
      </c>
      <c r="G3343" t="s">
        <v>15</v>
      </c>
      <c r="H3343" t="s">
        <v>15</v>
      </c>
      <c r="I3343" s="1">
        <v>251284800</v>
      </c>
    </row>
    <row r="3344" spans="1:9" x14ac:dyDescent="0.25">
      <c r="A3344" t="str">
        <f>"69020"</f>
        <v>69020</v>
      </c>
      <c r="B3344" t="s">
        <v>11</v>
      </c>
      <c r="C3344" t="s">
        <v>1315</v>
      </c>
      <c r="D3344" t="s">
        <v>13</v>
      </c>
      <c r="E3344" t="s">
        <v>14</v>
      </c>
      <c r="F3344" t="s">
        <v>15</v>
      </c>
      <c r="G3344" t="s">
        <v>15</v>
      </c>
      <c r="H3344" t="s">
        <v>15</v>
      </c>
      <c r="I3344" s="1">
        <v>57916500</v>
      </c>
    </row>
    <row r="3345" spans="1:9" x14ac:dyDescent="0.25">
      <c r="A3345" t="str">
        <f>"69022"</f>
        <v>69022</v>
      </c>
      <c r="B3345" t="s">
        <v>11</v>
      </c>
      <c r="C3345" t="s">
        <v>1316</v>
      </c>
      <c r="D3345" t="s">
        <v>13</v>
      </c>
      <c r="E3345" t="s">
        <v>14</v>
      </c>
      <c r="F3345" t="s">
        <v>15</v>
      </c>
      <c r="G3345" t="s">
        <v>15</v>
      </c>
      <c r="H3345" t="s">
        <v>15</v>
      </c>
      <c r="I3345" s="1">
        <v>52496900</v>
      </c>
    </row>
    <row r="3346" spans="1:9" x14ac:dyDescent="0.25">
      <c r="A3346" t="str">
        <f>"69024"</f>
        <v>69024</v>
      </c>
      <c r="B3346" t="s">
        <v>11</v>
      </c>
      <c r="C3346" t="s">
        <v>1317</v>
      </c>
      <c r="D3346" t="s">
        <v>13</v>
      </c>
      <c r="E3346" t="s">
        <v>14</v>
      </c>
      <c r="F3346" t="s">
        <v>15</v>
      </c>
      <c r="G3346" t="s">
        <v>15</v>
      </c>
      <c r="H3346" t="s">
        <v>15</v>
      </c>
      <c r="I3346" s="1">
        <v>75073200</v>
      </c>
    </row>
    <row r="3347" spans="1:9" x14ac:dyDescent="0.25">
      <c r="A3347" t="str">
        <f>"69026"</f>
        <v>69026</v>
      </c>
      <c r="B3347" t="s">
        <v>11</v>
      </c>
      <c r="C3347" t="s">
        <v>1318</v>
      </c>
      <c r="D3347" t="s">
        <v>13</v>
      </c>
      <c r="E3347" t="s">
        <v>14</v>
      </c>
      <c r="F3347" t="s">
        <v>15</v>
      </c>
      <c r="G3347" t="s">
        <v>15</v>
      </c>
      <c r="H3347" t="s">
        <v>15</v>
      </c>
      <c r="I3347" s="1">
        <v>70107000</v>
      </c>
    </row>
    <row r="3348" spans="1:9" x14ac:dyDescent="0.25">
      <c r="A3348" t="str">
        <f>"69028"</f>
        <v>69028</v>
      </c>
      <c r="B3348" t="s">
        <v>11</v>
      </c>
      <c r="C3348" t="s">
        <v>1319</v>
      </c>
      <c r="D3348" t="s">
        <v>13</v>
      </c>
      <c r="E3348" t="s">
        <v>14</v>
      </c>
      <c r="F3348" t="s">
        <v>15</v>
      </c>
      <c r="G3348" t="s">
        <v>15</v>
      </c>
      <c r="H3348" t="s">
        <v>15</v>
      </c>
      <c r="I3348" s="1">
        <v>80878700</v>
      </c>
    </row>
    <row r="3349" spans="1:9" x14ac:dyDescent="0.25">
      <c r="A3349" t="str">
        <f>"69030"</f>
        <v>69030</v>
      </c>
      <c r="B3349" t="s">
        <v>11</v>
      </c>
      <c r="C3349" t="s">
        <v>1320</v>
      </c>
      <c r="D3349" t="s">
        <v>13</v>
      </c>
      <c r="E3349" t="s">
        <v>14</v>
      </c>
      <c r="F3349" t="s">
        <v>15</v>
      </c>
      <c r="G3349" t="s">
        <v>15</v>
      </c>
      <c r="H3349" t="s">
        <v>15</v>
      </c>
      <c r="I3349" s="1">
        <v>150789200</v>
      </c>
    </row>
    <row r="3350" spans="1:9" x14ac:dyDescent="0.25">
      <c r="A3350" t="str">
        <f>"69032"</f>
        <v>69032</v>
      </c>
      <c r="B3350" t="s">
        <v>11</v>
      </c>
      <c r="C3350" t="s">
        <v>1321</v>
      </c>
      <c r="D3350" t="s">
        <v>13</v>
      </c>
      <c r="E3350" t="s">
        <v>14</v>
      </c>
      <c r="F3350" t="s">
        <v>15</v>
      </c>
      <c r="G3350" t="s">
        <v>15</v>
      </c>
      <c r="H3350" t="s">
        <v>15</v>
      </c>
      <c r="I3350" s="1">
        <v>309202700</v>
      </c>
    </row>
    <row r="3351" spans="1:9" x14ac:dyDescent="0.25">
      <c r="A3351" t="str">
        <f>"69034"</f>
        <v>69034</v>
      </c>
      <c r="B3351" t="s">
        <v>11</v>
      </c>
      <c r="C3351" t="s">
        <v>1089</v>
      </c>
      <c r="D3351" t="s">
        <v>13</v>
      </c>
      <c r="E3351" t="s">
        <v>14</v>
      </c>
      <c r="F3351" t="s">
        <v>15</v>
      </c>
      <c r="G3351" t="s">
        <v>15</v>
      </c>
      <c r="H3351" t="s">
        <v>15</v>
      </c>
      <c r="I3351" s="1">
        <v>57011800</v>
      </c>
    </row>
    <row r="3352" spans="1:9" x14ac:dyDescent="0.25">
      <c r="A3352" t="str">
        <f>"69036"</f>
        <v>69036</v>
      </c>
      <c r="B3352" t="s">
        <v>11</v>
      </c>
      <c r="C3352" t="s">
        <v>1322</v>
      </c>
      <c r="D3352" t="s">
        <v>13</v>
      </c>
      <c r="E3352" t="s">
        <v>14</v>
      </c>
      <c r="F3352" t="s">
        <v>15</v>
      </c>
      <c r="G3352" t="s">
        <v>15</v>
      </c>
      <c r="H3352" t="s">
        <v>15</v>
      </c>
      <c r="I3352" s="1">
        <v>134821600</v>
      </c>
    </row>
    <row r="3353" spans="1:9" x14ac:dyDescent="0.25">
      <c r="A3353" t="s">
        <v>32</v>
      </c>
      <c r="B3353" t="s">
        <v>33</v>
      </c>
      <c r="C3353" t="s">
        <v>34</v>
      </c>
      <c r="D3353" t="s">
        <v>13</v>
      </c>
      <c r="E3353" t="s">
        <v>14</v>
      </c>
      <c r="F3353" t="s">
        <v>15</v>
      </c>
      <c r="G3353" t="s">
        <v>15</v>
      </c>
      <c r="H3353" t="s">
        <v>15</v>
      </c>
      <c r="I3353" s="1">
        <v>2402410400</v>
      </c>
    </row>
    <row r="3354" spans="1:9" x14ac:dyDescent="0.25">
      <c r="A3354" t="str">
        <f>"69111"</f>
        <v>69111</v>
      </c>
      <c r="B3354" t="s">
        <v>35</v>
      </c>
      <c r="C3354" t="s">
        <v>1311</v>
      </c>
      <c r="D3354" t="str">
        <f>"002"</f>
        <v>002</v>
      </c>
      <c r="E3354">
        <v>2005</v>
      </c>
      <c r="F3354">
        <v>1243100</v>
      </c>
      <c r="G3354">
        <v>3779500</v>
      </c>
      <c r="H3354">
        <v>2536400</v>
      </c>
    </row>
    <row r="3355" spans="1:9" x14ac:dyDescent="0.25">
      <c r="A3355" t="str">
        <f>"69111"</f>
        <v>69111</v>
      </c>
      <c r="B3355" t="s">
        <v>35</v>
      </c>
      <c r="C3355" t="s">
        <v>1311</v>
      </c>
      <c r="D3355" t="s">
        <v>13</v>
      </c>
      <c r="E3355" t="s">
        <v>14</v>
      </c>
      <c r="F3355" t="s">
        <v>15</v>
      </c>
      <c r="G3355" t="s">
        <v>15</v>
      </c>
      <c r="H3355" t="s">
        <v>15</v>
      </c>
      <c r="I3355" s="1">
        <v>24919400</v>
      </c>
    </row>
    <row r="3356" spans="1:9" x14ac:dyDescent="0.25">
      <c r="A3356" t="str">
        <f>"69136"</f>
        <v>69136</v>
      </c>
      <c r="B3356" t="s">
        <v>35</v>
      </c>
      <c r="C3356" t="s">
        <v>1313</v>
      </c>
      <c r="D3356" t="str">
        <f>"001"</f>
        <v>001</v>
      </c>
      <c r="E3356">
        <v>2016</v>
      </c>
      <c r="F3356">
        <v>473900</v>
      </c>
      <c r="G3356">
        <v>770200</v>
      </c>
      <c r="H3356">
        <v>296300</v>
      </c>
    </row>
    <row r="3357" spans="1:9" x14ac:dyDescent="0.25">
      <c r="A3357" t="str">
        <f>"69136"</f>
        <v>69136</v>
      </c>
      <c r="B3357" t="s">
        <v>35</v>
      </c>
      <c r="C3357" t="s">
        <v>1313</v>
      </c>
      <c r="D3357" t="s">
        <v>13</v>
      </c>
      <c r="E3357" t="s">
        <v>14</v>
      </c>
      <c r="F3357" t="s">
        <v>15</v>
      </c>
      <c r="G3357" t="s">
        <v>15</v>
      </c>
      <c r="H3357" t="s">
        <v>15</v>
      </c>
      <c r="I3357" s="1">
        <v>17526600</v>
      </c>
    </row>
    <row r="3358" spans="1:9" x14ac:dyDescent="0.25">
      <c r="A3358" t="str">
        <f>"69146"</f>
        <v>69146</v>
      </c>
      <c r="B3358" t="s">
        <v>35</v>
      </c>
      <c r="C3358" t="s">
        <v>1323</v>
      </c>
      <c r="D3358" t="s">
        <v>13</v>
      </c>
      <c r="E3358" t="s">
        <v>14</v>
      </c>
      <c r="F3358" t="s">
        <v>15</v>
      </c>
      <c r="G3358" t="s">
        <v>15</v>
      </c>
      <c r="H3358" t="s">
        <v>15</v>
      </c>
      <c r="I3358" s="1">
        <v>15930600</v>
      </c>
    </row>
    <row r="3359" spans="1:9" x14ac:dyDescent="0.25">
      <c r="A3359" t="str">
        <f>"69171"</f>
        <v>69171</v>
      </c>
      <c r="B3359" t="s">
        <v>35</v>
      </c>
      <c r="C3359" t="s">
        <v>1316</v>
      </c>
      <c r="D3359" t="str">
        <f>"001"</f>
        <v>001</v>
      </c>
      <c r="E3359">
        <v>2015</v>
      </c>
      <c r="F3359">
        <v>1952900</v>
      </c>
      <c r="G3359">
        <v>3976300</v>
      </c>
      <c r="H3359">
        <v>2023400</v>
      </c>
    </row>
    <row r="3360" spans="1:9" x14ac:dyDescent="0.25">
      <c r="A3360" t="str">
        <f>"69171"</f>
        <v>69171</v>
      </c>
      <c r="B3360" t="s">
        <v>35</v>
      </c>
      <c r="C3360" t="s">
        <v>1316</v>
      </c>
      <c r="D3360" t="s">
        <v>13</v>
      </c>
      <c r="E3360" t="s">
        <v>14</v>
      </c>
      <c r="F3360" t="s">
        <v>15</v>
      </c>
      <c r="G3360" t="s">
        <v>15</v>
      </c>
      <c r="H3360" t="s">
        <v>15</v>
      </c>
      <c r="I3360" s="1">
        <v>34917900</v>
      </c>
    </row>
    <row r="3361" spans="1:9" x14ac:dyDescent="0.25">
      <c r="A3361" t="str">
        <f>"69176"</f>
        <v>69176</v>
      </c>
      <c r="B3361" t="s">
        <v>35</v>
      </c>
      <c r="C3361" t="s">
        <v>1324</v>
      </c>
      <c r="D3361" t="str">
        <f>"001"</f>
        <v>001</v>
      </c>
      <c r="E3361">
        <v>1997</v>
      </c>
      <c r="F3361">
        <v>1459000</v>
      </c>
      <c r="G3361">
        <v>11770300</v>
      </c>
      <c r="H3361">
        <v>10311300</v>
      </c>
    </row>
    <row r="3362" spans="1:9" x14ac:dyDescent="0.25">
      <c r="A3362" t="str">
        <f>"69176"</f>
        <v>69176</v>
      </c>
      <c r="B3362" t="s">
        <v>35</v>
      </c>
      <c r="C3362" t="s">
        <v>1324</v>
      </c>
      <c r="D3362" t="str">
        <f>"002"</f>
        <v>002</v>
      </c>
      <c r="E3362">
        <v>1997</v>
      </c>
      <c r="F3362">
        <v>46200</v>
      </c>
      <c r="G3362">
        <v>440000</v>
      </c>
      <c r="H3362">
        <v>393800</v>
      </c>
    </row>
    <row r="3363" spans="1:9" x14ac:dyDescent="0.25">
      <c r="A3363" t="str">
        <f>"69176"</f>
        <v>69176</v>
      </c>
      <c r="B3363" t="s">
        <v>35</v>
      </c>
      <c r="C3363" t="s">
        <v>1324</v>
      </c>
      <c r="D3363" t="s">
        <v>13</v>
      </c>
      <c r="E3363" t="s">
        <v>14</v>
      </c>
      <c r="F3363" t="s">
        <v>15</v>
      </c>
      <c r="G3363" t="s">
        <v>15</v>
      </c>
      <c r="H3363" t="s">
        <v>15</v>
      </c>
      <c r="I3363" s="1">
        <v>39033500</v>
      </c>
    </row>
    <row r="3364" spans="1:9" x14ac:dyDescent="0.25">
      <c r="A3364" t="str">
        <f>"69191"</f>
        <v>69191</v>
      </c>
      <c r="B3364" t="s">
        <v>35</v>
      </c>
      <c r="C3364" t="s">
        <v>1325</v>
      </c>
      <c r="D3364" t="str">
        <f>"002"</f>
        <v>002</v>
      </c>
      <c r="E3364">
        <v>2000</v>
      </c>
      <c r="F3364">
        <v>1005000</v>
      </c>
      <c r="G3364">
        <v>2181500</v>
      </c>
      <c r="H3364">
        <v>1176500</v>
      </c>
    </row>
    <row r="3365" spans="1:9" x14ac:dyDescent="0.25">
      <c r="A3365" t="str">
        <f>"69191"</f>
        <v>69191</v>
      </c>
      <c r="B3365" t="s">
        <v>35</v>
      </c>
      <c r="C3365" t="s">
        <v>1325</v>
      </c>
      <c r="D3365" t="str">
        <f>"003"</f>
        <v>003</v>
      </c>
      <c r="E3365">
        <v>2006</v>
      </c>
      <c r="F3365">
        <v>835600</v>
      </c>
      <c r="G3365">
        <v>2359000</v>
      </c>
      <c r="H3365">
        <v>1523400</v>
      </c>
    </row>
    <row r="3366" spans="1:9" x14ac:dyDescent="0.25">
      <c r="A3366" t="str">
        <f>"69191"</f>
        <v>69191</v>
      </c>
      <c r="B3366" t="s">
        <v>35</v>
      </c>
      <c r="C3366" t="s">
        <v>1325</v>
      </c>
      <c r="D3366" t="s">
        <v>13</v>
      </c>
      <c r="E3366" t="s">
        <v>14</v>
      </c>
      <c r="F3366" t="s">
        <v>15</v>
      </c>
      <c r="G3366" t="s">
        <v>15</v>
      </c>
      <c r="H3366" t="s">
        <v>15</v>
      </c>
      <c r="I3366" s="1">
        <v>31322600</v>
      </c>
    </row>
    <row r="3367" spans="1:9" x14ac:dyDescent="0.25">
      <c r="A3367" t="s">
        <v>32</v>
      </c>
      <c r="B3367" t="s">
        <v>37</v>
      </c>
      <c r="C3367" t="s">
        <v>34</v>
      </c>
      <c r="D3367" t="s">
        <v>13</v>
      </c>
      <c r="E3367" t="s">
        <v>14</v>
      </c>
      <c r="F3367" t="s">
        <v>15</v>
      </c>
      <c r="G3367" t="s">
        <v>15</v>
      </c>
      <c r="H3367" t="s">
        <v>15</v>
      </c>
      <c r="I3367" s="1">
        <v>163650600</v>
      </c>
    </row>
    <row r="3368" spans="1:9" x14ac:dyDescent="0.25">
      <c r="A3368" t="str">
        <f>"69206"</f>
        <v>69206</v>
      </c>
      <c r="B3368" t="s">
        <v>38</v>
      </c>
      <c r="C3368" t="s">
        <v>547</v>
      </c>
      <c r="D3368" t="str">
        <f>"010"</f>
        <v>010</v>
      </c>
      <c r="E3368">
        <v>1993</v>
      </c>
      <c r="F3368">
        <v>49300</v>
      </c>
      <c r="G3368">
        <v>9109200</v>
      </c>
      <c r="H3368">
        <v>9059900</v>
      </c>
    </row>
    <row r="3369" spans="1:9" x14ac:dyDescent="0.25">
      <c r="A3369" t="str">
        <f>"69206"</f>
        <v>69206</v>
      </c>
      <c r="B3369" t="s">
        <v>38</v>
      </c>
      <c r="C3369" t="s">
        <v>547</v>
      </c>
      <c r="D3369" t="s">
        <v>13</v>
      </c>
      <c r="E3369" t="s">
        <v>14</v>
      </c>
      <c r="F3369" t="s">
        <v>15</v>
      </c>
      <c r="G3369" t="s">
        <v>15</v>
      </c>
      <c r="H3369" t="s">
        <v>15</v>
      </c>
      <c r="I3369" s="1">
        <v>6079400</v>
      </c>
    </row>
    <row r="3370" spans="1:9" x14ac:dyDescent="0.25">
      <c r="A3370" t="str">
        <f>"69291"</f>
        <v>69291</v>
      </c>
      <c r="B3370" t="s">
        <v>38</v>
      </c>
      <c r="C3370" t="s">
        <v>1322</v>
      </c>
      <c r="D3370" t="str">
        <f>"001"</f>
        <v>001</v>
      </c>
      <c r="E3370">
        <v>1995</v>
      </c>
      <c r="F3370">
        <v>4137900</v>
      </c>
      <c r="G3370">
        <v>27341500</v>
      </c>
      <c r="H3370">
        <v>23203600</v>
      </c>
    </row>
    <row r="3371" spans="1:9" x14ac:dyDescent="0.25">
      <c r="A3371" t="str">
        <f>"69291"</f>
        <v>69291</v>
      </c>
      <c r="B3371" t="s">
        <v>38</v>
      </c>
      <c r="C3371" t="s">
        <v>1322</v>
      </c>
      <c r="D3371" t="str">
        <f>"002"</f>
        <v>002</v>
      </c>
      <c r="E3371">
        <v>1996</v>
      </c>
      <c r="F3371">
        <v>790400</v>
      </c>
      <c r="G3371">
        <v>7575800</v>
      </c>
      <c r="H3371">
        <v>6785400</v>
      </c>
    </row>
    <row r="3372" spans="1:9" x14ac:dyDescent="0.25">
      <c r="A3372" t="str">
        <f>"69291"</f>
        <v>69291</v>
      </c>
      <c r="B3372" t="s">
        <v>38</v>
      </c>
      <c r="C3372" t="s">
        <v>1322</v>
      </c>
      <c r="D3372" t="s">
        <v>13</v>
      </c>
      <c r="E3372" t="s">
        <v>14</v>
      </c>
      <c r="F3372" t="s">
        <v>15</v>
      </c>
      <c r="G3372" t="s">
        <v>15</v>
      </c>
      <c r="H3372" t="s">
        <v>15</v>
      </c>
      <c r="I3372" s="1">
        <v>80189800</v>
      </c>
    </row>
    <row r="3373" spans="1:9" x14ac:dyDescent="0.25">
      <c r="A3373" t="s">
        <v>32</v>
      </c>
      <c r="B3373" t="s">
        <v>40</v>
      </c>
      <c r="C3373" t="s">
        <v>34</v>
      </c>
      <c r="D3373" t="s">
        <v>13</v>
      </c>
      <c r="E3373" t="s">
        <v>14</v>
      </c>
      <c r="F3373" t="s">
        <v>15</v>
      </c>
      <c r="G3373" t="s">
        <v>15</v>
      </c>
      <c r="H3373" t="s">
        <v>15</v>
      </c>
      <c r="I3373" s="1">
        <v>86269200</v>
      </c>
    </row>
    <row r="3374" spans="1:9" x14ac:dyDescent="0.25">
      <c r="A3374" t="s">
        <v>32</v>
      </c>
      <c r="B3374" t="s">
        <v>41</v>
      </c>
      <c r="C3374" t="s">
        <v>1326</v>
      </c>
      <c r="D3374" t="s">
        <v>13</v>
      </c>
      <c r="E3374" t="s">
        <v>14</v>
      </c>
      <c r="F3374" t="s">
        <v>15</v>
      </c>
      <c r="G3374" t="s">
        <v>15</v>
      </c>
      <c r="H3374" t="s">
        <v>15</v>
      </c>
      <c r="I3374" s="1">
        <v>2652330200</v>
      </c>
    </row>
    <row r="3375" spans="1:9" x14ac:dyDescent="0.25">
      <c r="A3375" t="str">
        <f>"70002"</f>
        <v>70002</v>
      </c>
      <c r="B3375" t="s">
        <v>11</v>
      </c>
      <c r="C3375" t="s">
        <v>659</v>
      </c>
      <c r="D3375" t="s">
        <v>13</v>
      </c>
      <c r="E3375" t="s">
        <v>14</v>
      </c>
      <c r="F3375" t="s">
        <v>15</v>
      </c>
      <c r="G3375" t="s">
        <v>15</v>
      </c>
      <c r="H3375" t="s">
        <v>15</v>
      </c>
      <c r="I3375" s="1">
        <v>718259200</v>
      </c>
    </row>
    <row r="3376" spans="1:9" x14ac:dyDescent="0.25">
      <c r="A3376" t="str">
        <f>"70004"</f>
        <v>70004</v>
      </c>
      <c r="B3376" t="s">
        <v>11</v>
      </c>
      <c r="C3376" t="s">
        <v>1327</v>
      </c>
      <c r="D3376" t="s">
        <v>13</v>
      </c>
      <c r="E3376" t="s">
        <v>14</v>
      </c>
      <c r="F3376" t="s">
        <v>15</v>
      </c>
      <c r="G3376" t="s">
        <v>15</v>
      </c>
      <c r="H3376" t="s">
        <v>15</v>
      </c>
      <c r="I3376" s="1">
        <v>311542700</v>
      </c>
    </row>
    <row r="3377" spans="1:9" x14ac:dyDescent="0.25">
      <c r="A3377" t="str">
        <f>"70006"</f>
        <v>70006</v>
      </c>
      <c r="B3377" t="s">
        <v>11</v>
      </c>
      <c r="C3377" t="s">
        <v>283</v>
      </c>
      <c r="D3377" t="s">
        <v>13</v>
      </c>
      <c r="E3377" t="s">
        <v>14</v>
      </c>
      <c r="F3377" t="s">
        <v>15</v>
      </c>
      <c r="G3377" t="s">
        <v>15</v>
      </c>
      <c r="H3377" t="s">
        <v>15</v>
      </c>
      <c r="I3377" s="1">
        <v>555961400</v>
      </c>
    </row>
    <row r="3378" spans="1:9" x14ac:dyDescent="0.25">
      <c r="A3378" t="str">
        <f>"70010"</f>
        <v>70010</v>
      </c>
      <c r="B3378" t="s">
        <v>11</v>
      </c>
      <c r="C3378" t="s">
        <v>1328</v>
      </c>
      <c r="D3378" t="s">
        <v>13</v>
      </c>
      <c r="E3378" t="s">
        <v>14</v>
      </c>
      <c r="F3378" t="s">
        <v>15</v>
      </c>
      <c r="G3378" t="s">
        <v>15</v>
      </c>
      <c r="H3378" t="s">
        <v>15</v>
      </c>
      <c r="I3378" s="1">
        <v>477922900</v>
      </c>
    </row>
    <row r="3379" spans="1:9" x14ac:dyDescent="0.25">
      <c r="A3379" t="str">
        <f>"70012"</f>
        <v>70012</v>
      </c>
      <c r="B3379" t="s">
        <v>11</v>
      </c>
      <c r="C3379" t="s">
        <v>1329</v>
      </c>
      <c r="D3379" t="s">
        <v>13</v>
      </c>
      <c r="E3379" t="s">
        <v>14</v>
      </c>
      <c r="F3379" t="s">
        <v>15</v>
      </c>
      <c r="G3379" t="s">
        <v>15</v>
      </c>
      <c r="H3379" t="s">
        <v>15</v>
      </c>
      <c r="I3379" s="1">
        <v>153494700</v>
      </c>
    </row>
    <row r="3380" spans="1:9" x14ac:dyDescent="0.25">
      <c r="A3380" t="str">
        <f>"70014"</f>
        <v>70014</v>
      </c>
      <c r="B3380" t="s">
        <v>11</v>
      </c>
      <c r="C3380" t="s">
        <v>1330</v>
      </c>
      <c r="D3380" t="s">
        <v>13</v>
      </c>
      <c r="E3380" t="s">
        <v>14</v>
      </c>
      <c r="F3380" t="s">
        <v>15</v>
      </c>
      <c r="G3380" t="s">
        <v>15</v>
      </c>
      <c r="H3380" t="s">
        <v>15</v>
      </c>
      <c r="I3380" s="1">
        <v>67492000</v>
      </c>
    </row>
    <row r="3381" spans="1:9" x14ac:dyDescent="0.25">
      <c r="A3381" t="str">
        <f>"70016"</f>
        <v>70016</v>
      </c>
      <c r="B3381" t="s">
        <v>11</v>
      </c>
      <c r="C3381" t="s">
        <v>1331</v>
      </c>
      <c r="D3381" t="s">
        <v>13</v>
      </c>
      <c r="E3381" t="s">
        <v>14</v>
      </c>
      <c r="F3381" t="s">
        <v>15</v>
      </c>
      <c r="G3381" t="s">
        <v>15</v>
      </c>
      <c r="H3381" t="s">
        <v>15</v>
      </c>
      <c r="I3381" s="1">
        <v>246582600</v>
      </c>
    </row>
    <row r="3382" spans="1:9" x14ac:dyDescent="0.25">
      <c r="A3382" t="str">
        <f>"70018"</f>
        <v>70018</v>
      </c>
      <c r="B3382" t="s">
        <v>11</v>
      </c>
      <c r="C3382" t="s">
        <v>1332</v>
      </c>
      <c r="D3382" t="s">
        <v>13</v>
      </c>
      <c r="E3382" t="s">
        <v>14</v>
      </c>
      <c r="F3382" t="s">
        <v>15</v>
      </c>
      <c r="G3382" t="s">
        <v>15</v>
      </c>
      <c r="H3382" t="s">
        <v>15</v>
      </c>
      <c r="I3382" s="1">
        <v>360717300</v>
      </c>
    </row>
    <row r="3383" spans="1:9" x14ac:dyDescent="0.25">
      <c r="A3383" t="str">
        <f>"70020"</f>
        <v>70020</v>
      </c>
      <c r="B3383" t="s">
        <v>11</v>
      </c>
      <c r="C3383" t="s">
        <v>1333</v>
      </c>
      <c r="D3383" t="s">
        <v>13</v>
      </c>
      <c r="E3383" t="s">
        <v>14</v>
      </c>
      <c r="F3383" t="s">
        <v>15</v>
      </c>
      <c r="G3383" t="s">
        <v>15</v>
      </c>
      <c r="H3383" t="s">
        <v>15</v>
      </c>
      <c r="I3383" s="1">
        <v>179982400</v>
      </c>
    </row>
    <row r="3384" spans="1:9" x14ac:dyDescent="0.25">
      <c r="A3384" t="str">
        <f>"70022"</f>
        <v>70022</v>
      </c>
      <c r="B3384" t="s">
        <v>11</v>
      </c>
      <c r="C3384" t="s">
        <v>1334</v>
      </c>
      <c r="D3384" t="s">
        <v>13</v>
      </c>
      <c r="E3384" t="s">
        <v>14</v>
      </c>
      <c r="F3384" t="s">
        <v>15</v>
      </c>
      <c r="G3384" t="s">
        <v>15</v>
      </c>
      <c r="H3384" t="s">
        <v>15</v>
      </c>
      <c r="I3384" s="1">
        <v>138972000</v>
      </c>
    </row>
    <row r="3385" spans="1:9" x14ac:dyDescent="0.25">
      <c r="A3385" t="str">
        <f>"70024"</f>
        <v>70024</v>
      </c>
      <c r="B3385" t="s">
        <v>11</v>
      </c>
      <c r="C3385" t="s">
        <v>290</v>
      </c>
      <c r="D3385" t="s">
        <v>13</v>
      </c>
      <c r="E3385" t="s">
        <v>14</v>
      </c>
      <c r="F3385" t="s">
        <v>15</v>
      </c>
      <c r="G3385" t="s">
        <v>15</v>
      </c>
      <c r="H3385" t="s">
        <v>15</v>
      </c>
      <c r="I3385" s="1">
        <v>149080400</v>
      </c>
    </row>
    <row r="3386" spans="1:9" x14ac:dyDescent="0.25">
      <c r="A3386" t="str">
        <f>"70026"</f>
        <v>70026</v>
      </c>
      <c r="B3386" t="s">
        <v>11</v>
      </c>
      <c r="C3386" t="s">
        <v>1335</v>
      </c>
      <c r="D3386" t="s">
        <v>13</v>
      </c>
      <c r="E3386" t="s">
        <v>14</v>
      </c>
      <c r="F3386" t="s">
        <v>15</v>
      </c>
      <c r="G3386" t="s">
        <v>15</v>
      </c>
      <c r="H3386" t="s">
        <v>15</v>
      </c>
      <c r="I3386" s="1">
        <v>256262300</v>
      </c>
    </row>
    <row r="3387" spans="1:9" x14ac:dyDescent="0.25">
      <c r="A3387" t="str">
        <f>"70028"</f>
        <v>70028</v>
      </c>
      <c r="B3387" t="s">
        <v>11</v>
      </c>
      <c r="C3387" t="s">
        <v>1234</v>
      </c>
      <c r="D3387" t="s">
        <v>13</v>
      </c>
      <c r="E3387" t="s">
        <v>14</v>
      </c>
      <c r="F3387" t="s">
        <v>15</v>
      </c>
      <c r="G3387" t="s">
        <v>15</v>
      </c>
      <c r="H3387" t="s">
        <v>15</v>
      </c>
      <c r="I3387" s="1">
        <v>177140700</v>
      </c>
    </row>
    <row r="3388" spans="1:9" x14ac:dyDescent="0.25">
      <c r="A3388" t="str">
        <f>"70030"</f>
        <v>70030</v>
      </c>
      <c r="B3388" t="s">
        <v>11</v>
      </c>
      <c r="C3388" t="s">
        <v>1336</v>
      </c>
      <c r="D3388" t="s">
        <v>13</v>
      </c>
      <c r="E3388" t="s">
        <v>14</v>
      </c>
      <c r="F3388" t="s">
        <v>15</v>
      </c>
      <c r="G3388" t="s">
        <v>15</v>
      </c>
      <c r="H3388" t="s">
        <v>15</v>
      </c>
      <c r="I3388" s="1">
        <v>376172000</v>
      </c>
    </row>
    <row r="3389" spans="1:9" x14ac:dyDescent="0.25">
      <c r="A3389" t="str">
        <f>"70032"</f>
        <v>70032</v>
      </c>
      <c r="B3389" t="s">
        <v>11</v>
      </c>
      <c r="C3389" t="s">
        <v>705</v>
      </c>
      <c r="D3389" t="s">
        <v>13</v>
      </c>
      <c r="E3389" t="s">
        <v>14</v>
      </c>
      <c r="F3389" t="s">
        <v>15</v>
      </c>
      <c r="G3389" t="s">
        <v>15</v>
      </c>
      <c r="H3389" t="s">
        <v>15</v>
      </c>
      <c r="I3389" s="1">
        <v>212725200</v>
      </c>
    </row>
    <row r="3390" spans="1:9" x14ac:dyDescent="0.25">
      <c r="A3390" t="s">
        <v>32</v>
      </c>
      <c r="B3390" t="s">
        <v>33</v>
      </c>
      <c r="C3390" t="s">
        <v>34</v>
      </c>
      <c r="D3390" t="s">
        <v>13</v>
      </c>
      <c r="E3390" t="s">
        <v>14</v>
      </c>
      <c r="F3390" t="s">
        <v>15</v>
      </c>
      <c r="G3390" t="s">
        <v>15</v>
      </c>
      <c r="H3390" t="s">
        <v>15</v>
      </c>
      <c r="I3390" s="1">
        <v>4382307800</v>
      </c>
    </row>
    <row r="3391" spans="1:9" x14ac:dyDescent="0.25">
      <c r="A3391" t="str">
        <f>"70121"</f>
        <v>70121</v>
      </c>
      <c r="B3391" t="s">
        <v>35</v>
      </c>
      <c r="C3391" t="s">
        <v>1337</v>
      </c>
      <c r="D3391" t="str">
        <f>"001"</f>
        <v>001</v>
      </c>
      <c r="E3391">
        <v>2015</v>
      </c>
      <c r="F3391">
        <v>2732300</v>
      </c>
      <c r="G3391">
        <v>27488400</v>
      </c>
      <c r="H3391">
        <v>24756100</v>
      </c>
    </row>
    <row r="3392" spans="1:9" x14ac:dyDescent="0.25">
      <c r="A3392" t="str">
        <f>"70121"</f>
        <v>70121</v>
      </c>
      <c r="B3392" t="s">
        <v>35</v>
      </c>
      <c r="C3392" t="s">
        <v>1337</v>
      </c>
      <c r="D3392" t="str">
        <f>"002"</f>
        <v>002</v>
      </c>
      <c r="E3392">
        <v>2016</v>
      </c>
      <c r="F3392">
        <v>29347400</v>
      </c>
      <c r="G3392">
        <v>37523700</v>
      </c>
      <c r="H3392">
        <v>8176300</v>
      </c>
    </row>
    <row r="3393" spans="1:9" x14ac:dyDescent="0.25">
      <c r="A3393" t="str">
        <f>"70121"</f>
        <v>70121</v>
      </c>
      <c r="B3393" t="s">
        <v>35</v>
      </c>
      <c r="C3393" t="s">
        <v>1337</v>
      </c>
      <c r="D3393" t="str">
        <f>"003"</f>
        <v>003</v>
      </c>
      <c r="E3393">
        <v>2017</v>
      </c>
      <c r="F3393">
        <v>20000</v>
      </c>
      <c r="G3393">
        <v>30959700</v>
      </c>
      <c r="H3393">
        <v>30939700</v>
      </c>
    </row>
    <row r="3394" spans="1:9" x14ac:dyDescent="0.25">
      <c r="A3394" t="str">
        <f>"70121"</f>
        <v>70121</v>
      </c>
      <c r="B3394" t="s">
        <v>35</v>
      </c>
      <c r="C3394" t="s">
        <v>1337</v>
      </c>
      <c r="D3394" t="str">
        <f>"004"</f>
        <v>004</v>
      </c>
      <c r="E3394">
        <v>2018</v>
      </c>
      <c r="F3394">
        <v>542900</v>
      </c>
      <c r="G3394">
        <v>522100</v>
      </c>
      <c r="H3394">
        <v>0</v>
      </c>
    </row>
    <row r="3395" spans="1:9" x14ac:dyDescent="0.25">
      <c r="A3395" t="str">
        <f>"70121"</f>
        <v>70121</v>
      </c>
      <c r="B3395" t="s">
        <v>35</v>
      </c>
      <c r="C3395" t="s">
        <v>1337</v>
      </c>
      <c r="D3395" t="s">
        <v>13</v>
      </c>
      <c r="E3395" t="s">
        <v>14</v>
      </c>
      <c r="F3395" t="s">
        <v>15</v>
      </c>
      <c r="G3395" t="s">
        <v>15</v>
      </c>
      <c r="H3395" t="s">
        <v>15</v>
      </c>
      <c r="I3395" s="1">
        <v>1756485700</v>
      </c>
    </row>
    <row r="3396" spans="1:9" x14ac:dyDescent="0.25">
      <c r="A3396" t="str">
        <f t="shared" ref="A3396:A3401" si="75">"70191"</f>
        <v>70191</v>
      </c>
      <c r="B3396" t="s">
        <v>35</v>
      </c>
      <c r="C3396" t="s">
        <v>1336</v>
      </c>
      <c r="D3396" t="str">
        <f>"003"</f>
        <v>003</v>
      </c>
      <c r="E3396">
        <v>1996</v>
      </c>
      <c r="F3396">
        <v>4646300</v>
      </c>
      <c r="G3396">
        <v>6317800</v>
      </c>
      <c r="H3396">
        <v>1671500</v>
      </c>
    </row>
    <row r="3397" spans="1:9" x14ac:dyDescent="0.25">
      <c r="A3397" t="str">
        <f t="shared" si="75"/>
        <v>70191</v>
      </c>
      <c r="B3397" t="s">
        <v>35</v>
      </c>
      <c r="C3397" t="s">
        <v>1336</v>
      </c>
      <c r="D3397" t="str">
        <f>"005"</f>
        <v>005</v>
      </c>
      <c r="E3397">
        <v>2000</v>
      </c>
      <c r="F3397">
        <v>4751600</v>
      </c>
      <c r="G3397">
        <v>12633300</v>
      </c>
      <c r="H3397">
        <v>7881700</v>
      </c>
    </row>
    <row r="3398" spans="1:9" x14ac:dyDescent="0.25">
      <c r="A3398" t="str">
        <f t="shared" si="75"/>
        <v>70191</v>
      </c>
      <c r="B3398" t="s">
        <v>35</v>
      </c>
      <c r="C3398" t="s">
        <v>1336</v>
      </c>
      <c r="D3398" t="str">
        <f>"006"</f>
        <v>006</v>
      </c>
      <c r="E3398">
        <v>2000</v>
      </c>
      <c r="F3398">
        <v>829500</v>
      </c>
      <c r="G3398">
        <v>4882500</v>
      </c>
      <c r="H3398">
        <v>4053000</v>
      </c>
    </row>
    <row r="3399" spans="1:9" x14ac:dyDescent="0.25">
      <c r="A3399" t="str">
        <f t="shared" si="75"/>
        <v>70191</v>
      </c>
      <c r="B3399" t="s">
        <v>35</v>
      </c>
      <c r="C3399" t="s">
        <v>1336</v>
      </c>
      <c r="D3399" t="str">
        <f>"007"</f>
        <v>007</v>
      </c>
      <c r="E3399">
        <v>2002</v>
      </c>
      <c r="F3399">
        <v>2070300</v>
      </c>
      <c r="G3399">
        <v>7525700</v>
      </c>
      <c r="H3399">
        <v>5455400</v>
      </c>
    </row>
    <row r="3400" spans="1:9" x14ac:dyDescent="0.25">
      <c r="A3400" t="str">
        <f t="shared" si="75"/>
        <v>70191</v>
      </c>
      <c r="B3400" t="s">
        <v>35</v>
      </c>
      <c r="C3400" t="s">
        <v>1336</v>
      </c>
      <c r="D3400" t="str">
        <f>"008"</f>
        <v>008</v>
      </c>
      <c r="E3400">
        <v>2011</v>
      </c>
      <c r="F3400">
        <v>0</v>
      </c>
      <c r="G3400">
        <v>1851400</v>
      </c>
      <c r="H3400">
        <v>1851400</v>
      </c>
    </row>
    <row r="3401" spans="1:9" x14ac:dyDescent="0.25">
      <c r="A3401" t="str">
        <f t="shared" si="75"/>
        <v>70191</v>
      </c>
      <c r="B3401" t="s">
        <v>35</v>
      </c>
      <c r="C3401" t="s">
        <v>1336</v>
      </c>
      <c r="D3401" t="s">
        <v>13</v>
      </c>
      <c r="E3401" t="s">
        <v>14</v>
      </c>
      <c r="F3401" t="s">
        <v>15</v>
      </c>
      <c r="G3401" t="s">
        <v>15</v>
      </c>
      <c r="H3401" t="s">
        <v>15</v>
      </c>
      <c r="I3401" s="1">
        <v>201659300</v>
      </c>
    </row>
    <row r="3402" spans="1:9" x14ac:dyDescent="0.25">
      <c r="A3402" t="s">
        <v>32</v>
      </c>
      <c r="B3402" t="s">
        <v>37</v>
      </c>
      <c r="C3402" t="s">
        <v>34</v>
      </c>
      <c r="D3402" t="s">
        <v>13</v>
      </c>
      <c r="E3402" t="s">
        <v>14</v>
      </c>
      <c r="F3402" t="s">
        <v>15</v>
      </c>
      <c r="G3402" t="s">
        <v>15</v>
      </c>
      <c r="H3402" t="s">
        <v>15</v>
      </c>
      <c r="I3402" s="1">
        <v>1958145000</v>
      </c>
    </row>
    <row r="3403" spans="1:9" x14ac:dyDescent="0.25">
      <c r="A3403" t="str">
        <f>"70201"</f>
        <v>70201</v>
      </c>
      <c r="B3403" t="s">
        <v>38</v>
      </c>
      <c r="C3403" t="s">
        <v>183</v>
      </c>
      <c r="D3403" t="str">
        <f>"007"</f>
        <v>007</v>
      </c>
      <c r="E3403">
        <v>2007</v>
      </c>
      <c r="F3403">
        <v>25657000</v>
      </c>
      <c r="G3403">
        <v>39089800</v>
      </c>
      <c r="H3403">
        <v>13432800</v>
      </c>
    </row>
    <row r="3404" spans="1:9" x14ac:dyDescent="0.25">
      <c r="A3404" t="str">
        <f>"70201"</f>
        <v>70201</v>
      </c>
      <c r="B3404" t="s">
        <v>38</v>
      </c>
      <c r="C3404" t="s">
        <v>183</v>
      </c>
      <c r="D3404" t="s">
        <v>13</v>
      </c>
      <c r="E3404" t="s">
        <v>14</v>
      </c>
      <c r="F3404" t="s">
        <v>15</v>
      </c>
      <c r="G3404" t="s">
        <v>15</v>
      </c>
      <c r="H3404" t="s">
        <v>15</v>
      </c>
      <c r="I3404" s="1">
        <v>75103300</v>
      </c>
    </row>
    <row r="3405" spans="1:9" x14ac:dyDescent="0.25">
      <c r="A3405" t="str">
        <f t="shared" ref="A3405:A3412" si="76">"70251"</f>
        <v>70251</v>
      </c>
      <c r="B3405" t="s">
        <v>38</v>
      </c>
      <c r="C3405" t="s">
        <v>186</v>
      </c>
      <c r="D3405" t="str">
        <f>"004"</f>
        <v>004</v>
      </c>
      <c r="E3405">
        <v>1997</v>
      </c>
      <c r="F3405">
        <v>4196000</v>
      </c>
      <c r="G3405">
        <v>7954400</v>
      </c>
      <c r="H3405">
        <v>3758400</v>
      </c>
    </row>
    <row r="3406" spans="1:9" x14ac:dyDescent="0.25">
      <c r="A3406" t="str">
        <f t="shared" si="76"/>
        <v>70251</v>
      </c>
      <c r="B3406" t="s">
        <v>38</v>
      </c>
      <c r="C3406" t="s">
        <v>186</v>
      </c>
      <c r="D3406" t="str">
        <f>"006"</f>
        <v>006</v>
      </c>
      <c r="E3406">
        <v>1998</v>
      </c>
      <c r="F3406">
        <v>5568800</v>
      </c>
      <c r="G3406">
        <v>24608100</v>
      </c>
      <c r="H3406">
        <v>19039300</v>
      </c>
    </row>
    <row r="3407" spans="1:9" x14ac:dyDescent="0.25">
      <c r="A3407" t="str">
        <f t="shared" si="76"/>
        <v>70251</v>
      </c>
      <c r="B3407" t="s">
        <v>38</v>
      </c>
      <c r="C3407" t="s">
        <v>186</v>
      </c>
      <c r="D3407" t="str">
        <f>"007"</f>
        <v>007</v>
      </c>
      <c r="E3407">
        <v>2003</v>
      </c>
      <c r="F3407">
        <v>687300</v>
      </c>
      <c r="G3407">
        <v>5257600</v>
      </c>
      <c r="H3407">
        <v>4570300</v>
      </c>
    </row>
    <row r="3408" spans="1:9" x14ac:dyDescent="0.25">
      <c r="A3408" t="str">
        <f t="shared" si="76"/>
        <v>70251</v>
      </c>
      <c r="B3408" t="s">
        <v>38</v>
      </c>
      <c r="C3408" t="s">
        <v>186</v>
      </c>
      <c r="D3408" t="str">
        <f>"008"</f>
        <v>008</v>
      </c>
      <c r="E3408">
        <v>2005</v>
      </c>
      <c r="F3408">
        <v>484500</v>
      </c>
      <c r="G3408">
        <v>4075200</v>
      </c>
      <c r="H3408">
        <v>3590700</v>
      </c>
    </row>
    <row r="3409" spans="1:9" x14ac:dyDescent="0.25">
      <c r="A3409" t="str">
        <f t="shared" si="76"/>
        <v>70251</v>
      </c>
      <c r="B3409" t="s">
        <v>38</v>
      </c>
      <c r="C3409" t="s">
        <v>186</v>
      </c>
      <c r="D3409" t="str">
        <f>"010"</f>
        <v>010</v>
      </c>
      <c r="E3409">
        <v>2006</v>
      </c>
      <c r="F3409">
        <v>9701900</v>
      </c>
      <c r="G3409">
        <v>12176400</v>
      </c>
      <c r="H3409">
        <v>2474500</v>
      </c>
    </row>
    <row r="3410" spans="1:9" x14ac:dyDescent="0.25">
      <c r="A3410" t="str">
        <f t="shared" si="76"/>
        <v>70251</v>
      </c>
      <c r="B3410" t="s">
        <v>38</v>
      </c>
      <c r="C3410" t="s">
        <v>186</v>
      </c>
      <c r="D3410" t="str">
        <f>"011"</f>
        <v>011</v>
      </c>
      <c r="E3410">
        <v>2007</v>
      </c>
      <c r="F3410">
        <v>284900</v>
      </c>
      <c r="G3410">
        <v>3544000</v>
      </c>
      <c r="H3410">
        <v>3259100</v>
      </c>
    </row>
    <row r="3411" spans="1:9" x14ac:dyDescent="0.25">
      <c r="A3411" t="str">
        <f t="shared" si="76"/>
        <v>70251</v>
      </c>
      <c r="B3411" t="s">
        <v>38</v>
      </c>
      <c r="C3411" t="s">
        <v>186</v>
      </c>
      <c r="D3411" t="str">
        <f>"013"</f>
        <v>013</v>
      </c>
      <c r="E3411">
        <v>2015</v>
      </c>
      <c r="F3411">
        <v>248200</v>
      </c>
      <c r="G3411">
        <v>17127300</v>
      </c>
      <c r="H3411">
        <v>16879100</v>
      </c>
    </row>
    <row r="3412" spans="1:9" x14ac:dyDescent="0.25">
      <c r="A3412" t="str">
        <f t="shared" si="76"/>
        <v>70251</v>
      </c>
      <c r="B3412" t="s">
        <v>38</v>
      </c>
      <c r="C3412" t="s">
        <v>186</v>
      </c>
      <c r="D3412" t="s">
        <v>13</v>
      </c>
      <c r="E3412" t="s">
        <v>14</v>
      </c>
      <c r="F3412" t="s">
        <v>15</v>
      </c>
      <c r="G3412" t="s">
        <v>15</v>
      </c>
      <c r="H3412" t="s">
        <v>15</v>
      </c>
      <c r="I3412" s="1">
        <v>850199500</v>
      </c>
    </row>
    <row r="3413" spans="1:9" x14ac:dyDescent="0.25">
      <c r="A3413" t="str">
        <f t="shared" ref="A3413:A3420" si="77">"70261"</f>
        <v>70261</v>
      </c>
      <c r="B3413" t="s">
        <v>38</v>
      </c>
      <c r="C3413" t="s">
        <v>1328</v>
      </c>
      <c r="D3413" t="str">
        <f>"005"</f>
        <v>005</v>
      </c>
      <c r="E3413">
        <v>1993</v>
      </c>
      <c r="F3413">
        <v>13458200</v>
      </c>
      <c r="G3413">
        <v>29636400</v>
      </c>
      <c r="H3413">
        <v>16178200</v>
      </c>
    </row>
    <row r="3414" spans="1:9" x14ac:dyDescent="0.25">
      <c r="A3414" t="str">
        <f t="shared" si="77"/>
        <v>70261</v>
      </c>
      <c r="B3414" t="s">
        <v>38</v>
      </c>
      <c r="C3414" t="s">
        <v>1328</v>
      </c>
      <c r="D3414" t="str">
        <f>"006"</f>
        <v>006</v>
      </c>
      <c r="E3414">
        <v>1997</v>
      </c>
      <c r="F3414">
        <v>2869600</v>
      </c>
      <c r="G3414">
        <v>31040000</v>
      </c>
      <c r="H3414">
        <v>28170400</v>
      </c>
    </row>
    <row r="3415" spans="1:9" x14ac:dyDescent="0.25">
      <c r="A3415" t="str">
        <f t="shared" si="77"/>
        <v>70261</v>
      </c>
      <c r="B3415" t="s">
        <v>38</v>
      </c>
      <c r="C3415" t="s">
        <v>1328</v>
      </c>
      <c r="D3415" t="str">
        <f>"007"</f>
        <v>007</v>
      </c>
      <c r="E3415">
        <v>2000</v>
      </c>
      <c r="F3415">
        <v>39227000</v>
      </c>
      <c r="G3415">
        <v>128868200</v>
      </c>
      <c r="H3415">
        <v>89641200</v>
      </c>
    </row>
    <row r="3416" spans="1:9" x14ac:dyDescent="0.25">
      <c r="A3416" t="str">
        <f t="shared" si="77"/>
        <v>70261</v>
      </c>
      <c r="B3416" t="s">
        <v>38</v>
      </c>
      <c r="C3416" t="s">
        <v>1328</v>
      </c>
      <c r="D3416" t="str">
        <f>"008"</f>
        <v>008</v>
      </c>
      <c r="E3416">
        <v>2001</v>
      </c>
      <c r="F3416">
        <v>14743600</v>
      </c>
      <c r="G3416">
        <v>66375100</v>
      </c>
      <c r="H3416">
        <v>51631500</v>
      </c>
    </row>
    <row r="3417" spans="1:9" x14ac:dyDescent="0.25">
      <c r="A3417" t="str">
        <f t="shared" si="77"/>
        <v>70261</v>
      </c>
      <c r="B3417" t="s">
        <v>38</v>
      </c>
      <c r="C3417" t="s">
        <v>1328</v>
      </c>
      <c r="D3417" t="str">
        <f>"009"</f>
        <v>009</v>
      </c>
      <c r="E3417">
        <v>2015</v>
      </c>
      <c r="F3417">
        <v>10327400</v>
      </c>
      <c r="G3417">
        <v>19911500</v>
      </c>
      <c r="H3417">
        <v>9584100</v>
      </c>
    </row>
    <row r="3418" spans="1:9" x14ac:dyDescent="0.25">
      <c r="A3418" t="str">
        <f t="shared" si="77"/>
        <v>70261</v>
      </c>
      <c r="B3418" t="s">
        <v>38</v>
      </c>
      <c r="C3418" t="s">
        <v>1328</v>
      </c>
      <c r="D3418" t="str">
        <f>"010"</f>
        <v>010</v>
      </c>
      <c r="E3418">
        <v>2015</v>
      </c>
      <c r="F3418">
        <v>3681600</v>
      </c>
      <c r="G3418">
        <v>18390500</v>
      </c>
      <c r="H3418">
        <v>14708900</v>
      </c>
    </row>
    <row r="3419" spans="1:9" x14ac:dyDescent="0.25">
      <c r="A3419" t="str">
        <f t="shared" si="77"/>
        <v>70261</v>
      </c>
      <c r="B3419" t="s">
        <v>38</v>
      </c>
      <c r="C3419" t="s">
        <v>1328</v>
      </c>
      <c r="D3419" t="str">
        <f>"011"</f>
        <v>011</v>
      </c>
      <c r="E3419">
        <v>2017</v>
      </c>
      <c r="F3419">
        <v>117700</v>
      </c>
      <c r="G3419">
        <v>6894100</v>
      </c>
      <c r="H3419">
        <v>6776400</v>
      </c>
    </row>
    <row r="3420" spans="1:9" x14ac:dyDescent="0.25">
      <c r="A3420" t="str">
        <f t="shared" si="77"/>
        <v>70261</v>
      </c>
      <c r="B3420" t="s">
        <v>38</v>
      </c>
      <c r="C3420" t="s">
        <v>1328</v>
      </c>
      <c r="D3420" t="s">
        <v>13</v>
      </c>
      <c r="E3420" t="s">
        <v>14</v>
      </c>
      <c r="F3420" t="s">
        <v>15</v>
      </c>
      <c r="G3420" t="s">
        <v>15</v>
      </c>
      <c r="H3420" t="s">
        <v>15</v>
      </c>
      <c r="I3420" s="1">
        <v>2157469200</v>
      </c>
    </row>
    <row r="3421" spans="1:9" x14ac:dyDescent="0.25">
      <c r="A3421" t="str">
        <f>"70265"</f>
        <v>70265</v>
      </c>
      <c r="B3421" t="s">
        <v>38</v>
      </c>
      <c r="C3421" t="s">
        <v>1331</v>
      </c>
      <c r="D3421" t="str">
        <f>"007"</f>
        <v>007</v>
      </c>
      <c r="E3421">
        <v>2017</v>
      </c>
      <c r="F3421">
        <v>4338300</v>
      </c>
      <c r="G3421">
        <v>6484700</v>
      </c>
      <c r="H3421">
        <v>2146400</v>
      </c>
    </row>
    <row r="3422" spans="1:9" x14ac:dyDescent="0.25">
      <c r="A3422" t="str">
        <f>"70265"</f>
        <v>70265</v>
      </c>
      <c r="B3422" t="s">
        <v>38</v>
      </c>
      <c r="C3422" t="s">
        <v>1331</v>
      </c>
      <c r="D3422" t="s">
        <v>13</v>
      </c>
      <c r="E3422" t="s">
        <v>14</v>
      </c>
      <c r="F3422" t="s">
        <v>15</v>
      </c>
      <c r="G3422" t="s">
        <v>15</v>
      </c>
      <c r="H3422" t="s">
        <v>15</v>
      </c>
      <c r="I3422" s="1">
        <v>197622900</v>
      </c>
    </row>
    <row r="3423" spans="1:9" x14ac:dyDescent="0.25">
      <c r="A3423" t="str">
        <f t="shared" ref="A3423:A3448" si="78">"70266"</f>
        <v>70266</v>
      </c>
      <c r="B3423" t="s">
        <v>38</v>
      </c>
      <c r="C3423" t="s">
        <v>1332</v>
      </c>
      <c r="D3423" t="str">
        <f>"010"</f>
        <v>010</v>
      </c>
      <c r="E3423">
        <v>1993</v>
      </c>
      <c r="F3423">
        <v>600300</v>
      </c>
      <c r="G3423">
        <v>1113700</v>
      </c>
      <c r="H3423">
        <v>513400</v>
      </c>
    </row>
    <row r="3424" spans="1:9" x14ac:dyDescent="0.25">
      <c r="A3424" t="str">
        <f t="shared" si="78"/>
        <v>70266</v>
      </c>
      <c r="B3424" t="s">
        <v>38</v>
      </c>
      <c r="C3424" t="s">
        <v>1332</v>
      </c>
      <c r="D3424" t="str">
        <f>"011"</f>
        <v>011</v>
      </c>
      <c r="E3424">
        <v>1995</v>
      </c>
      <c r="F3424">
        <v>486300</v>
      </c>
      <c r="G3424">
        <v>890900</v>
      </c>
      <c r="H3424">
        <v>404600</v>
      </c>
    </row>
    <row r="3425" spans="1:8" x14ac:dyDescent="0.25">
      <c r="A3425" t="str">
        <f t="shared" si="78"/>
        <v>70266</v>
      </c>
      <c r="B3425" t="s">
        <v>38</v>
      </c>
      <c r="C3425" t="s">
        <v>1332</v>
      </c>
      <c r="D3425" t="str">
        <f>"012"</f>
        <v>012</v>
      </c>
      <c r="E3425">
        <v>1997</v>
      </c>
      <c r="F3425">
        <v>1715400</v>
      </c>
      <c r="G3425">
        <v>6497400</v>
      </c>
      <c r="H3425">
        <v>4782000</v>
      </c>
    </row>
    <row r="3426" spans="1:8" x14ac:dyDescent="0.25">
      <c r="A3426" t="str">
        <f t="shared" si="78"/>
        <v>70266</v>
      </c>
      <c r="B3426" t="s">
        <v>38</v>
      </c>
      <c r="C3426" t="s">
        <v>1332</v>
      </c>
      <c r="D3426" t="str">
        <f>"013"</f>
        <v>013</v>
      </c>
      <c r="E3426">
        <v>1998</v>
      </c>
      <c r="F3426">
        <v>5869100</v>
      </c>
      <c r="G3426">
        <v>16455300</v>
      </c>
      <c r="H3426">
        <v>10586200</v>
      </c>
    </row>
    <row r="3427" spans="1:8" x14ac:dyDescent="0.25">
      <c r="A3427" t="str">
        <f t="shared" si="78"/>
        <v>70266</v>
      </c>
      <c r="B3427" t="s">
        <v>38</v>
      </c>
      <c r="C3427" t="s">
        <v>1332</v>
      </c>
      <c r="D3427" t="str">
        <f>"014"</f>
        <v>014</v>
      </c>
      <c r="E3427">
        <v>2000</v>
      </c>
      <c r="F3427">
        <v>558400</v>
      </c>
      <c r="G3427">
        <v>20609500</v>
      </c>
      <c r="H3427">
        <v>20051100</v>
      </c>
    </row>
    <row r="3428" spans="1:8" x14ac:dyDescent="0.25">
      <c r="A3428" t="str">
        <f t="shared" si="78"/>
        <v>70266</v>
      </c>
      <c r="B3428" t="s">
        <v>38</v>
      </c>
      <c r="C3428" t="s">
        <v>1332</v>
      </c>
      <c r="D3428" t="str">
        <f>"015"</f>
        <v>015</v>
      </c>
      <c r="E3428">
        <v>2001</v>
      </c>
      <c r="F3428">
        <v>564900</v>
      </c>
      <c r="G3428">
        <v>8605800</v>
      </c>
      <c r="H3428">
        <v>8040900</v>
      </c>
    </row>
    <row r="3429" spans="1:8" x14ac:dyDescent="0.25">
      <c r="A3429" t="str">
        <f t="shared" si="78"/>
        <v>70266</v>
      </c>
      <c r="B3429" t="s">
        <v>38</v>
      </c>
      <c r="C3429" t="s">
        <v>1332</v>
      </c>
      <c r="D3429" t="str">
        <f>"016"</f>
        <v>016</v>
      </c>
      <c r="E3429">
        <v>2001</v>
      </c>
      <c r="F3429">
        <v>0</v>
      </c>
      <c r="G3429">
        <v>5138300</v>
      </c>
      <c r="H3429">
        <v>5138300</v>
      </c>
    </row>
    <row r="3430" spans="1:8" x14ac:dyDescent="0.25">
      <c r="A3430" t="str">
        <f t="shared" si="78"/>
        <v>70266</v>
      </c>
      <c r="B3430" t="s">
        <v>38</v>
      </c>
      <c r="C3430" t="s">
        <v>1332</v>
      </c>
      <c r="D3430" t="str">
        <f>"017"</f>
        <v>017</v>
      </c>
      <c r="E3430">
        <v>2001</v>
      </c>
      <c r="F3430">
        <v>2210600</v>
      </c>
      <c r="G3430">
        <v>12899100</v>
      </c>
      <c r="H3430">
        <v>10688500</v>
      </c>
    </row>
    <row r="3431" spans="1:8" x14ac:dyDescent="0.25">
      <c r="A3431" t="str">
        <f t="shared" si="78"/>
        <v>70266</v>
      </c>
      <c r="B3431" t="s">
        <v>38</v>
      </c>
      <c r="C3431" t="s">
        <v>1332</v>
      </c>
      <c r="D3431" t="str">
        <f>"018"</f>
        <v>018</v>
      </c>
      <c r="E3431">
        <v>2002</v>
      </c>
      <c r="F3431">
        <v>51300</v>
      </c>
      <c r="G3431">
        <v>17595500</v>
      </c>
      <c r="H3431">
        <v>17544200</v>
      </c>
    </row>
    <row r="3432" spans="1:8" x14ac:dyDescent="0.25">
      <c r="A3432" t="str">
        <f t="shared" si="78"/>
        <v>70266</v>
      </c>
      <c r="B3432" t="s">
        <v>38</v>
      </c>
      <c r="C3432" t="s">
        <v>1332</v>
      </c>
      <c r="D3432" t="str">
        <f>"019"</f>
        <v>019</v>
      </c>
      <c r="E3432">
        <v>2003</v>
      </c>
      <c r="F3432">
        <v>104200</v>
      </c>
      <c r="G3432">
        <v>8886700</v>
      </c>
      <c r="H3432">
        <v>8782500</v>
      </c>
    </row>
    <row r="3433" spans="1:8" x14ac:dyDescent="0.25">
      <c r="A3433" t="str">
        <f t="shared" si="78"/>
        <v>70266</v>
      </c>
      <c r="B3433" t="s">
        <v>38</v>
      </c>
      <c r="C3433" t="s">
        <v>1332</v>
      </c>
      <c r="D3433" t="str">
        <f>"020"</f>
        <v>020</v>
      </c>
      <c r="E3433">
        <v>2005</v>
      </c>
      <c r="F3433">
        <v>20815500</v>
      </c>
      <c r="G3433">
        <v>15060800</v>
      </c>
      <c r="H3433">
        <v>0</v>
      </c>
    </row>
    <row r="3434" spans="1:8" x14ac:dyDescent="0.25">
      <c r="A3434" t="str">
        <f t="shared" si="78"/>
        <v>70266</v>
      </c>
      <c r="B3434" t="s">
        <v>38</v>
      </c>
      <c r="C3434" t="s">
        <v>1332</v>
      </c>
      <c r="D3434" t="str">
        <f>"021"</f>
        <v>021</v>
      </c>
      <c r="E3434">
        <v>2006</v>
      </c>
      <c r="F3434">
        <v>1954900</v>
      </c>
      <c r="G3434">
        <v>19196400</v>
      </c>
      <c r="H3434">
        <v>17241500</v>
      </c>
    </row>
    <row r="3435" spans="1:8" x14ac:dyDescent="0.25">
      <c r="A3435" t="str">
        <f t="shared" si="78"/>
        <v>70266</v>
      </c>
      <c r="B3435" t="s">
        <v>38</v>
      </c>
      <c r="C3435" t="s">
        <v>1332</v>
      </c>
      <c r="D3435" t="str">
        <f>"023"</f>
        <v>023</v>
      </c>
      <c r="E3435">
        <v>2009</v>
      </c>
      <c r="F3435">
        <v>233700</v>
      </c>
      <c r="G3435">
        <v>0</v>
      </c>
      <c r="H3435">
        <v>0</v>
      </c>
    </row>
    <row r="3436" spans="1:8" x14ac:dyDescent="0.25">
      <c r="A3436" t="str">
        <f t="shared" si="78"/>
        <v>70266</v>
      </c>
      <c r="B3436" t="s">
        <v>38</v>
      </c>
      <c r="C3436" t="s">
        <v>1332</v>
      </c>
      <c r="D3436" t="str">
        <f>"024"</f>
        <v>024</v>
      </c>
      <c r="E3436">
        <v>2010</v>
      </c>
      <c r="F3436">
        <v>8464900</v>
      </c>
      <c r="G3436">
        <v>19906800</v>
      </c>
      <c r="H3436">
        <v>11441900</v>
      </c>
    </row>
    <row r="3437" spans="1:8" x14ac:dyDescent="0.25">
      <c r="A3437" t="str">
        <f t="shared" si="78"/>
        <v>70266</v>
      </c>
      <c r="B3437" t="s">
        <v>38</v>
      </c>
      <c r="C3437" t="s">
        <v>1332</v>
      </c>
      <c r="D3437" t="str">
        <f>"025"</f>
        <v>025</v>
      </c>
      <c r="E3437">
        <v>2012</v>
      </c>
      <c r="F3437">
        <v>1050800</v>
      </c>
      <c r="G3437">
        <v>11081400</v>
      </c>
      <c r="H3437">
        <v>10030600</v>
      </c>
    </row>
    <row r="3438" spans="1:8" x14ac:dyDescent="0.25">
      <c r="A3438" t="str">
        <f t="shared" si="78"/>
        <v>70266</v>
      </c>
      <c r="B3438" t="s">
        <v>38</v>
      </c>
      <c r="C3438" t="s">
        <v>1332</v>
      </c>
      <c r="D3438" t="str">
        <f>"026"</f>
        <v>026</v>
      </c>
      <c r="E3438">
        <v>2013</v>
      </c>
      <c r="F3438">
        <v>29400</v>
      </c>
      <c r="G3438">
        <v>0</v>
      </c>
      <c r="H3438">
        <v>0</v>
      </c>
    </row>
    <row r="3439" spans="1:8" x14ac:dyDescent="0.25">
      <c r="A3439" t="str">
        <f t="shared" si="78"/>
        <v>70266</v>
      </c>
      <c r="B3439" t="s">
        <v>38</v>
      </c>
      <c r="C3439" t="s">
        <v>1332</v>
      </c>
      <c r="D3439" t="str">
        <f>"027"</f>
        <v>027</v>
      </c>
      <c r="E3439">
        <v>2014</v>
      </c>
      <c r="F3439">
        <v>58230300</v>
      </c>
      <c r="G3439">
        <v>65242000</v>
      </c>
      <c r="H3439">
        <v>7011700</v>
      </c>
    </row>
    <row r="3440" spans="1:8" x14ac:dyDescent="0.25">
      <c r="A3440" t="str">
        <f t="shared" si="78"/>
        <v>70266</v>
      </c>
      <c r="B3440" t="s">
        <v>38</v>
      </c>
      <c r="C3440" t="s">
        <v>1332</v>
      </c>
      <c r="D3440" t="str">
        <f>"028"</f>
        <v>028</v>
      </c>
      <c r="E3440">
        <v>2016</v>
      </c>
      <c r="F3440">
        <v>575700</v>
      </c>
      <c r="G3440">
        <v>2391900</v>
      </c>
      <c r="H3440">
        <v>1816200</v>
      </c>
    </row>
    <row r="3441" spans="1:9" x14ac:dyDescent="0.25">
      <c r="A3441" t="str">
        <f t="shared" si="78"/>
        <v>70266</v>
      </c>
      <c r="B3441" t="s">
        <v>38</v>
      </c>
      <c r="C3441" t="s">
        <v>1332</v>
      </c>
      <c r="D3441" t="str">
        <f>"029"</f>
        <v>029</v>
      </c>
      <c r="E3441">
        <v>2016</v>
      </c>
      <c r="F3441">
        <v>1268100</v>
      </c>
      <c r="G3441">
        <v>1486500</v>
      </c>
      <c r="H3441">
        <v>218400</v>
      </c>
    </row>
    <row r="3442" spans="1:9" x14ac:dyDescent="0.25">
      <c r="A3442" t="str">
        <f t="shared" si="78"/>
        <v>70266</v>
      </c>
      <c r="B3442" t="s">
        <v>38</v>
      </c>
      <c r="C3442" t="s">
        <v>1332</v>
      </c>
      <c r="D3442" t="str">
        <f>"030"</f>
        <v>030</v>
      </c>
      <c r="E3442">
        <v>2016</v>
      </c>
      <c r="F3442">
        <v>570500</v>
      </c>
      <c r="G3442">
        <v>2258300</v>
      </c>
      <c r="H3442">
        <v>1687800</v>
      </c>
    </row>
    <row r="3443" spans="1:9" x14ac:dyDescent="0.25">
      <c r="A3443" t="str">
        <f t="shared" si="78"/>
        <v>70266</v>
      </c>
      <c r="B3443" t="s">
        <v>38</v>
      </c>
      <c r="C3443" t="s">
        <v>1332</v>
      </c>
      <c r="D3443" t="str">
        <f>"031"</f>
        <v>031</v>
      </c>
      <c r="E3443">
        <v>2017</v>
      </c>
      <c r="F3443">
        <v>143600</v>
      </c>
      <c r="G3443">
        <v>19384900</v>
      </c>
      <c r="H3443">
        <v>19241300</v>
      </c>
    </row>
    <row r="3444" spans="1:9" x14ac:dyDescent="0.25">
      <c r="A3444" t="str">
        <f t="shared" si="78"/>
        <v>70266</v>
      </c>
      <c r="B3444" t="s">
        <v>38</v>
      </c>
      <c r="C3444" t="s">
        <v>1332</v>
      </c>
      <c r="D3444" t="str">
        <f>"032"</f>
        <v>032</v>
      </c>
      <c r="E3444">
        <v>2017</v>
      </c>
      <c r="F3444">
        <v>115900</v>
      </c>
      <c r="G3444">
        <v>591900</v>
      </c>
      <c r="H3444">
        <v>476000</v>
      </c>
    </row>
    <row r="3445" spans="1:9" x14ac:dyDescent="0.25">
      <c r="A3445" t="str">
        <f t="shared" si="78"/>
        <v>70266</v>
      </c>
      <c r="B3445" t="s">
        <v>38</v>
      </c>
      <c r="C3445" t="s">
        <v>1332</v>
      </c>
      <c r="D3445" t="str">
        <f>"033"</f>
        <v>033</v>
      </c>
      <c r="E3445">
        <v>2017</v>
      </c>
      <c r="F3445">
        <v>746100</v>
      </c>
      <c r="G3445">
        <v>11409600</v>
      </c>
      <c r="H3445">
        <v>10663500</v>
      </c>
    </row>
    <row r="3446" spans="1:9" x14ac:dyDescent="0.25">
      <c r="A3446" t="str">
        <f t="shared" si="78"/>
        <v>70266</v>
      </c>
      <c r="B3446" t="s">
        <v>38</v>
      </c>
      <c r="C3446" t="s">
        <v>1332</v>
      </c>
      <c r="D3446" t="str">
        <f>"034"</f>
        <v>034</v>
      </c>
      <c r="E3446">
        <v>2018</v>
      </c>
      <c r="F3446">
        <v>0</v>
      </c>
      <c r="G3446">
        <v>10001900</v>
      </c>
      <c r="H3446">
        <v>10001900</v>
      </c>
    </row>
    <row r="3447" spans="1:9" x14ac:dyDescent="0.25">
      <c r="A3447" t="str">
        <f t="shared" si="78"/>
        <v>70266</v>
      </c>
      <c r="B3447" t="s">
        <v>38</v>
      </c>
      <c r="C3447" t="s">
        <v>1332</v>
      </c>
      <c r="D3447" t="str">
        <f>"035"</f>
        <v>035</v>
      </c>
      <c r="E3447">
        <v>2018</v>
      </c>
      <c r="F3447">
        <v>15645000</v>
      </c>
      <c r="G3447">
        <v>16014600</v>
      </c>
      <c r="H3447">
        <v>369600</v>
      </c>
    </row>
    <row r="3448" spans="1:9" x14ac:dyDescent="0.25">
      <c r="A3448" t="str">
        <f t="shared" si="78"/>
        <v>70266</v>
      </c>
      <c r="B3448" t="s">
        <v>38</v>
      </c>
      <c r="C3448" t="s">
        <v>1332</v>
      </c>
      <c r="D3448" t="s">
        <v>13</v>
      </c>
      <c r="E3448" t="s">
        <v>14</v>
      </c>
      <c r="F3448" t="s">
        <v>15</v>
      </c>
      <c r="G3448" t="s">
        <v>15</v>
      </c>
      <c r="H3448" t="s">
        <v>15</v>
      </c>
      <c r="I3448" s="1">
        <v>4034863400</v>
      </c>
    </row>
    <row r="3449" spans="1:9" x14ac:dyDescent="0.25">
      <c r="A3449" t="s">
        <v>32</v>
      </c>
      <c r="B3449" t="s">
        <v>40</v>
      </c>
      <c r="C3449" t="s">
        <v>34</v>
      </c>
      <c r="D3449" t="s">
        <v>13</v>
      </c>
      <c r="E3449" t="s">
        <v>14</v>
      </c>
      <c r="F3449" t="s">
        <v>15</v>
      </c>
      <c r="G3449" t="s">
        <v>15</v>
      </c>
      <c r="H3449" t="s">
        <v>15</v>
      </c>
      <c r="I3449" s="1">
        <v>7315258300</v>
      </c>
    </row>
    <row r="3450" spans="1:9" x14ac:dyDescent="0.25">
      <c r="A3450" t="s">
        <v>32</v>
      </c>
      <c r="B3450" t="s">
        <v>41</v>
      </c>
      <c r="C3450" t="s">
        <v>1338</v>
      </c>
      <c r="D3450" t="s">
        <v>13</v>
      </c>
      <c r="E3450" t="s">
        <v>14</v>
      </c>
      <c r="F3450" t="s">
        <v>15</v>
      </c>
      <c r="G3450" t="s">
        <v>15</v>
      </c>
      <c r="H3450" t="s">
        <v>15</v>
      </c>
      <c r="I3450" s="1">
        <v>13655711100</v>
      </c>
    </row>
    <row r="3451" spans="1:9" x14ac:dyDescent="0.25">
      <c r="A3451" t="str">
        <f>"71002"</f>
        <v>71002</v>
      </c>
      <c r="B3451" t="s">
        <v>11</v>
      </c>
      <c r="C3451" t="s">
        <v>1339</v>
      </c>
      <c r="D3451" t="s">
        <v>13</v>
      </c>
      <c r="E3451" t="s">
        <v>14</v>
      </c>
      <c r="F3451" t="s">
        <v>15</v>
      </c>
      <c r="G3451" t="s">
        <v>15</v>
      </c>
      <c r="H3451" t="s">
        <v>15</v>
      </c>
      <c r="I3451" s="1">
        <v>66555500</v>
      </c>
    </row>
    <row r="3452" spans="1:9" x14ac:dyDescent="0.25">
      <c r="A3452" t="str">
        <f>"71004"</f>
        <v>71004</v>
      </c>
      <c r="B3452" t="s">
        <v>11</v>
      </c>
      <c r="C3452" t="s">
        <v>1340</v>
      </c>
      <c r="D3452" t="s">
        <v>13</v>
      </c>
      <c r="E3452" t="s">
        <v>14</v>
      </c>
      <c r="F3452" t="s">
        <v>15</v>
      </c>
      <c r="G3452" t="s">
        <v>15</v>
      </c>
      <c r="H3452" t="s">
        <v>15</v>
      </c>
      <c r="I3452" s="1">
        <v>78107900</v>
      </c>
    </row>
    <row r="3453" spans="1:9" x14ac:dyDescent="0.25">
      <c r="A3453" t="str">
        <f>"71006"</f>
        <v>71006</v>
      </c>
      <c r="B3453" t="s">
        <v>11</v>
      </c>
      <c r="C3453" t="s">
        <v>82</v>
      </c>
      <c r="D3453" t="s">
        <v>13</v>
      </c>
      <c r="E3453" t="s">
        <v>14</v>
      </c>
      <c r="F3453" t="s">
        <v>15</v>
      </c>
      <c r="G3453" t="s">
        <v>15</v>
      </c>
      <c r="H3453" t="s">
        <v>15</v>
      </c>
      <c r="I3453" s="1">
        <v>55109800</v>
      </c>
    </row>
    <row r="3454" spans="1:9" x14ac:dyDescent="0.25">
      <c r="A3454" t="str">
        <f>"71008"</f>
        <v>71008</v>
      </c>
      <c r="B3454" t="s">
        <v>11</v>
      </c>
      <c r="C3454" t="s">
        <v>1341</v>
      </c>
      <c r="D3454" t="s">
        <v>13</v>
      </c>
      <c r="E3454" t="s">
        <v>14</v>
      </c>
      <c r="F3454" t="s">
        <v>15</v>
      </c>
      <c r="G3454" t="s">
        <v>15</v>
      </c>
      <c r="H3454" t="s">
        <v>15</v>
      </c>
      <c r="I3454" s="1">
        <v>51919400</v>
      </c>
    </row>
    <row r="3455" spans="1:9" x14ac:dyDescent="0.25">
      <c r="A3455" t="str">
        <f>"71010"</f>
        <v>71010</v>
      </c>
      <c r="B3455" t="s">
        <v>11</v>
      </c>
      <c r="C3455" t="s">
        <v>1342</v>
      </c>
      <c r="D3455" t="s">
        <v>13</v>
      </c>
      <c r="E3455" t="s">
        <v>14</v>
      </c>
      <c r="F3455" t="s">
        <v>15</v>
      </c>
      <c r="G3455" t="s">
        <v>15</v>
      </c>
      <c r="H3455" t="s">
        <v>15</v>
      </c>
      <c r="I3455" s="1">
        <v>41542100</v>
      </c>
    </row>
    <row r="3456" spans="1:9" x14ac:dyDescent="0.25">
      <c r="A3456" t="str">
        <f>"71012"</f>
        <v>71012</v>
      </c>
      <c r="B3456" t="s">
        <v>11</v>
      </c>
      <c r="C3456" t="s">
        <v>1343</v>
      </c>
      <c r="D3456" t="s">
        <v>13</v>
      </c>
      <c r="E3456" t="s">
        <v>14</v>
      </c>
      <c r="F3456" t="s">
        <v>15</v>
      </c>
      <c r="G3456" t="s">
        <v>15</v>
      </c>
      <c r="H3456" t="s">
        <v>15</v>
      </c>
      <c r="I3456" s="1">
        <v>35602800</v>
      </c>
    </row>
    <row r="3457" spans="1:9" x14ac:dyDescent="0.25">
      <c r="A3457" t="str">
        <f>"71014"</f>
        <v>71014</v>
      </c>
      <c r="B3457" t="s">
        <v>11</v>
      </c>
      <c r="C3457" t="s">
        <v>1344</v>
      </c>
      <c r="D3457" t="s">
        <v>13</v>
      </c>
      <c r="E3457" t="s">
        <v>14</v>
      </c>
      <c r="F3457" t="s">
        <v>15</v>
      </c>
      <c r="G3457" t="s">
        <v>15</v>
      </c>
      <c r="H3457" t="s">
        <v>15</v>
      </c>
      <c r="I3457" s="1">
        <v>566082400</v>
      </c>
    </row>
    <row r="3458" spans="1:9" x14ac:dyDescent="0.25">
      <c r="A3458" t="str">
        <f>"71016"</f>
        <v>71016</v>
      </c>
      <c r="B3458" t="s">
        <v>11</v>
      </c>
      <c r="C3458" t="s">
        <v>1345</v>
      </c>
      <c r="D3458" t="s">
        <v>13</v>
      </c>
      <c r="E3458" t="s">
        <v>14</v>
      </c>
      <c r="F3458" t="s">
        <v>15</v>
      </c>
      <c r="G3458" t="s">
        <v>15</v>
      </c>
      <c r="H3458" t="s">
        <v>15</v>
      </c>
      <c r="I3458" s="1">
        <v>61993200</v>
      </c>
    </row>
    <row r="3459" spans="1:9" x14ac:dyDescent="0.25">
      <c r="A3459" t="str">
        <f>"71018"</f>
        <v>71018</v>
      </c>
      <c r="B3459" t="s">
        <v>11</v>
      </c>
      <c r="C3459" t="s">
        <v>486</v>
      </c>
      <c r="D3459" t="s">
        <v>13</v>
      </c>
      <c r="E3459" t="s">
        <v>14</v>
      </c>
      <c r="F3459" t="s">
        <v>15</v>
      </c>
      <c r="G3459" t="s">
        <v>15</v>
      </c>
      <c r="H3459" t="s">
        <v>15</v>
      </c>
      <c r="I3459" s="1">
        <v>24625600</v>
      </c>
    </row>
    <row r="3460" spans="1:9" x14ac:dyDescent="0.25">
      <c r="A3460" t="str">
        <f>"71020"</f>
        <v>71020</v>
      </c>
      <c r="B3460" t="s">
        <v>11</v>
      </c>
      <c r="C3460" t="s">
        <v>22</v>
      </c>
      <c r="D3460" t="s">
        <v>13</v>
      </c>
      <c r="E3460" t="s">
        <v>14</v>
      </c>
      <c r="F3460" t="s">
        <v>15</v>
      </c>
      <c r="G3460" t="s">
        <v>15</v>
      </c>
      <c r="H3460" t="s">
        <v>15</v>
      </c>
      <c r="I3460" s="1">
        <v>145116200</v>
      </c>
    </row>
    <row r="3461" spans="1:9" x14ac:dyDescent="0.25">
      <c r="A3461" t="str">
        <f>"71022"</f>
        <v>71022</v>
      </c>
      <c r="B3461" t="s">
        <v>11</v>
      </c>
      <c r="C3461" t="s">
        <v>465</v>
      </c>
      <c r="D3461" t="s">
        <v>13</v>
      </c>
      <c r="E3461" t="s">
        <v>14</v>
      </c>
      <c r="F3461" t="s">
        <v>15</v>
      </c>
      <c r="G3461" t="s">
        <v>15</v>
      </c>
      <c r="H3461" t="s">
        <v>15</v>
      </c>
      <c r="I3461" s="1">
        <v>69392300</v>
      </c>
    </row>
    <row r="3462" spans="1:9" x14ac:dyDescent="0.25">
      <c r="A3462" t="str">
        <f>"71024"</f>
        <v>71024</v>
      </c>
      <c r="B3462" t="s">
        <v>11</v>
      </c>
      <c r="C3462" t="s">
        <v>986</v>
      </c>
      <c r="D3462" t="s">
        <v>13</v>
      </c>
      <c r="E3462" t="s">
        <v>14</v>
      </c>
      <c r="F3462" t="s">
        <v>15</v>
      </c>
      <c r="G3462" t="s">
        <v>15</v>
      </c>
      <c r="H3462" t="s">
        <v>15</v>
      </c>
      <c r="I3462" s="1">
        <v>43770200</v>
      </c>
    </row>
    <row r="3463" spans="1:9" x14ac:dyDescent="0.25">
      <c r="A3463" t="str">
        <f>"71026"</f>
        <v>71026</v>
      </c>
      <c r="B3463" t="s">
        <v>11</v>
      </c>
      <c r="C3463" t="s">
        <v>1346</v>
      </c>
      <c r="D3463" t="s">
        <v>13</v>
      </c>
      <c r="E3463" t="s">
        <v>14</v>
      </c>
      <c r="F3463" t="s">
        <v>15</v>
      </c>
      <c r="G3463" t="s">
        <v>15</v>
      </c>
      <c r="H3463" t="s">
        <v>15</v>
      </c>
      <c r="I3463" s="1">
        <v>88091800</v>
      </c>
    </row>
    <row r="3464" spans="1:9" x14ac:dyDescent="0.25">
      <c r="A3464" t="str">
        <f>"71028"</f>
        <v>71028</v>
      </c>
      <c r="B3464" t="s">
        <v>11</v>
      </c>
      <c r="C3464" t="s">
        <v>1347</v>
      </c>
      <c r="D3464" t="s">
        <v>13</v>
      </c>
      <c r="E3464" t="s">
        <v>14</v>
      </c>
      <c r="F3464" t="s">
        <v>15</v>
      </c>
      <c r="G3464" t="s">
        <v>15</v>
      </c>
      <c r="H3464" t="s">
        <v>15</v>
      </c>
      <c r="I3464" s="1">
        <v>34761200</v>
      </c>
    </row>
    <row r="3465" spans="1:9" x14ac:dyDescent="0.25">
      <c r="A3465" t="str">
        <f>"71030"</f>
        <v>71030</v>
      </c>
      <c r="B3465" t="s">
        <v>11</v>
      </c>
      <c r="C3465" t="s">
        <v>28</v>
      </c>
      <c r="D3465" t="s">
        <v>13</v>
      </c>
      <c r="E3465" t="s">
        <v>14</v>
      </c>
      <c r="F3465" t="s">
        <v>15</v>
      </c>
      <c r="G3465" t="s">
        <v>15</v>
      </c>
      <c r="H3465" t="s">
        <v>15</v>
      </c>
      <c r="I3465" s="1">
        <v>105306000</v>
      </c>
    </row>
    <row r="3466" spans="1:9" x14ac:dyDescent="0.25">
      <c r="A3466" t="str">
        <f>"71032"</f>
        <v>71032</v>
      </c>
      <c r="B3466" t="s">
        <v>11</v>
      </c>
      <c r="C3466" t="s">
        <v>1048</v>
      </c>
      <c r="D3466" t="s">
        <v>13</v>
      </c>
      <c r="E3466" t="s">
        <v>14</v>
      </c>
      <c r="F3466" t="s">
        <v>15</v>
      </c>
      <c r="G3466" t="s">
        <v>15</v>
      </c>
      <c r="H3466" t="s">
        <v>15</v>
      </c>
      <c r="I3466" s="1">
        <v>81004800</v>
      </c>
    </row>
    <row r="3467" spans="1:9" x14ac:dyDescent="0.25">
      <c r="A3467" t="str">
        <f>"71034"</f>
        <v>71034</v>
      </c>
      <c r="B3467" t="s">
        <v>11</v>
      </c>
      <c r="C3467" t="s">
        <v>1348</v>
      </c>
      <c r="D3467" t="s">
        <v>13</v>
      </c>
      <c r="E3467" t="s">
        <v>14</v>
      </c>
      <c r="F3467" t="s">
        <v>15</v>
      </c>
      <c r="G3467" t="s">
        <v>15</v>
      </c>
      <c r="H3467" t="s">
        <v>15</v>
      </c>
      <c r="I3467" s="1">
        <v>75112200</v>
      </c>
    </row>
    <row r="3468" spans="1:9" x14ac:dyDescent="0.25">
      <c r="A3468" t="str">
        <f>"71036"</f>
        <v>71036</v>
      </c>
      <c r="B3468" t="s">
        <v>11</v>
      </c>
      <c r="C3468" t="s">
        <v>1349</v>
      </c>
      <c r="D3468" t="s">
        <v>13</v>
      </c>
      <c r="E3468" t="s">
        <v>14</v>
      </c>
      <c r="F3468" t="s">
        <v>15</v>
      </c>
      <c r="G3468" t="s">
        <v>15</v>
      </c>
      <c r="H3468" t="s">
        <v>15</v>
      </c>
      <c r="I3468" s="1">
        <v>375570800</v>
      </c>
    </row>
    <row r="3469" spans="1:9" x14ac:dyDescent="0.25">
      <c r="A3469" t="str">
        <f>"71038"</f>
        <v>71038</v>
      </c>
      <c r="B3469" t="s">
        <v>11</v>
      </c>
      <c r="C3469" t="s">
        <v>289</v>
      </c>
      <c r="D3469" t="s">
        <v>13</v>
      </c>
      <c r="E3469" t="s">
        <v>14</v>
      </c>
      <c r="F3469" t="s">
        <v>15</v>
      </c>
      <c r="G3469" t="s">
        <v>15</v>
      </c>
      <c r="H3469" t="s">
        <v>15</v>
      </c>
      <c r="I3469" s="1">
        <v>84566000</v>
      </c>
    </row>
    <row r="3470" spans="1:9" x14ac:dyDescent="0.25">
      <c r="A3470" t="str">
        <f>"71040"</f>
        <v>71040</v>
      </c>
      <c r="B3470" t="s">
        <v>11</v>
      </c>
      <c r="C3470" t="s">
        <v>1350</v>
      </c>
      <c r="D3470" t="s">
        <v>13</v>
      </c>
      <c r="E3470" t="s">
        <v>14</v>
      </c>
      <c r="F3470" t="s">
        <v>15</v>
      </c>
      <c r="G3470" t="s">
        <v>15</v>
      </c>
      <c r="H3470" t="s">
        <v>15</v>
      </c>
      <c r="I3470" s="1">
        <v>57337900</v>
      </c>
    </row>
    <row r="3471" spans="1:9" x14ac:dyDescent="0.25">
      <c r="A3471" t="str">
        <f>"71042"</f>
        <v>71042</v>
      </c>
      <c r="B3471" t="s">
        <v>11</v>
      </c>
      <c r="C3471" t="s">
        <v>205</v>
      </c>
      <c r="D3471" t="s">
        <v>13</v>
      </c>
      <c r="E3471" t="s">
        <v>14</v>
      </c>
      <c r="F3471" t="s">
        <v>15</v>
      </c>
      <c r="G3471" t="s">
        <v>15</v>
      </c>
      <c r="H3471" t="s">
        <v>15</v>
      </c>
      <c r="I3471" s="1">
        <v>76299100</v>
      </c>
    </row>
    <row r="3472" spans="1:9" x14ac:dyDescent="0.25">
      <c r="A3472" t="str">
        <f>"71044"</f>
        <v>71044</v>
      </c>
      <c r="B3472" t="s">
        <v>11</v>
      </c>
      <c r="C3472" t="s">
        <v>1351</v>
      </c>
      <c r="D3472" t="s">
        <v>13</v>
      </c>
      <c r="E3472" t="s">
        <v>14</v>
      </c>
      <c r="F3472" t="s">
        <v>15</v>
      </c>
      <c r="G3472" t="s">
        <v>15</v>
      </c>
      <c r="H3472" t="s">
        <v>15</v>
      </c>
      <c r="I3472" s="1">
        <v>78357300</v>
      </c>
    </row>
    <row r="3473" spans="1:9" x14ac:dyDescent="0.25">
      <c r="A3473" t="s">
        <v>32</v>
      </c>
      <c r="B3473" t="s">
        <v>33</v>
      </c>
      <c r="C3473" t="s">
        <v>34</v>
      </c>
      <c r="D3473" t="s">
        <v>13</v>
      </c>
      <c r="E3473" t="s">
        <v>14</v>
      </c>
      <c r="F3473" t="s">
        <v>15</v>
      </c>
      <c r="G3473" t="s">
        <v>15</v>
      </c>
      <c r="H3473" t="s">
        <v>15</v>
      </c>
      <c r="I3473" s="1">
        <v>2296224500</v>
      </c>
    </row>
    <row r="3474" spans="1:9" x14ac:dyDescent="0.25">
      <c r="A3474" t="str">
        <f>"71100"</f>
        <v>71100</v>
      </c>
      <c r="B3474" t="s">
        <v>35</v>
      </c>
      <c r="C3474" t="s">
        <v>1339</v>
      </c>
      <c r="D3474" t="s">
        <v>13</v>
      </c>
      <c r="E3474" t="s">
        <v>14</v>
      </c>
      <c r="F3474" t="s">
        <v>15</v>
      </c>
      <c r="G3474" t="s">
        <v>15</v>
      </c>
      <c r="H3474" t="s">
        <v>15</v>
      </c>
      <c r="I3474" s="1">
        <v>11314300</v>
      </c>
    </row>
    <row r="3475" spans="1:9" x14ac:dyDescent="0.25">
      <c r="A3475" t="str">
        <f>"71101"</f>
        <v>71101</v>
      </c>
      <c r="B3475" t="s">
        <v>35</v>
      </c>
      <c r="C3475" t="s">
        <v>1340</v>
      </c>
      <c r="D3475" t="str">
        <f>"001"</f>
        <v>001</v>
      </c>
      <c r="E3475">
        <v>2006</v>
      </c>
      <c r="F3475">
        <v>2073000</v>
      </c>
      <c r="G3475">
        <v>3775300</v>
      </c>
      <c r="H3475">
        <v>1702300</v>
      </c>
    </row>
    <row r="3476" spans="1:9" x14ac:dyDescent="0.25">
      <c r="A3476" t="str">
        <f>"71101"</f>
        <v>71101</v>
      </c>
      <c r="B3476" t="s">
        <v>35</v>
      </c>
      <c r="C3476" t="s">
        <v>1340</v>
      </c>
      <c r="D3476" t="str">
        <f>"002"</f>
        <v>002</v>
      </c>
      <c r="E3476">
        <v>2015</v>
      </c>
      <c r="F3476">
        <v>1800400</v>
      </c>
      <c r="G3476">
        <v>2502000</v>
      </c>
      <c r="H3476">
        <v>701600</v>
      </c>
    </row>
    <row r="3477" spans="1:9" x14ac:dyDescent="0.25">
      <c r="A3477" t="str">
        <f>"71101"</f>
        <v>71101</v>
      </c>
      <c r="B3477" t="s">
        <v>35</v>
      </c>
      <c r="C3477" t="s">
        <v>1340</v>
      </c>
      <c r="D3477" t="s">
        <v>13</v>
      </c>
      <c r="E3477" t="s">
        <v>14</v>
      </c>
      <c r="F3477" t="s">
        <v>15</v>
      </c>
      <c r="G3477" t="s">
        <v>15</v>
      </c>
      <c r="H3477" t="s">
        <v>15</v>
      </c>
      <c r="I3477" s="1">
        <v>37040900</v>
      </c>
    </row>
    <row r="3478" spans="1:9" x14ac:dyDescent="0.25">
      <c r="A3478" t="str">
        <f>"71106"</f>
        <v>71106</v>
      </c>
      <c r="B3478" t="s">
        <v>35</v>
      </c>
      <c r="C3478" t="s">
        <v>1352</v>
      </c>
      <c r="D3478" t="str">
        <f>"001"</f>
        <v>001</v>
      </c>
      <c r="E3478">
        <v>2006</v>
      </c>
      <c r="F3478">
        <v>3500700</v>
      </c>
      <c r="G3478">
        <v>4738300</v>
      </c>
      <c r="H3478">
        <v>1237600</v>
      </c>
    </row>
    <row r="3479" spans="1:9" x14ac:dyDescent="0.25">
      <c r="A3479" t="str">
        <f>"71106"</f>
        <v>71106</v>
      </c>
      <c r="B3479" t="s">
        <v>35</v>
      </c>
      <c r="C3479" t="s">
        <v>1352</v>
      </c>
      <c r="D3479" t="str">
        <f>"002"</f>
        <v>002</v>
      </c>
      <c r="E3479">
        <v>2006</v>
      </c>
      <c r="F3479">
        <v>5111000</v>
      </c>
      <c r="G3479">
        <v>34954300</v>
      </c>
      <c r="H3479">
        <v>29843300</v>
      </c>
    </row>
    <row r="3480" spans="1:9" x14ac:dyDescent="0.25">
      <c r="A3480" t="str">
        <f>"71106"</f>
        <v>71106</v>
      </c>
      <c r="B3480" t="s">
        <v>35</v>
      </c>
      <c r="C3480" t="s">
        <v>1352</v>
      </c>
      <c r="D3480" t="str">
        <f>"003"</f>
        <v>003</v>
      </c>
      <c r="E3480">
        <v>2009</v>
      </c>
      <c r="F3480">
        <v>3897200</v>
      </c>
      <c r="G3480">
        <v>5921400</v>
      </c>
      <c r="H3480">
        <v>2024200</v>
      </c>
    </row>
    <row r="3481" spans="1:9" x14ac:dyDescent="0.25">
      <c r="A3481" t="str">
        <f>"71106"</f>
        <v>71106</v>
      </c>
      <c r="B3481" t="s">
        <v>35</v>
      </c>
      <c r="C3481" t="s">
        <v>1352</v>
      </c>
      <c r="D3481" t="s">
        <v>13</v>
      </c>
      <c r="E3481" t="s">
        <v>14</v>
      </c>
      <c r="F3481" t="s">
        <v>15</v>
      </c>
      <c r="G3481" t="s">
        <v>15</v>
      </c>
      <c r="H3481" t="s">
        <v>15</v>
      </c>
      <c r="I3481" s="1">
        <v>74983300</v>
      </c>
    </row>
    <row r="3482" spans="1:9" x14ac:dyDescent="0.25">
      <c r="A3482" t="str">
        <f>"71122"</f>
        <v>71122</v>
      </c>
      <c r="B3482" t="s">
        <v>35</v>
      </c>
      <c r="C3482" t="s">
        <v>752</v>
      </c>
      <c r="D3482" t="s">
        <v>13</v>
      </c>
      <c r="E3482" t="s">
        <v>14</v>
      </c>
      <c r="F3482" t="s">
        <v>15</v>
      </c>
      <c r="G3482" t="s">
        <v>15</v>
      </c>
      <c r="H3482" t="s">
        <v>15</v>
      </c>
      <c r="I3482" s="1">
        <v>57552100</v>
      </c>
    </row>
    <row r="3483" spans="1:9" x14ac:dyDescent="0.25">
      <c r="A3483" t="str">
        <f>"71151"</f>
        <v>71151</v>
      </c>
      <c r="B3483" t="s">
        <v>35</v>
      </c>
      <c r="C3483" t="s">
        <v>986</v>
      </c>
      <c r="D3483" t="s">
        <v>13</v>
      </c>
      <c r="E3483" t="s">
        <v>14</v>
      </c>
      <c r="F3483" t="s">
        <v>15</v>
      </c>
      <c r="G3483" t="s">
        <v>15</v>
      </c>
      <c r="H3483" t="s">
        <v>15</v>
      </c>
      <c r="I3483" s="1">
        <v>11766300</v>
      </c>
    </row>
    <row r="3484" spans="1:9" x14ac:dyDescent="0.25">
      <c r="A3484" t="str">
        <f>"71171"</f>
        <v>71171</v>
      </c>
      <c r="B3484" t="s">
        <v>35</v>
      </c>
      <c r="C3484" t="s">
        <v>1346</v>
      </c>
      <c r="D3484" t="str">
        <f>"002"</f>
        <v>002</v>
      </c>
      <c r="E3484">
        <v>2009</v>
      </c>
      <c r="F3484">
        <v>9384200</v>
      </c>
      <c r="G3484">
        <v>18225900</v>
      </c>
      <c r="H3484">
        <v>8841700</v>
      </c>
    </row>
    <row r="3485" spans="1:9" x14ac:dyDescent="0.25">
      <c r="A3485" t="str">
        <f>"71171"</f>
        <v>71171</v>
      </c>
      <c r="B3485" t="s">
        <v>35</v>
      </c>
      <c r="C3485" t="s">
        <v>1346</v>
      </c>
      <c r="D3485" t="s">
        <v>13</v>
      </c>
      <c r="E3485" t="s">
        <v>14</v>
      </c>
      <c r="F3485" t="s">
        <v>15</v>
      </c>
      <c r="G3485" t="s">
        <v>15</v>
      </c>
      <c r="H3485" t="s">
        <v>15</v>
      </c>
      <c r="I3485" s="1">
        <v>96183100</v>
      </c>
    </row>
    <row r="3486" spans="1:9" x14ac:dyDescent="0.25">
      <c r="A3486" t="str">
        <f>"71178"</f>
        <v>71178</v>
      </c>
      <c r="B3486" t="s">
        <v>35</v>
      </c>
      <c r="C3486" t="s">
        <v>1348</v>
      </c>
      <c r="D3486" t="s">
        <v>13</v>
      </c>
      <c r="E3486" t="s">
        <v>14</v>
      </c>
      <c r="F3486" t="s">
        <v>15</v>
      </c>
      <c r="G3486" t="s">
        <v>15</v>
      </c>
      <c r="H3486" t="s">
        <v>15</v>
      </c>
      <c r="I3486" s="1">
        <v>31632800</v>
      </c>
    </row>
    <row r="3487" spans="1:9" x14ac:dyDescent="0.25">
      <c r="A3487" t="str">
        <f>"71186"</f>
        <v>71186</v>
      </c>
      <c r="B3487" t="s">
        <v>35</v>
      </c>
      <c r="C3487" t="s">
        <v>1353</v>
      </c>
      <c r="D3487" t="str">
        <f>"001"</f>
        <v>001</v>
      </c>
      <c r="E3487">
        <v>2006</v>
      </c>
      <c r="F3487">
        <v>2637300</v>
      </c>
      <c r="G3487">
        <v>3409500</v>
      </c>
      <c r="H3487">
        <v>772200</v>
      </c>
    </row>
    <row r="3488" spans="1:9" x14ac:dyDescent="0.25">
      <c r="A3488" t="str">
        <f>"71186"</f>
        <v>71186</v>
      </c>
      <c r="B3488" t="s">
        <v>35</v>
      </c>
      <c r="C3488" t="s">
        <v>1353</v>
      </c>
      <c r="D3488" t="s">
        <v>13</v>
      </c>
      <c r="E3488" t="s">
        <v>14</v>
      </c>
      <c r="F3488" t="s">
        <v>15</v>
      </c>
      <c r="G3488" t="s">
        <v>15</v>
      </c>
      <c r="H3488" t="s">
        <v>15</v>
      </c>
      <c r="I3488" s="1">
        <v>29403400</v>
      </c>
    </row>
    <row r="3489" spans="1:9" x14ac:dyDescent="0.25">
      <c r="A3489" t="s">
        <v>32</v>
      </c>
      <c r="B3489" t="s">
        <v>37</v>
      </c>
      <c r="C3489" t="s">
        <v>34</v>
      </c>
      <c r="D3489" t="s">
        <v>13</v>
      </c>
      <c r="E3489" t="s">
        <v>14</v>
      </c>
      <c r="F3489" t="s">
        <v>15</v>
      </c>
      <c r="G3489" t="s">
        <v>15</v>
      </c>
      <c r="H3489" t="s">
        <v>15</v>
      </c>
      <c r="I3489" s="1">
        <v>349876200</v>
      </c>
    </row>
    <row r="3490" spans="1:9" x14ac:dyDescent="0.25">
      <c r="A3490" t="str">
        <f t="shared" ref="A3490:A3497" si="79">"71251"</f>
        <v>71251</v>
      </c>
      <c r="B3490" t="s">
        <v>38</v>
      </c>
      <c r="C3490" t="s">
        <v>465</v>
      </c>
      <c r="D3490" t="str">
        <f>"002"</f>
        <v>002</v>
      </c>
      <c r="E3490">
        <v>1993</v>
      </c>
      <c r="F3490">
        <v>0</v>
      </c>
      <c r="G3490">
        <v>4874000</v>
      </c>
      <c r="H3490">
        <v>4874000</v>
      </c>
    </row>
    <row r="3491" spans="1:9" x14ac:dyDescent="0.25">
      <c r="A3491" t="str">
        <f t="shared" si="79"/>
        <v>71251</v>
      </c>
      <c r="B3491" t="s">
        <v>38</v>
      </c>
      <c r="C3491" t="s">
        <v>465</v>
      </c>
      <c r="D3491" t="str">
        <f>"004"</f>
        <v>004</v>
      </c>
      <c r="E3491">
        <v>1996</v>
      </c>
      <c r="F3491">
        <v>37757800</v>
      </c>
      <c r="G3491">
        <v>71412400</v>
      </c>
      <c r="H3491">
        <v>33654600</v>
      </c>
    </row>
    <row r="3492" spans="1:9" x14ac:dyDescent="0.25">
      <c r="A3492" t="str">
        <f t="shared" si="79"/>
        <v>71251</v>
      </c>
      <c r="B3492" t="s">
        <v>38</v>
      </c>
      <c r="C3492" t="s">
        <v>465</v>
      </c>
      <c r="D3492" t="str">
        <f>"005"</f>
        <v>005</v>
      </c>
      <c r="E3492">
        <v>1997</v>
      </c>
      <c r="F3492">
        <v>299500</v>
      </c>
      <c r="G3492">
        <v>24737200</v>
      </c>
      <c r="H3492">
        <v>24437700</v>
      </c>
    </row>
    <row r="3493" spans="1:9" x14ac:dyDescent="0.25">
      <c r="A3493" t="str">
        <f t="shared" si="79"/>
        <v>71251</v>
      </c>
      <c r="B3493" t="s">
        <v>38</v>
      </c>
      <c r="C3493" t="s">
        <v>465</v>
      </c>
      <c r="D3493" t="str">
        <f>"007"</f>
        <v>007</v>
      </c>
      <c r="E3493">
        <v>2001</v>
      </c>
      <c r="F3493">
        <v>2411300</v>
      </c>
      <c r="G3493">
        <v>38395200</v>
      </c>
      <c r="H3493">
        <v>35983900</v>
      </c>
    </row>
    <row r="3494" spans="1:9" x14ac:dyDescent="0.25">
      <c r="A3494" t="str">
        <f t="shared" si="79"/>
        <v>71251</v>
      </c>
      <c r="B3494" t="s">
        <v>38</v>
      </c>
      <c r="C3494" t="s">
        <v>465</v>
      </c>
      <c r="D3494" t="str">
        <f>"009"</f>
        <v>009</v>
      </c>
      <c r="E3494">
        <v>2013</v>
      </c>
      <c r="F3494">
        <v>1484800</v>
      </c>
      <c r="G3494">
        <v>18684600</v>
      </c>
      <c r="H3494">
        <v>17199800</v>
      </c>
    </row>
    <row r="3495" spans="1:9" x14ac:dyDescent="0.25">
      <c r="A3495" t="str">
        <f t="shared" si="79"/>
        <v>71251</v>
      </c>
      <c r="B3495" t="s">
        <v>38</v>
      </c>
      <c r="C3495" t="s">
        <v>465</v>
      </c>
      <c r="D3495" t="str">
        <f>"010"</f>
        <v>010</v>
      </c>
      <c r="E3495">
        <v>2015</v>
      </c>
      <c r="F3495">
        <v>16534500</v>
      </c>
      <c r="G3495">
        <v>20148700</v>
      </c>
      <c r="H3495">
        <v>3614200</v>
      </c>
    </row>
    <row r="3496" spans="1:9" x14ac:dyDescent="0.25">
      <c r="A3496" t="str">
        <f t="shared" si="79"/>
        <v>71251</v>
      </c>
      <c r="B3496" t="s">
        <v>38</v>
      </c>
      <c r="C3496" t="s">
        <v>465</v>
      </c>
      <c r="D3496" t="str">
        <f>"011"</f>
        <v>011</v>
      </c>
      <c r="E3496">
        <v>2016</v>
      </c>
      <c r="F3496">
        <v>543500</v>
      </c>
      <c r="G3496">
        <v>4203100</v>
      </c>
      <c r="H3496">
        <v>3659600</v>
      </c>
    </row>
    <row r="3497" spans="1:9" x14ac:dyDescent="0.25">
      <c r="A3497" t="str">
        <f t="shared" si="79"/>
        <v>71251</v>
      </c>
      <c r="B3497" t="s">
        <v>38</v>
      </c>
      <c r="C3497" t="s">
        <v>465</v>
      </c>
      <c r="D3497" t="s">
        <v>13</v>
      </c>
      <c r="E3497" t="s">
        <v>14</v>
      </c>
      <c r="F3497" t="s">
        <v>15</v>
      </c>
      <c r="G3497" t="s">
        <v>15</v>
      </c>
      <c r="H3497" t="s">
        <v>15</v>
      </c>
      <c r="I3497" s="1">
        <v>1446060500</v>
      </c>
    </row>
    <row r="3498" spans="1:9" x14ac:dyDescent="0.25">
      <c r="A3498" t="str">
        <f>"71261"</f>
        <v>71261</v>
      </c>
      <c r="B3498" t="s">
        <v>38</v>
      </c>
      <c r="C3498" t="s">
        <v>1354</v>
      </c>
      <c r="D3498" t="str">
        <f>"001"</f>
        <v>001</v>
      </c>
      <c r="E3498">
        <v>1997</v>
      </c>
      <c r="F3498">
        <v>10523600</v>
      </c>
      <c r="G3498">
        <v>17431900</v>
      </c>
      <c r="H3498">
        <v>6908300</v>
      </c>
    </row>
    <row r="3499" spans="1:9" x14ac:dyDescent="0.25">
      <c r="A3499" t="str">
        <f>"71261"</f>
        <v>71261</v>
      </c>
      <c r="B3499" t="s">
        <v>38</v>
      </c>
      <c r="C3499" t="s">
        <v>1354</v>
      </c>
      <c r="D3499" t="str">
        <f>"002"</f>
        <v>002</v>
      </c>
      <c r="E3499">
        <v>2002</v>
      </c>
      <c r="F3499">
        <v>609300</v>
      </c>
      <c r="G3499">
        <v>5607000</v>
      </c>
      <c r="H3499">
        <v>4997700</v>
      </c>
    </row>
    <row r="3500" spans="1:9" x14ac:dyDescent="0.25">
      <c r="A3500" t="str">
        <f>"71261"</f>
        <v>71261</v>
      </c>
      <c r="B3500" t="s">
        <v>38</v>
      </c>
      <c r="C3500" t="s">
        <v>1354</v>
      </c>
      <c r="D3500" t="str">
        <f>"003"</f>
        <v>003</v>
      </c>
      <c r="E3500">
        <v>2012</v>
      </c>
      <c r="F3500">
        <v>17816300</v>
      </c>
      <c r="G3500">
        <v>21553500</v>
      </c>
      <c r="H3500">
        <v>3737200</v>
      </c>
    </row>
    <row r="3501" spans="1:9" x14ac:dyDescent="0.25">
      <c r="A3501" t="str">
        <f>"71261"</f>
        <v>71261</v>
      </c>
      <c r="B3501" t="s">
        <v>38</v>
      </c>
      <c r="C3501" t="s">
        <v>1354</v>
      </c>
      <c r="D3501" t="str">
        <f>"004"</f>
        <v>004</v>
      </c>
      <c r="E3501">
        <v>2018</v>
      </c>
      <c r="F3501">
        <v>3086000</v>
      </c>
      <c r="G3501">
        <v>3496700</v>
      </c>
      <c r="H3501">
        <v>410700</v>
      </c>
    </row>
    <row r="3502" spans="1:9" x14ac:dyDescent="0.25">
      <c r="A3502" t="str">
        <f>"71261"</f>
        <v>71261</v>
      </c>
      <c r="B3502" t="s">
        <v>38</v>
      </c>
      <c r="C3502" t="s">
        <v>1354</v>
      </c>
      <c r="D3502" t="s">
        <v>13</v>
      </c>
      <c r="E3502" t="s">
        <v>14</v>
      </c>
      <c r="F3502" t="s">
        <v>15</v>
      </c>
      <c r="G3502" t="s">
        <v>15</v>
      </c>
      <c r="H3502" t="s">
        <v>15</v>
      </c>
      <c r="I3502" s="1">
        <v>102930900</v>
      </c>
    </row>
    <row r="3503" spans="1:9" x14ac:dyDescent="0.25">
      <c r="A3503" t="str">
        <f>"71271"</f>
        <v>71271</v>
      </c>
      <c r="B3503" t="s">
        <v>38</v>
      </c>
      <c r="C3503" t="s">
        <v>1355</v>
      </c>
      <c r="D3503" t="str">
        <f>"003"</f>
        <v>003</v>
      </c>
      <c r="E3503">
        <v>1995</v>
      </c>
      <c r="F3503">
        <v>2542000</v>
      </c>
      <c r="G3503">
        <v>38679700</v>
      </c>
      <c r="H3503">
        <v>36137700</v>
      </c>
    </row>
    <row r="3504" spans="1:9" x14ac:dyDescent="0.25">
      <c r="A3504" t="str">
        <f>"71271"</f>
        <v>71271</v>
      </c>
      <c r="B3504" t="s">
        <v>38</v>
      </c>
      <c r="C3504" t="s">
        <v>1355</v>
      </c>
      <c r="D3504" t="s">
        <v>13</v>
      </c>
      <c r="E3504" t="s">
        <v>14</v>
      </c>
      <c r="F3504" t="s">
        <v>15</v>
      </c>
      <c r="G3504" t="s">
        <v>15</v>
      </c>
      <c r="H3504" t="s">
        <v>15</v>
      </c>
      <c r="I3504" s="1">
        <v>29044000</v>
      </c>
    </row>
    <row r="3505" spans="1:9" x14ac:dyDescent="0.25">
      <c r="A3505" t="str">
        <f>"71291"</f>
        <v>71291</v>
      </c>
      <c r="B3505" t="s">
        <v>38</v>
      </c>
      <c r="C3505" t="s">
        <v>1356</v>
      </c>
      <c r="D3505" t="str">
        <f>"006"</f>
        <v>006</v>
      </c>
      <c r="E3505">
        <v>2004</v>
      </c>
      <c r="F3505">
        <v>3915100</v>
      </c>
      <c r="G3505">
        <v>15002500</v>
      </c>
      <c r="H3505">
        <v>11087400</v>
      </c>
    </row>
    <row r="3506" spans="1:9" x14ac:dyDescent="0.25">
      <c r="A3506" t="str">
        <f>"71291"</f>
        <v>71291</v>
      </c>
      <c r="B3506" t="s">
        <v>38</v>
      </c>
      <c r="C3506" t="s">
        <v>1356</v>
      </c>
      <c r="D3506" t="str">
        <f>"007"</f>
        <v>007</v>
      </c>
      <c r="E3506">
        <v>2005</v>
      </c>
      <c r="F3506">
        <v>34949700</v>
      </c>
      <c r="G3506">
        <v>35406600</v>
      </c>
      <c r="H3506">
        <v>456900</v>
      </c>
    </row>
    <row r="3507" spans="1:9" x14ac:dyDescent="0.25">
      <c r="A3507" t="str">
        <f>"71291"</f>
        <v>71291</v>
      </c>
      <c r="B3507" t="s">
        <v>38</v>
      </c>
      <c r="C3507" t="s">
        <v>1356</v>
      </c>
      <c r="D3507" t="s">
        <v>13</v>
      </c>
      <c r="E3507" t="s">
        <v>14</v>
      </c>
      <c r="F3507" t="s">
        <v>15</v>
      </c>
      <c r="G3507" t="s">
        <v>15</v>
      </c>
      <c r="H3507" t="s">
        <v>15</v>
      </c>
      <c r="I3507" s="1">
        <v>1101196500</v>
      </c>
    </row>
    <row r="3508" spans="1:9" x14ac:dyDescent="0.25">
      <c r="A3508" t="s">
        <v>32</v>
      </c>
      <c r="B3508" t="s">
        <v>40</v>
      </c>
      <c r="C3508" t="s">
        <v>34</v>
      </c>
      <c r="D3508" t="s">
        <v>13</v>
      </c>
      <c r="E3508" t="s">
        <v>14</v>
      </c>
      <c r="F3508" t="s">
        <v>15</v>
      </c>
      <c r="G3508" t="s">
        <v>15</v>
      </c>
      <c r="H3508" t="s">
        <v>15</v>
      </c>
      <c r="I3508" s="1">
        <v>2679231900</v>
      </c>
    </row>
    <row r="3509" spans="1:9" x14ac:dyDescent="0.25">
      <c r="A3509" t="s">
        <v>32</v>
      </c>
      <c r="B3509" t="s">
        <v>41</v>
      </c>
      <c r="C3509" t="s">
        <v>1351</v>
      </c>
      <c r="D3509" t="s">
        <v>13</v>
      </c>
      <c r="E3509" t="s">
        <v>14</v>
      </c>
      <c r="F3509" t="s">
        <v>15</v>
      </c>
      <c r="G3509" t="s">
        <v>15</v>
      </c>
      <c r="H3509" t="s">
        <v>15</v>
      </c>
      <c r="I3509" s="1">
        <v>5325332600</v>
      </c>
    </row>
    <row r="3510" spans="1:9" x14ac:dyDescent="0.25">
      <c r="A3510" t="str">
        <f>"72001"</f>
        <v>72001</v>
      </c>
      <c r="B3510" t="s">
        <v>11</v>
      </c>
      <c r="C3510" t="s">
        <v>1357</v>
      </c>
      <c r="D3510" t="s">
        <v>13</v>
      </c>
      <c r="E3510" t="s">
        <v>14</v>
      </c>
      <c r="F3510" t="s">
        <v>15</v>
      </c>
      <c r="G3510" t="s">
        <v>15</v>
      </c>
      <c r="H3510" t="s">
        <v>15</v>
      </c>
      <c r="I3510" s="1">
        <v>327199900</v>
      </c>
    </row>
    <row r="3511" spans="1:9" x14ac:dyDescent="0.25">
      <c r="A3511" t="s">
        <v>32</v>
      </c>
      <c r="B3511" t="s">
        <v>33</v>
      </c>
      <c r="C3511" t="s">
        <v>34</v>
      </c>
      <c r="D3511" t="s">
        <v>13</v>
      </c>
      <c r="E3511" t="s">
        <v>14</v>
      </c>
      <c r="F3511" t="s">
        <v>15</v>
      </c>
      <c r="G3511" t="s">
        <v>15</v>
      </c>
      <c r="H3511" t="s">
        <v>15</v>
      </c>
      <c r="I3511" s="1">
        <v>327199900</v>
      </c>
    </row>
    <row r="3512" spans="1:9" x14ac:dyDescent="0.25">
      <c r="A3512" t="s">
        <v>32</v>
      </c>
      <c r="B3512" t="s">
        <v>41</v>
      </c>
      <c r="C3512" t="s">
        <v>1357</v>
      </c>
      <c r="D3512" t="s">
        <v>13</v>
      </c>
      <c r="E3512" t="s">
        <v>14</v>
      </c>
      <c r="F3512" t="s">
        <v>15</v>
      </c>
      <c r="G3512" t="s">
        <v>15</v>
      </c>
      <c r="H3512" t="s">
        <v>15</v>
      </c>
      <c r="I3512" s="1">
        <v>327199900</v>
      </c>
    </row>
    <row r="3515" spans="1:9" x14ac:dyDescent="0.25">
      <c r="A3515" t="s">
        <v>1358</v>
      </c>
      <c r="B3515" t="s">
        <v>1359</v>
      </c>
      <c r="C3515" t="s">
        <v>1358</v>
      </c>
      <c r="D3515" t="s">
        <v>1358</v>
      </c>
      <c r="E3515" t="s">
        <v>1358</v>
      </c>
      <c r="F3515" t="s">
        <v>1358</v>
      </c>
      <c r="G3515" t="s">
        <v>1358</v>
      </c>
      <c r="H3515" t="s">
        <v>1358</v>
      </c>
      <c r="I3515" s="1">
        <v>205748425000</v>
      </c>
    </row>
    <row r="3516" spans="1:9" x14ac:dyDescent="0.25">
      <c r="A3516" t="s">
        <v>1358</v>
      </c>
      <c r="B3516" t="s">
        <v>1360</v>
      </c>
      <c r="C3516" t="s">
        <v>1358</v>
      </c>
      <c r="D3516" t="s">
        <v>1358</v>
      </c>
      <c r="E3516" t="s">
        <v>1358</v>
      </c>
      <c r="F3516" t="s">
        <v>1358</v>
      </c>
      <c r="G3516" t="s">
        <v>1358</v>
      </c>
      <c r="H3516" t="s">
        <v>1358</v>
      </c>
      <c r="I3516" s="1">
        <v>100657975735</v>
      </c>
    </row>
    <row r="3517" spans="1:9" x14ac:dyDescent="0.25">
      <c r="A3517" t="s">
        <v>1358</v>
      </c>
      <c r="B3517" t="s">
        <v>1361</v>
      </c>
      <c r="C3517" t="s">
        <v>1358</v>
      </c>
      <c r="D3517" t="s">
        <v>1358</v>
      </c>
      <c r="E3517" t="s">
        <v>1358</v>
      </c>
      <c r="F3517" t="s">
        <v>1358</v>
      </c>
      <c r="G3517" t="s">
        <v>1358</v>
      </c>
      <c r="H3517" t="s">
        <v>1358</v>
      </c>
      <c r="I3517" s="1">
        <v>251498078801</v>
      </c>
    </row>
    <row r="3518" spans="1:9" x14ac:dyDescent="0.25">
      <c r="A3518" t="s">
        <v>1358</v>
      </c>
      <c r="B3518" t="s">
        <v>1362</v>
      </c>
      <c r="C3518" t="s">
        <v>1358</v>
      </c>
      <c r="D3518" t="s">
        <v>1358</v>
      </c>
      <c r="E3518" t="s">
        <v>1358</v>
      </c>
      <c r="F3518" t="s">
        <v>1358</v>
      </c>
      <c r="G3518" t="s">
        <v>1358</v>
      </c>
      <c r="H3518" t="s">
        <v>1358</v>
      </c>
      <c r="I3518" s="1">
        <v>557904479536</v>
      </c>
    </row>
    <row r="3519" spans="1:9" x14ac:dyDescent="0.25">
      <c r="A3519" t="s">
        <v>1358</v>
      </c>
      <c r="B3519" t="s">
        <v>1363</v>
      </c>
      <c r="C3519" t="s">
        <v>1358</v>
      </c>
      <c r="D3519" t="s">
        <v>1358</v>
      </c>
      <c r="E3519" t="s">
        <v>1358</v>
      </c>
      <c r="F3519" t="s">
        <v>1358</v>
      </c>
      <c r="G3519" t="s">
        <v>1358</v>
      </c>
      <c r="H3519" t="s">
        <v>1358</v>
      </c>
      <c r="I3519" s="1">
        <v>580872723300</v>
      </c>
    </row>
    <row r="3520" spans="1:9" x14ac:dyDescent="0.25">
      <c r="A3520" t="s">
        <v>1358</v>
      </c>
      <c r="B3520" t="s">
        <v>1364</v>
      </c>
      <c r="C3520" t="s">
        <v>1358</v>
      </c>
      <c r="D3520" t="s">
        <v>1358</v>
      </c>
      <c r="E3520" t="s">
        <v>1358</v>
      </c>
      <c r="F3520" t="s">
        <v>1358</v>
      </c>
      <c r="G3520" t="s">
        <v>1358</v>
      </c>
      <c r="H3520" t="s">
        <v>1358</v>
      </c>
      <c r="I3520" s="1">
        <v>22968243764</v>
      </c>
    </row>
    <row r="3521" spans="1:9" x14ac:dyDescent="0.25">
      <c r="A3521" t="s">
        <v>1358</v>
      </c>
      <c r="B3521" t="s">
        <v>1365</v>
      </c>
      <c r="C3521" t="s">
        <v>1358</v>
      </c>
      <c r="D3521" t="s">
        <v>1358</v>
      </c>
      <c r="E3521" t="s">
        <v>1358</v>
      </c>
      <c r="F3521" t="s">
        <v>1358</v>
      </c>
      <c r="G3521" t="s">
        <v>1358</v>
      </c>
      <c r="H3521" t="s">
        <v>1358</v>
      </c>
      <c r="I3521" s="1">
        <v>557904479536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2019</_x002e_DocumentYear>
    <_dlc_DocId xmlns="bb65cc95-6d4e-4879-a879-9838761499af">33E6D4FPPFNA-2091641682-6833</_dlc_DocId>
    <_dlc_DocIdUrl xmlns="bb65cc95-6d4e-4879-a879-9838761499af">
      <Url>http://apwmad0p7106:9444/_layouts/15/DocIdRedir.aspx?ID=33E6D4FPPFNA-2091641682-6833</Url>
      <Description>33E6D4FPPFNA-2091641682-6833</Description>
    </_dlc_DocIdUrl>
    <VersionStatus xmlns="9e30f06f-ad7a-453a-8e08-8a8878e30bd1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C9D5A9-E647-4C20-9D57-B9A3A477B99F}"/>
</file>

<file path=customXml/itemProps2.xml><?xml version="1.0" encoding="utf-8"?>
<ds:datastoreItem xmlns:ds="http://schemas.openxmlformats.org/officeDocument/2006/customXml" ds:itemID="{EC523690-B9C5-4F53-BA76-45B7E0FCFC37}"/>
</file>

<file path=customXml/itemProps3.xml><?xml version="1.0" encoding="utf-8"?>
<ds:datastoreItem xmlns:ds="http://schemas.openxmlformats.org/officeDocument/2006/customXml" ds:itemID="{9E5F3F58-0C8C-413B-9E02-13BDEB887404}"/>
</file>

<file path=customXml/itemProps4.xml><?xml version="1.0" encoding="utf-8"?>
<ds:datastoreItem xmlns:ds="http://schemas.openxmlformats.org/officeDocument/2006/customXml" ds:itemID="{8485CE1D-3EC7-4AF5-8144-6C32B6B057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TID303WI-FINAL.PDF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Lukens, Megan J - DOR</dc:creator>
  <cp:lastModifiedBy>Lukens, Megan J</cp:lastModifiedBy>
  <dcterms:created xsi:type="dcterms:W3CDTF">2019-08-09T18:58:12Z</dcterms:created>
  <dcterms:modified xsi:type="dcterms:W3CDTF">2019-08-09T19:33:46Z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829ba444-4cad-4750-9ab1-020a4a789dd4</vt:lpwstr>
  </property>
</Properties>
</file>