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mptmfzww\Downloads\"/>
    </mc:Choice>
  </mc:AlternateContent>
  <xr:revisionPtr revIDLastSave="0" documentId="8_{ECE3ED3F-27CF-4C5F-8548-FCA441FEE41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Fiscal year" sheetId="1" r:id="rId1"/>
    <sheet name="Calendar year" sheetId="4" r:id="rId2"/>
  </sheets>
  <definedNames>
    <definedName name="_xlnm.Print_Area" localSheetId="0">'Fiscal year'!$A$1:$I$83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4" l="1"/>
  <c r="B31" i="1"/>
  <c r="B12" i="1"/>
  <c r="B11" i="1"/>
  <c r="B10" i="1"/>
  <c r="B9" i="1"/>
  <c r="B8" i="1"/>
  <c r="I21" i="4"/>
  <c r="I20" i="4"/>
  <c r="I19" i="4"/>
  <c r="E21" i="4"/>
  <c r="E20" i="4"/>
  <c r="B20" i="4"/>
  <c r="B19" i="4"/>
  <c r="B30" i="1"/>
  <c r="B13" i="1" l="1"/>
  <c r="I31" i="1" l="1"/>
  <c r="B57" i="1"/>
  <c r="B66" i="1" s="1"/>
  <c r="I30" i="1"/>
  <c r="I39" i="1"/>
  <c r="I49" i="1" s="1"/>
  <c r="E49" i="1"/>
  <c r="B49" i="1"/>
  <c r="I56" i="1"/>
  <c r="I29" i="1" s="1"/>
  <c r="E66" i="1"/>
  <c r="E29" i="1"/>
  <c r="B91" i="1"/>
  <c r="B40" i="4"/>
  <c r="H40" i="4"/>
  <c r="E40" i="4"/>
  <c r="D40" i="4"/>
  <c r="H39" i="4"/>
  <c r="H38" i="4"/>
  <c r="I40" i="4"/>
  <c r="H36" i="4"/>
  <c r="H35" i="4"/>
  <c r="H34" i="4"/>
  <c r="H33" i="4"/>
  <c r="H32" i="4"/>
  <c r="H31" i="4"/>
  <c r="H30" i="4"/>
  <c r="H29" i="4"/>
  <c r="H28" i="4"/>
  <c r="I27" i="4"/>
  <c r="E27" i="4"/>
  <c r="I54" i="4"/>
  <c r="I71" i="4"/>
  <c r="I28" i="1"/>
  <c r="I27" i="1"/>
  <c r="B29" i="1" l="1"/>
  <c r="I66" i="1"/>
  <c r="B54" i="4"/>
  <c r="B57" i="4" s="1"/>
  <c r="B18" i="4" s="1"/>
  <c r="B71" i="4"/>
  <c r="I57" i="4"/>
  <c r="I18" i="4" s="1"/>
  <c r="H57" i="4"/>
  <c r="E57" i="4"/>
  <c r="D57" i="4"/>
  <c r="H56" i="4"/>
  <c r="H55" i="4"/>
  <c r="H53" i="4"/>
  <c r="H52" i="4"/>
  <c r="H51" i="4"/>
  <c r="H50" i="4"/>
  <c r="H49" i="4"/>
  <c r="H48" i="4"/>
  <c r="H47" i="4"/>
  <c r="H46" i="4"/>
  <c r="H45" i="4"/>
  <c r="I44" i="4"/>
  <c r="E44" i="4"/>
  <c r="I83" i="1"/>
  <c r="B83" i="1"/>
  <c r="B28" i="1" s="1"/>
  <c r="E83" i="1"/>
  <c r="E28" i="1" s="1"/>
  <c r="I100" i="1" l="1"/>
  <c r="E100" i="1"/>
  <c r="E27" i="1" s="1"/>
  <c r="B100" i="1"/>
  <c r="B27" i="1" s="1"/>
  <c r="B114" i="1" l="1"/>
  <c r="B65" i="4" s="1"/>
  <c r="B113" i="1" l="1"/>
  <c r="B64" i="4" s="1"/>
  <c r="B112" i="1" l="1"/>
  <c r="B63" i="4" s="1"/>
  <c r="I74" i="4" l="1"/>
  <c r="I17" i="4" s="1"/>
  <c r="H74" i="4"/>
  <c r="D74" i="4"/>
  <c r="H73" i="4"/>
  <c r="H72" i="4"/>
  <c r="H70" i="4"/>
  <c r="H69" i="4"/>
  <c r="H68" i="4"/>
  <c r="E74" i="4"/>
  <c r="E17" i="4" s="1"/>
  <c r="H67" i="4"/>
  <c r="H66" i="4"/>
  <c r="H65" i="4"/>
  <c r="H64" i="4"/>
  <c r="H63" i="4"/>
  <c r="H62" i="4"/>
  <c r="I61" i="4"/>
  <c r="E61" i="4"/>
  <c r="B111" i="1"/>
  <c r="B62" i="4" s="1"/>
  <c r="B74" i="4" s="1"/>
  <c r="B17" i="4" s="1"/>
  <c r="B110" i="1" l="1"/>
  <c r="B90" i="4" s="1"/>
  <c r="B109" i="1" l="1"/>
  <c r="B89" i="4" s="1"/>
  <c r="B108" i="1" l="1"/>
  <c r="B88" i="4" s="1"/>
  <c r="I108" i="1" l="1"/>
  <c r="I88" i="4" s="1"/>
  <c r="B107" i="1" l="1"/>
  <c r="B87" i="4" s="1"/>
  <c r="B106" i="1" l="1"/>
  <c r="B86" i="4" s="1"/>
  <c r="B105" i="1" l="1"/>
  <c r="B85" i="4" s="1"/>
  <c r="E85" i="4" l="1"/>
  <c r="E105" i="1" s="1"/>
  <c r="I117" i="1" l="1"/>
  <c r="I26" i="1" s="1"/>
  <c r="E117" i="1"/>
  <c r="E26" i="1" s="1"/>
  <c r="B117" i="1" l="1"/>
  <c r="B133" i="1"/>
  <c r="B84" i="4" s="1"/>
  <c r="B26" i="1" l="1"/>
  <c r="B132" i="1"/>
  <c r="B83" i="4" s="1"/>
  <c r="B131" i="1" l="1"/>
  <c r="B82" i="4" s="1"/>
  <c r="B130" i="1" l="1"/>
  <c r="B81" i="4" s="1"/>
  <c r="B129" i="1" l="1"/>
  <c r="B80" i="4" s="1"/>
  <c r="I91" i="4" l="1"/>
  <c r="I16" i="4" s="1"/>
  <c r="H91" i="4"/>
  <c r="D91" i="4"/>
  <c r="H90" i="4"/>
  <c r="H89" i="4"/>
  <c r="H87" i="4"/>
  <c r="H86" i="4"/>
  <c r="H85" i="4"/>
  <c r="E91" i="4"/>
  <c r="E16" i="4" s="1"/>
  <c r="H84" i="4"/>
  <c r="H83" i="4"/>
  <c r="H82" i="4"/>
  <c r="H81" i="4"/>
  <c r="H80" i="4"/>
  <c r="H79" i="4"/>
  <c r="I78" i="4"/>
  <c r="E78" i="4"/>
  <c r="B128" i="1"/>
  <c r="B79" i="4" s="1"/>
  <c r="B91" i="4" l="1"/>
  <c r="B16" i="4" s="1"/>
  <c r="B127" i="1" l="1"/>
  <c r="B107" i="4" s="1"/>
  <c r="B126" i="1" l="1"/>
  <c r="B106" i="4" s="1"/>
  <c r="B125" i="1" l="1"/>
  <c r="B105" i="4" s="1"/>
  <c r="B124" i="1" l="1"/>
  <c r="B104" i="4" s="1"/>
  <c r="B123" i="1" l="1"/>
  <c r="B103" i="4" s="1"/>
  <c r="B122" i="1" l="1"/>
  <c r="B102" i="4" s="1"/>
  <c r="E122" i="1"/>
  <c r="E102" i="4" s="1"/>
  <c r="E134" i="1" l="1"/>
  <c r="E25" i="1" s="1"/>
  <c r="I124" i="1"/>
  <c r="I134" i="1" s="1"/>
  <c r="I25" i="1" s="1"/>
  <c r="B134" i="1" l="1"/>
  <c r="B25" i="1" s="1"/>
  <c r="B150" i="1"/>
  <c r="B101" i="4" s="1"/>
  <c r="B149" i="1" l="1"/>
  <c r="B100" i="4" s="1"/>
  <c r="B148" i="1" l="1"/>
  <c r="B99" i="4" s="1"/>
  <c r="B98" i="4" l="1"/>
  <c r="B147" i="1"/>
  <c r="B146" i="1" l="1"/>
  <c r="B97" i="4" s="1"/>
  <c r="H108" i="4" l="1"/>
  <c r="E108" i="4"/>
  <c r="E15" i="4" s="1"/>
  <c r="D108" i="4"/>
  <c r="H107" i="4"/>
  <c r="H106" i="4"/>
  <c r="I108" i="4"/>
  <c r="I15" i="4" s="1"/>
  <c r="H104" i="4"/>
  <c r="H103" i="4"/>
  <c r="H102" i="4"/>
  <c r="D102" i="4"/>
  <c r="H101" i="4"/>
  <c r="H100" i="4"/>
  <c r="H99" i="4"/>
  <c r="H98" i="4"/>
  <c r="H97" i="4"/>
  <c r="H96" i="4"/>
  <c r="I95" i="4"/>
  <c r="E95" i="4"/>
  <c r="I138" i="4"/>
  <c r="I158" i="1" s="1"/>
  <c r="I121" i="4"/>
  <c r="I141" i="1" s="1"/>
  <c r="B124" i="4" l="1"/>
  <c r="B145" i="1" l="1"/>
  <c r="B96" i="4" s="1"/>
  <c r="B108" i="4" s="1"/>
  <c r="B15" i="4" s="1"/>
  <c r="B144" i="1" l="1"/>
  <c r="B123" i="4" l="1"/>
  <c r="B143" i="1"/>
  <c r="B122" i="4" l="1"/>
  <c r="B142" i="1"/>
  <c r="B121" i="4" l="1"/>
  <c r="B141" i="1"/>
  <c r="I236" i="1" l="1"/>
  <c r="E236" i="1"/>
  <c r="B236" i="1"/>
  <c r="I151" i="1"/>
  <c r="I24" i="1" s="1"/>
  <c r="E151" i="1"/>
  <c r="E24" i="1" s="1"/>
  <c r="B151" i="1"/>
  <c r="B24" i="1" s="1"/>
  <c r="H14" i="4" l="1"/>
  <c r="D14" i="4"/>
  <c r="I125" i="4"/>
  <c r="I14" i="4" s="1"/>
  <c r="H125" i="4"/>
  <c r="E125" i="4"/>
  <c r="E14" i="4" s="1"/>
  <c r="D125" i="4"/>
  <c r="B125" i="4"/>
  <c r="B14" i="4" s="1"/>
  <c r="H124" i="4"/>
  <c r="H123" i="4"/>
  <c r="H122" i="4"/>
  <c r="H121" i="4"/>
  <c r="H120" i="4"/>
  <c r="H119" i="4"/>
  <c r="D119" i="4"/>
  <c r="H118" i="4"/>
  <c r="H117" i="4"/>
  <c r="H116" i="4"/>
  <c r="H115" i="4"/>
  <c r="H114" i="4"/>
  <c r="H113" i="4"/>
  <c r="I112" i="4"/>
  <c r="E112" i="4"/>
  <c r="E168" i="1" l="1"/>
  <c r="E23" i="1" s="1"/>
  <c r="B168" i="1"/>
  <c r="B23" i="1" s="1"/>
  <c r="I168" i="1" l="1"/>
  <c r="I23" i="1" s="1"/>
  <c r="D11" i="4" l="1"/>
  <c r="H11" i="4"/>
  <c r="D13" i="4"/>
  <c r="H13" i="4"/>
  <c r="E129" i="4"/>
  <c r="I129" i="4"/>
  <c r="H130" i="4"/>
  <c r="H131" i="4"/>
  <c r="H132" i="4"/>
  <c r="H133" i="4"/>
  <c r="H134" i="4"/>
  <c r="H135" i="4"/>
  <c r="D136" i="4"/>
  <c r="H136" i="4"/>
  <c r="H137" i="4"/>
  <c r="H138" i="4"/>
  <c r="H139" i="4"/>
  <c r="H140" i="4"/>
  <c r="H141" i="4"/>
  <c r="B142" i="4"/>
  <c r="B13" i="4" s="1"/>
  <c r="D142" i="4"/>
  <c r="E142" i="4"/>
  <c r="E13" i="4" s="1"/>
  <c r="H142" i="4"/>
  <c r="I142" i="4"/>
  <c r="I13" i="4" s="1"/>
  <c r="E146" i="4"/>
  <c r="I146" i="4"/>
  <c r="B159" i="4"/>
  <c r="B12" i="4" s="1"/>
  <c r="D159" i="4"/>
  <c r="E159" i="4"/>
  <c r="E12" i="4" s="1"/>
  <c r="H159" i="4"/>
  <c r="I159" i="4"/>
  <c r="I12" i="4" s="1"/>
  <c r="E163" i="4"/>
  <c r="I163" i="4"/>
  <c r="B176" i="4"/>
  <c r="B11" i="4" s="1"/>
  <c r="D176" i="4"/>
  <c r="E176" i="4"/>
  <c r="E11" i="4" s="1"/>
  <c r="H176" i="4"/>
  <c r="I176" i="4"/>
  <c r="I11" i="4" s="1"/>
  <c r="B193" i="4"/>
  <c r="B10" i="4" s="1"/>
  <c r="E193" i="4"/>
  <c r="E10" i="4" s="1"/>
  <c r="I193" i="4"/>
  <c r="I10" i="4" s="1"/>
  <c r="B210" i="4"/>
  <c r="B9" i="4" s="1"/>
  <c r="E210" i="4"/>
  <c r="E9" i="4" s="1"/>
  <c r="I210" i="4"/>
  <c r="I9" i="4" s="1"/>
  <c r="B225" i="4"/>
  <c r="B8" i="4" s="1"/>
  <c r="E225" i="4"/>
  <c r="E8" i="4" s="1"/>
  <c r="I225" i="4"/>
  <c r="I8" i="4" s="1"/>
  <c r="I23" i="4" l="1"/>
  <c r="B23" i="4"/>
  <c r="E23" i="4"/>
  <c r="I185" i="1"/>
  <c r="I22" i="1" s="1"/>
  <c r="E185" i="1"/>
  <c r="E22" i="1" s="1"/>
  <c r="B185" i="1"/>
  <c r="B22" i="1" s="1"/>
  <c r="E202" i="1" l="1"/>
  <c r="E21" i="1" s="1"/>
  <c r="B202" i="1"/>
  <c r="B21" i="1" s="1"/>
  <c r="I213" i="1" l="1"/>
  <c r="B213" i="1"/>
  <c r="I219" i="1" l="1"/>
  <c r="I20" i="1" s="1"/>
  <c r="E219" i="1"/>
  <c r="E20" i="1" s="1"/>
  <c r="B219" i="1"/>
  <c r="B20" i="1" s="1"/>
  <c r="I253" i="1" l="1"/>
  <c r="I18" i="1" s="1"/>
  <c r="E253" i="1"/>
  <c r="E18" i="1" s="1"/>
  <c r="B253" i="1"/>
  <c r="B18" i="1" s="1"/>
  <c r="I270" i="1"/>
  <c r="I17" i="1" s="1"/>
  <c r="E270" i="1"/>
  <c r="E17" i="1" s="1"/>
  <c r="B258" i="1"/>
  <c r="B270" i="1" s="1"/>
  <c r="B17" i="1" s="1"/>
  <c r="I202" i="1" l="1"/>
  <c r="I21" i="1" s="1"/>
  <c r="B19" i="1"/>
  <c r="B32" i="1" s="1"/>
  <c r="I19" i="1"/>
  <c r="E19" i="1"/>
  <c r="E32" i="1" s="1"/>
  <c r="I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Fosdick, Brian J; FTE; 08-16-2017</author>
  </authors>
  <commentList>
    <comment ref="I108" authorId="0" shapeId="0" xr:uid="{00000000-0006-0000-0000-000001000000}">
      <text>
        <r>
          <rPr>
            <sz val="9"/>
            <color indexed="81"/>
            <rFont val="Tahoma"/>
            <family val="2"/>
          </rPr>
          <t>Includes $612.02 in returned admin fees.</t>
        </r>
      </text>
    </comment>
    <comment ref="I125" authorId="0" shapeId="0" xr:uid="{00000000-0006-0000-0000-000002000000}">
      <text>
        <r>
          <rPr>
            <sz val="9"/>
            <color indexed="81"/>
            <rFont val="Tahoma"/>
            <family val="2"/>
          </rPr>
          <t>Distribution includes a return of $5,701.61 in collected admin fees.</t>
        </r>
      </text>
    </comment>
  </commentList>
</comments>
</file>

<file path=xl/sharedStrings.xml><?xml version="1.0" encoding="utf-8"?>
<sst xmlns="http://schemas.openxmlformats.org/spreadsheetml/2006/main" count="318" uniqueCount="127">
  <si>
    <t>Distribution by Month</t>
  </si>
  <si>
    <t>Cumulative Total</t>
  </si>
  <si>
    <t>Distribution</t>
  </si>
  <si>
    <t>January - December</t>
  </si>
  <si>
    <t>Distributions</t>
  </si>
  <si>
    <t>STADIUM TAX DISTRIBUTIONS BY FISCAL YEAR</t>
  </si>
  <si>
    <t xml:space="preserve">July - June </t>
  </si>
  <si>
    <t>STADIUM DISTRIBUTIONS BY CALENDAR YEAR</t>
  </si>
  <si>
    <t>Green Bay/Brown County Professional Football Stadium District sales tax FY</t>
  </si>
  <si>
    <t>Southeast Wisconsin Professional Baseball Park District sales tax FY11</t>
  </si>
  <si>
    <t>Southeast Wisconsin Professional Baseball Park District Brewer plates FY11</t>
  </si>
  <si>
    <t>Green Bay/Brown County Professional Football Stadium District sales tax FY11</t>
  </si>
  <si>
    <t>FY11</t>
  </si>
  <si>
    <t>Total FY11</t>
  </si>
  <si>
    <t>2011 Distributions</t>
  </si>
  <si>
    <t>TOTAL 2011</t>
  </si>
  <si>
    <t>The following worksheet shows distributions to the two districts that have 
enacted local sales tax plus the Brewer License Plate fee.</t>
  </si>
  <si>
    <t>Southeast Wisconsin Professional Baseball 
Park District - 2011</t>
  </si>
  <si>
    <t>Southeast Wisconsin Professional Baseball
 Park District - 2011</t>
  </si>
  <si>
    <t>Green Bay/Brown County Professional Football
Stadium District - 2011</t>
  </si>
  <si>
    <t>Southeast Wisconsin Professional Baseball 
Park District - Sales Tax</t>
  </si>
  <si>
    <t>Southeast Wisconsin Professional Baseball Park District - Brewer Plates</t>
  </si>
  <si>
    <t>Green Bay/Brown County Professional Football Stadium District - Sales Tax</t>
  </si>
  <si>
    <t>FY12</t>
  </si>
  <si>
    <t>Southeast Wisconsin Professional Baseball Park District sales tax FY12</t>
  </si>
  <si>
    <t>Southeast Wisconsin Professional Baseball Park District Brewer plates FY12</t>
  </si>
  <si>
    <t>Green Bay/Brown County Professional Football Stadium District sales tax FY12</t>
  </si>
  <si>
    <t>Total FY12</t>
  </si>
  <si>
    <t>The following worksheet shows distributions to the two Districts that have 
enacted local sales tax plus the Brewer License Plate fee</t>
  </si>
  <si>
    <t>2012 Distributions</t>
  </si>
  <si>
    <t>TOTAL 2012</t>
  </si>
  <si>
    <t>Southeast Wisconsin Professional Baseball Park District sales tax FY13</t>
  </si>
  <si>
    <t>Southeast Wisconsin Professional Baseball Park District Brewer plates FY13</t>
  </si>
  <si>
    <t>Green Bay/Brown County Professional Football Stadium District sales tax FY13</t>
  </si>
  <si>
    <t>Total FY13</t>
  </si>
  <si>
    <t>FY13</t>
  </si>
  <si>
    <t>2013 Distributions</t>
  </si>
  <si>
    <t>TOTAL 2013</t>
  </si>
  <si>
    <t>Southeast Wisconsin Professional Baseball Park District Brewer plates FY</t>
  </si>
  <si>
    <t>Southeast Wisconsin Professional Baseball Park District sales tax FY</t>
  </si>
  <si>
    <t>Southeast Wisconsin Professional Baseball Park District sales tax FY14</t>
  </si>
  <si>
    <t>Southeast Wisconsin Professional Baseball Park District Brewer plates FY14</t>
  </si>
  <si>
    <t>Green Bay/Brown County Professional Football Stadium District sales tax FY14</t>
  </si>
  <si>
    <t>FY14</t>
  </si>
  <si>
    <t>Total FY14</t>
  </si>
  <si>
    <t>2014 Distributions</t>
  </si>
  <si>
    <t>TOTAL 2014</t>
  </si>
  <si>
    <t>FY15</t>
  </si>
  <si>
    <t>Southeast Wisconsin Professional Baseball Park District sales tax FY15</t>
  </si>
  <si>
    <t>Southeast Wisconsin Professional Baseball Park District Brewer plates FY15</t>
  </si>
  <si>
    <t>Green Bay/Brown County Professional Football Stadium District sales tax FY15</t>
  </si>
  <si>
    <t>Total FY15</t>
  </si>
  <si>
    <t>2015 Distributions</t>
  </si>
  <si>
    <t>TOTAL 2015</t>
  </si>
  <si>
    <t>Southeast Wisconsin Professional Baseball Park District Brewer plates FY16</t>
  </si>
  <si>
    <t>Green Bay/Brown County Professional Football Stadium District sales tax FY16</t>
  </si>
  <si>
    <t>Total FY16</t>
  </si>
  <si>
    <t>FY16</t>
  </si>
  <si>
    <t>TOTAL 2016</t>
  </si>
  <si>
    <t>2016 Distributions</t>
  </si>
  <si>
    <t>Southeastern Wisconsin Professional Baseball
Park District 2015</t>
  </si>
  <si>
    <t>Green Bay/Brown County Professional Football
Stadium District 2015</t>
  </si>
  <si>
    <t>Southeastern Wisconsin Professional Baseball
Park District 2014</t>
  </si>
  <si>
    <t>Green Bay/Brown County Professional Football
Stadium District 2014</t>
  </si>
  <si>
    <t>Southeastern Wisconsin Professional Baseball
Park District 2013</t>
  </si>
  <si>
    <t>Green Bay/Brown County Professional Football
Stadium District 2013</t>
  </si>
  <si>
    <t>Southeastern Wisconsin Professional Baseball
Park District 2012</t>
  </si>
  <si>
    <t>Green Bay/Brown County Professional Football
Stadium District 2012</t>
  </si>
  <si>
    <t>Southeastern Wisconsin Professional Baseball
Park District 2016</t>
  </si>
  <si>
    <t>Green Bay/Brown County Professional Football
Stadium District 2016</t>
  </si>
  <si>
    <t>Southeastern Wisconsin Professional Baseball
Park District 2017</t>
  </si>
  <si>
    <t>Southeast Wisconsin Professional Baseball Park District Brewer plates FY17</t>
  </si>
  <si>
    <t>Green Bay/Brown County Professional Football Stadium District sales tax FY17</t>
  </si>
  <si>
    <t>FY17</t>
  </si>
  <si>
    <t>Total FY17</t>
  </si>
  <si>
    <t>Green Bay/Brown County Professional Football
Stadium District 2017</t>
  </si>
  <si>
    <t>2017 Distributions</t>
  </si>
  <si>
    <t>TOTAL 2017</t>
  </si>
  <si>
    <t>Southeast Wisconsin Professional Baseball Park District sales tax FY16</t>
  </si>
  <si>
    <t>Southeast Wisconsin Professional Baseball Park District sales tax FY17</t>
  </si>
  <si>
    <t>Southeast Wisconsin Professional Baseball Park District sales tax FY18</t>
  </si>
  <si>
    <t>Southeast Wisconsin Professional Baseball Park District Brewer plates FY18</t>
  </si>
  <si>
    <t>Green Bay/Brown County Professional Football Stadium District sales tax FY18</t>
  </si>
  <si>
    <t>Total FY18</t>
  </si>
  <si>
    <t>FY18</t>
  </si>
  <si>
    <t>2018 Distributions</t>
  </si>
  <si>
    <t>TOTAL 2018</t>
  </si>
  <si>
    <t>Southeastern Wisconsin Professional Baseball
Park District 2018</t>
  </si>
  <si>
    <t>Green Bay/Brown County Professional Football
Stadium District 2018</t>
  </si>
  <si>
    <t>Southeast Wisconsin Professional Baseball Park District sales tax FY19</t>
  </si>
  <si>
    <t>Southeast Wisconsin Professional Baseball Park District Brewer plates FY19</t>
  </si>
  <si>
    <t>Green Bay/Brown County Professional Football Stadium District sales tax FY19</t>
  </si>
  <si>
    <t>Total FY19</t>
  </si>
  <si>
    <t>FY19</t>
  </si>
  <si>
    <t>Southeastern Wisconsin Professional Baseball
Park District 2019</t>
  </si>
  <si>
    <t>Green Bay/Brown County Professional Football
Stadium District 2019</t>
  </si>
  <si>
    <t>2019 Distributions</t>
  </si>
  <si>
    <t>TOTAL 2019</t>
  </si>
  <si>
    <t>Total FY20</t>
  </si>
  <si>
    <t>FY20</t>
  </si>
  <si>
    <t>2020 Distributions</t>
  </si>
  <si>
    <t>TOTAL 2020</t>
  </si>
  <si>
    <t>County</t>
  </si>
  <si>
    <t>Milwaukee</t>
  </si>
  <si>
    <t>Ozaukee</t>
  </si>
  <si>
    <t>Racine</t>
  </si>
  <si>
    <t>Washington</t>
  </si>
  <si>
    <t>Waukesha</t>
  </si>
  <si>
    <t>Distribution Amount</t>
  </si>
  <si>
    <t>TOTAL 2021</t>
  </si>
  <si>
    <t>FY21</t>
  </si>
  <si>
    <t>Total FY21</t>
  </si>
  <si>
    <t>FY22</t>
  </si>
  <si>
    <t>Southeastern Wisconsin Professional Baseball
Park District 2020</t>
  </si>
  <si>
    <t>Green Bay/Brown County Professional Football
Stadium District 2020</t>
  </si>
  <si>
    <t>Southeastern Wisconsin Professional Baseball
Park District 2021</t>
  </si>
  <si>
    <t>Green Bay/Brown County Professional Football
Stadium District 2021</t>
  </si>
  <si>
    <t>2021 Distributions</t>
  </si>
  <si>
    <t>2022 Distributions</t>
  </si>
  <si>
    <t>TOTAL 2022</t>
  </si>
  <si>
    <t>FY23</t>
  </si>
  <si>
    <t>Total FY22</t>
  </si>
  <si>
    <t>Total FY23</t>
  </si>
  <si>
    <t>Total FY24</t>
  </si>
  <si>
    <t>FY24</t>
  </si>
  <si>
    <t>FY25</t>
  </si>
  <si>
    <t>Southeast Wisconsin Professional Baseball Park District Sales Tax FY24 Distribution 1/31/2025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</si>
</sst>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</numFmts>
  <fonts count="19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.85"/>
      <color indexed="8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1"/>
      <color indexed="12"/>
      <name val="Arial"/>
      <family val="2"/>
    </font>
    <font>
      <sz val="10"/>
      <color indexed="12"/>
      <name val="Arial"/>
      <family val="2"/>
    </font>
    <font>
      <b/>
      <sz val="11"/>
      <color indexed="17"/>
      <name val="Arial"/>
      <family val="2"/>
    </font>
    <font>
      <sz val="10"/>
      <color indexed="17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left"/>
    </xf>
    <xf numFmtId="43" fontId="2" fillId="0" borderId="0" xfId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2" fillId="0" borderId="0" xfId="0" applyFont="1" applyBorder="1"/>
    <xf numFmtId="43" fontId="2" fillId="0" borderId="0" xfId="1" applyFont="1" applyAlignment="1">
      <alignment horizontal="left"/>
    </xf>
    <xf numFmtId="164" fontId="4" fillId="0" borderId="0" xfId="1" applyNumberFormat="1" applyFont="1" applyBorder="1" applyAlignment="1">
      <alignment horizontal="left"/>
    </xf>
    <xf numFmtId="8" fontId="3" fillId="0" borderId="1" xfId="1" applyNumberFormat="1" applyFont="1" applyBorder="1"/>
    <xf numFmtId="8" fontId="3" fillId="0" borderId="0" xfId="0" applyNumberFormat="1" applyFont="1" applyBorder="1"/>
    <xf numFmtId="43" fontId="4" fillId="0" borderId="1" xfId="1" applyFont="1" applyBorder="1" applyAlignment="1">
      <alignment horizontal="right"/>
    </xf>
    <xf numFmtId="0" fontId="2" fillId="0" borderId="1" xfId="0" applyFont="1" applyBorder="1"/>
    <xf numFmtId="8" fontId="3" fillId="0" borderId="0" xfId="1" applyNumberFormat="1" applyFont="1" applyBorder="1"/>
    <xf numFmtId="164" fontId="2" fillId="0" borderId="1" xfId="0" applyNumberFormat="1" applyFont="1" applyBorder="1" applyAlignment="1">
      <alignment horizontal="left"/>
    </xf>
    <xf numFmtId="44" fontId="8" fillId="0" borderId="1" xfId="2" applyFont="1" applyBorder="1" applyAlignment="1">
      <alignment horizontal="right" vertical="center"/>
    </xf>
    <xf numFmtId="44" fontId="6" fillId="0" borderId="1" xfId="2" applyFont="1" applyBorder="1"/>
    <xf numFmtId="44" fontId="4" fillId="0" borderId="1" xfId="2" applyFont="1" applyBorder="1"/>
    <xf numFmtId="44" fontId="1" fillId="0" borderId="1" xfId="2" applyFont="1" applyBorder="1"/>
    <xf numFmtId="44" fontId="1" fillId="0" borderId="1" xfId="0" applyNumberFormat="1" applyFont="1" applyBorder="1"/>
    <xf numFmtId="164" fontId="3" fillId="0" borderId="1" xfId="0" applyNumberFormat="1" applyFont="1" applyBorder="1" applyAlignment="1">
      <alignment horizontal="left"/>
    </xf>
    <xf numFmtId="164" fontId="4" fillId="0" borderId="1" xfId="1" applyNumberFormat="1" applyFont="1" applyBorder="1" applyAlignment="1">
      <alignment horizontal="left"/>
    </xf>
    <xf numFmtId="43" fontId="2" fillId="0" borderId="0" xfId="1" applyFont="1" applyBorder="1"/>
    <xf numFmtId="0" fontId="3" fillId="0" borderId="1" xfId="0" applyFont="1" applyBorder="1" applyAlignment="1">
      <alignment horizontal="center"/>
    </xf>
    <xf numFmtId="44" fontId="6" fillId="0" borderId="1" xfId="3" applyFont="1" applyBorder="1"/>
    <xf numFmtId="164" fontId="3" fillId="0" borderId="0" xfId="0" applyNumberFormat="1" applyFont="1" applyBorder="1" applyAlignment="1">
      <alignment horizontal="left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8" fontId="2" fillId="0" borderId="0" xfId="0" applyNumberFormat="1" applyFont="1" applyFill="1" applyBorder="1"/>
    <xf numFmtId="8" fontId="3" fillId="0" borderId="0" xfId="0" applyNumberFormat="1" applyFont="1" applyFill="1" applyBorder="1"/>
    <xf numFmtId="44" fontId="6" fillId="0" borderId="0" xfId="2" applyFont="1" applyFill="1" applyBorder="1"/>
    <xf numFmtId="44" fontId="8" fillId="0" borderId="0" xfId="2" applyFont="1" applyFill="1" applyBorder="1" applyAlignment="1">
      <alignment horizontal="right" vertical="center"/>
    </xf>
    <xf numFmtId="44" fontId="1" fillId="0" borderId="0" xfId="0" applyNumberFormat="1" applyFont="1" applyFill="1" applyBorder="1"/>
    <xf numFmtId="8" fontId="3" fillId="0" borderId="0" xfId="1" applyNumberFormat="1" applyFont="1" applyFill="1" applyBorder="1"/>
    <xf numFmtId="0" fontId="2" fillId="0" borderId="0" xfId="0" applyFont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3" fontId="1" fillId="0" borderId="0" xfId="1" applyFont="1"/>
    <xf numFmtId="43" fontId="1" fillId="0" borderId="0" xfId="1" applyFont="1" applyAlignment="1">
      <alignment horizontal="left"/>
    </xf>
    <xf numFmtId="43" fontId="1" fillId="0" borderId="0" xfId="1" applyFont="1" applyBorder="1"/>
    <xf numFmtId="0" fontId="1" fillId="0" borderId="0" xfId="0" applyFont="1"/>
    <xf numFmtId="164" fontId="1" fillId="0" borderId="1" xfId="1" applyNumberFormat="1" applyFont="1" applyBorder="1" applyAlignment="1">
      <alignment horizontal="left"/>
    </xf>
    <xf numFmtId="43" fontId="1" fillId="0" borderId="4" xfId="1" applyFont="1" applyBorder="1"/>
    <xf numFmtId="43" fontId="1" fillId="0" borderId="5" xfId="1" applyFont="1" applyBorder="1"/>
    <xf numFmtId="43" fontId="1" fillId="0" borderId="3" xfId="1" applyFont="1" applyBorder="1"/>
    <xf numFmtId="43" fontId="1" fillId="0" borderId="1" xfId="1" applyFont="1" applyBorder="1" applyAlignment="1">
      <alignment horizontal="left"/>
    </xf>
    <xf numFmtId="0" fontId="2" fillId="0" borderId="0" xfId="0" applyFont="1" applyBorder="1" applyAlignment="1">
      <alignment vertical="center"/>
    </xf>
    <xf numFmtId="43" fontId="2" fillId="0" borderId="1" xfId="1" applyFont="1" applyBorder="1" applyAlignment="1">
      <alignment horizontal="left"/>
    </xf>
    <xf numFmtId="43" fontId="3" fillId="0" borderId="1" xfId="1" applyFont="1" applyBorder="1" applyAlignment="1">
      <alignment horizontal="right"/>
    </xf>
    <xf numFmtId="43" fontId="2" fillId="0" borderId="3" xfId="1" applyFont="1" applyBorder="1"/>
    <xf numFmtId="43" fontId="2" fillId="0" borderId="5" xfId="1" applyFont="1" applyBorder="1"/>
    <xf numFmtId="43" fontId="2" fillId="0" borderId="4" xfId="1" applyFont="1" applyBorder="1"/>
    <xf numFmtId="44" fontId="17" fillId="0" borderId="1" xfId="2" applyFont="1" applyBorder="1" applyAlignment="1">
      <alignment horizontal="right" vertical="center"/>
    </xf>
    <xf numFmtId="0" fontId="2" fillId="0" borderId="1" xfId="0" applyFont="1" applyBorder="1" applyAlignment="1">
      <alignment horizontal="left"/>
    </xf>
    <xf numFmtId="44" fontId="2" fillId="0" borderId="1" xfId="2" applyFont="1" applyBorder="1"/>
    <xf numFmtId="44" fontId="3" fillId="0" borderId="1" xfId="2" applyFont="1" applyBorder="1"/>
    <xf numFmtId="43" fontId="3" fillId="0" borderId="0" xfId="1" applyFont="1" applyBorder="1" applyAlignment="1">
      <alignment horizontal="left"/>
    </xf>
    <xf numFmtId="44" fontId="3" fillId="0" borderId="0" xfId="2" applyFont="1" applyBorder="1"/>
    <xf numFmtId="43" fontId="2" fillId="0" borderId="0" xfId="1" applyFont="1" applyBorder="1" applyAlignment="1">
      <alignment vertical="center"/>
    </xf>
    <xf numFmtId="43" fontId="2" fillId="0" borderId="0" xfId="1" applyFont="1" applyFill="1" applyBorder="1"/>
    <xf numFmtId="164" fontId="2" fillId="0" borderId="1" xfId="1" applyNumberFormat="1" applyFont="1" applyBorder="1" applyAlignment="1">
      <alignment horizontal="left"/>
    </xf>
    <xf numFmtId="44" fontId="2" fillId="0" borderId="1" xfId="3" applyFont="1" applyBorder="1"/>
    <xf numFmtId="164" fontId="3" fillId="0" borderId="1" xfId="1" applyNumberFormat="1" applyFont="1" applyBorder="1" applyAlignment="1">
      <alignment horizontal="left"/>
    </xf>
    <xf numFmtId="43" fontId="2" fillId="0" borderId="2" xfId="1" applyFont="1" applyBorder="1" applyAlignment="1">
      <alignment horizontal="left"/>
    </xf>
    <xf numFmtId="43" fontId="3" fillId="0" borderId="2" xfId="1" applyFont="1" applyBorder="1" applyAlignment="1">
      <alignment horizontal="right"/>
    </xf>
    <xf numFmtId="164" fontId="3" fillId="0" borderId="0" xfId="1" applyNumberFormat="1" applyFont="1" applyBorder="1" applyAlignment="1">
      <alignment horizontal="left"/>
    </xf>
    <xf numFmtId="44" fontId="2" fillId="0" borderId="1" xfId="0" applyNumberFormat="1" applyFont="1" applyBorder="1"/>
    <xf numFmtId="44" fontId="3" fillId="0" borderId="1" xfId="0" applyNumberFormat="1" applyFont="1" applyBorder="1"/>
    <xf numFmtId="44" fontId="3" fillId="0" borderId="1" xfId="0" applyNumberFormat="1" applyFont="1" applyBorder="1" applyAlignment="1">
      <alignment horizontal="center"/>
    </xf>
    <xf numFmtId="43" fontId="3" fillId="0" borderId="1" xfId="1" applyFont="1" applyBorder="1" applyAlignment="1"/>
    <xf numFmtId="44" fontId="3" fillId="0" borderId="1" xfId="1" applyNumberFormat="1" applyFont="1" applyBorder="1"/>
    <xf numFmtId="44" fontId="3" fillId="0" borderId="0" xfId="1" applyNumberFormat="1" applyFont="1" applyBorder="1"/>
    <xf numFmtId="44" fontId="6" fillId="0" borderId="1" xfId="2" applyFont="1" applyFill="1" applyBorder="1"/>
    <xf numFmtId="43" fontId="3" fillId="0" borderId="0" xfId="1" applyFont="1" applyBorder="1" applyAlignment="1"/>
    <xf numFmtId="44" fontId="3" fillId="0" borderId="0" xfId="0" applyNumberFormat="1" applyFont="1" applyBorder="1"/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4" fillId="3" borderId="0" xfId="0" applyNumberFormat="1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13" fillId="2" borderId="0" xfId="0" applyFont="1" applyFill="1" applyAlignment="1">
      <alignment horizontal="center"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center" vertical="center" wrapText="1"/>
    </xf>
  </cellXfs>
  <cellStyles count="4">
    <cellStyle name="Comma" xfId="1" builtinId="3"/>
    <cellStyle name="Currency" xfId="2" builtinId="4"/>
    <cellStyle name="Currency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N271"/>
  <sheetViews>
    <sheetView tabSelected="1" zoomScale="90" zoomScaleNormal="90" zoomScaleSheetLayoutView="100" workbookViewId="0">
      <selection sqref="A1:I1"/>
    </sheetView>
  </sheetViews>
  <sheetFormatPr defaultColWidth="9.140625" defaultRowHeight="14.25" x14ac:dyDescent="0.2"/>
  <cols>
    <col min="1" max="2" width="22.7109375" style="1" customWidth="1"/>
    <col min="3" max="3" width="2.7109375" style="1" customWidth="1"/>
    <col min="4" max="5" width="22.7109375" style="1" customWidth="1"/>
    <col min="6" max="6" width="2.7109375" style="29" customWidth="1"/>
    <col min="7" max="7" width="2.7109375" style="1" customWidth="1"/>
    <col min="8" max="8" width="22.7109375" style="2" customWidth="1"/>
    <col min="9" max="9" width="22.7109375" style="3" customWidth="1"/>
    <col min="10" max="10" width="2.5703125" style="1" customWidth="1"/>
    <col min="11" max="11" width="29" style="1" bestFit="1" customWidth="1"/>
    <col min="12" max="12" width="16.140625" style="1" bestFit="1" customWidth="1"/>
    <col min="13" max="13" width="4.7109375" style="1" customWidth="1"/>
    <col min="14" max="16384" width="9.140625" style="1"/>
  </cols>
  <sheetData>
    <row r="1" spans="1:12" ht="13.9" customHeight="1" x14ac:dyDescent="0.25">
      <c r="A1" s="93" t="s">
        <v>5</v>
      </c>
      <c r="B1" s="93"/>
      <c r="C1" s="93"/>
      <c r="D1" s="93"/>
      <c r="E1" s="93"/>
      <c r="F1" s="93"/>
      <c r="G1" s="93"/>
      <c r="H1" s="93"/>
      <c r="I1" s="93"/>
    </row>
    <row r="2" spans="1:12" ht="37.9" customHeight="1" x14ac:dyDescent="0.2">
      <c r="A2" s="94" t="s">
        <v>28</v>
      </c>
      <c r="B2" s="94"/>
      <c r="C2" s="94"/>
      <c r="D2" s="94"/>
      <c r="E2" s="94"/>
      <c r="F2" s="94"/>
      <c r="G2" s="94"/>
      <c r="H2" s="94"/>
      <c r="I2" s="94"/>
    </row>
    <row r="3" spans="1:12" ht="13.9" customHeight="1" x14ac:dyDescent="0.2">
      <c r="H3" s="1"/>
      <c r="I3" s="1"/>
    </row>
    <row r="4" spans="1:12" ht="13.9" customHeight="1" x14ac:dyDescent="0.25">
      <c r="A4" s="95" t="s">
        <v>6</v>
      </c>
      <c r="B4" s="95"/>
      <c r="C4" s="95"/>
      <c r="D4" s="95"/>
      <c r="E4" s="95"/>
      <c r="F4" s="95"/>
      <c r="G4" s="95"/>
      <c r="H4" s="95"/>
      <c r="I4" s="95"/>
    </row>
    <row r="5" spans="1:12" ht="13.9" customHeight="1" x14ac:dyDescent="0.25">
      <c r="A5" s="80"/>
      <c r="B5" s="80"/>
      <c r="C5" s="80"/>
      <c r="D5" s="80"/>
      <c r="E5" s="80"/>
      <c r="F5" s="80"/>
      <c r="G5" s="80"/>
      <c r="H5" s="80"/>
      <c r="I5" s="80"/>
    </row>
    <row r="6" spans="1:12" ht="45" customHeight="1" x14ac:dyDescent="0.25">
      <c r="A6" s="96" t="s">
        <v>126</v>
      </c>
      <c r="B6" s="97"/>
      <c r="C6" s="80"/>
      <c r="D6" s="80"/>
      <c r="E6" s="80"/>
      <c r="F6" s="80"/>
      <c r="G6" s="80"/>
      <c r="H6" s="80"/>
      <c r="I6" s="80"/>
      <c r="K6" s="102"/>
      <c r="L6" s="103"/>
    </row>
    <row r="7" spans="1:12" ht="13.9" customHeight="1" x14ac:dyDescent="0.25">
      <c r="A7" s="87" t="s">
        <v>102</v>
      </c>
      <c r="B7" s="88" t="s">
        <v>108</v>
      </c>
      <c r="C7" s="80"/>
      <c r="D7" s="80"/>
      <c r="E7" s="80"/>
      <c r="F7" s="80"/>
      <c r="G7" s="80"/>
      <c r="H7" s="80"/>
      <c r="I7" s="80"/>
      <c r="K7" s="89"/>
      <c r="L7" s="89"/>
    </row>
    <row r="8" spans="1:12" ht="13.9" customHeight="1" x14ac:dyDescent="0.25">
      <c r="A8" s="81" t="s">
        <v>103</v>
      </c>
      <c r="B8" s="82">
        <f>896954.88</f>
        <v>896954.88</v>
      </c>
      <c r="C8" s="80"/>
      <c r="D8" s="80"/>
      <c r="E8" s="80"/>
      <c r="F8" s="80"/>
      <c r="G8" s="80"/>
      <c r="H8" s="80"/>
      <c r="I8" s="80"/>
      <c r="K8" s="90"/>
      <c r="L8" s="91"/>
    </row>
    <row r="9" spans="1:12" ht="13.9" customHeight="1" x14ac:dyDescent="0.25">
      <c r="A9" s="81" t="s">
        <v>104</v>
      </c>
      <c r="B9" s="82">
        <f>88739.67</f>
        <v>88739.67</v>
      </c>
      <c r="C9" s="80"/>
      <c r="D9" s="80"/>
      <c r="E9" s="80"/>
      <c r="F9" s="80"/>
      <c r="G9" s="80"/>
      <c r="H9" s="80"/>
      <c r="I9" s="80"/>
      <c r="K9" s="90"/>
      <c r="L9" s="91"/>
    </row>
    <row r="10" spans="1:12" ht="13.9" customHeight="1" x14ac:dyDescent="0.25">
      <c r="A10" s="81" t="s">
        <v>105</v>
      </c>
      <c r="B10" s="82">
        <f>189448.73</f>
        <v>189448.73</v>
      </c>
      <c r="C10" s="80"/>
      <c r="D10" s="80"/>
      <c r="E10" s="80"/>
      <c r="F10" s="80"/>
      <c r="G10" s="80"/>
      <c r="H10" s="80"/>
      <c r="I10" s="80"/>
      <c r="K10" s="90"/>
      <c r="L10" s="91"/>
    </row>
    <row r="11" spans="1:12" ht="13.9" customHeight="1" x14ac:dyDescent="0.25">
      <c r="A11" s="81" t="s">
        <v>106</v>
      </c>
      <c r="B11" s="82">
        <f>132301.8</f>
        <v>132301.79999999999</v>
      </c>
      <c r="C11" s="80"/>
      <c r="D11" s="80"/>
      <c r="E11" s="80"/>
      <c r="F11" s="80"/>
      <c r="G11" s="80"/>
      <c r="H11" s="80"/>
      <c r="I11" s="80"/>
      <c r="K11" s="90"/>
      <c r="L11" s="91"/>
    </row>
    <row r="12" spans="1:12" ht="13.9" customHeight="1" x14ac:dyDescent="0.25">
      <c r="A12" s="83" t="s">
        <v>107</v>
      </c>
      <c r="B12" s="84">
        <f>394304.51</f>
        <v>394304.51</v>
      </c>
      <c r="C12" s="80"/>
      <c r="D12" s="80"/>
      <c r="E12" s="80"/>
      <c r="F12" s="80"/>
      <c r="G12" s="80"/>
      <c r="H12" s="80"/>
      <c r="I12" s="80"/>
      <c r="K12" s="90"/>
      <c r="L12" s="91"/>
    </row>
    <row r="13" spans="1:12" ht="13.9" customHeight="1" x14ac:dyDescent="0.25">
      <c r="A13" s="85" t="s">
        <v>1</v>
      </c>
      <c r="B13" s="86">
        <f>SUM(B8:B12)</f>
        <v>1701749.59</v>
      </c>
      <c r="C13" s="80"/>
      <c r="D13" s="80"/>
      <c r="E13" s="80"/>
      <c r="F13" s="80"/>
      <c r="G13" s="80"/>
      <c r="H13" s="80"/>
      <c r="I13" s="80"/>
      <c r="K13" s="89"/>
      <c r="L13" s="92"/>
    </row>
    <row r="14" spans="1:12" ht="13.9" customHeight="1" x14ac:dyDescent="0.25">
      <c r="A14" s="4"/>
      <c r="B14" s="4"/>
      <c r="C14" s="4"/>
      <c r="D14" s="4"/>
      <c r="E14" s="4"/>
      <c r="F14" s="30"/>
      <c r="G14" s="4"/>
      <c r="H14" s="4"/>
      <c r="I14" s="4"/>
    </row>
    <row r="15" spans="1:12" s="38" customFormat="1" ht="37.9" customHeight="1" x14ac:dyDescent="0.2">
      <c r="A15" s="104" t="s">
        <v>39</v>
      </c>
      <c r="B15" s="105"/>
      <c r="D15" s="98" t="s">
        <v>38</v>
      </c>
      <c r="E15" s="98"/>
      <c r="F15" s="39"/>
      <c r="H15" s="100" t="s">
        <v>8</v>
      </c>
      <c r="I15" s="101"/>
    </row>
    <row r="16" spans="1:12" ht="13.9" customHeight="1" x14ac:dyDescent="0.25">
      <c r="A16" s="7"/>
      <c r="B16" s="26" t="s">
        <v>2</v>
      </c>
      <c r="D16" s="7"/>
      <c r="E16" s="26" t="s">
        <v>2</v>
      </c>
      <c r="F16" s="31"/>
      <c r="H16" s="7"/>
      <c r="I16" s="73" t="s">
        <v>2</v>
      </c>
    </row>
    <row r="17" spans="1:9" ht="13.9" customHeight="1" x14ac:dyDescent="0.2">
      <c r="A17" s="15" t="s">
        <v>12</v>
      </c>
      <c r="B17" s="71">
        <f>SUM(B270)</f>
        <v>25275950.150000002</v>
      </c>
      <c r="D17" s="15" t="s">
        <v>12</v>
      </c>
      <c r="E17" s="71">
        <f>SUM(E270)</f>
        <v>29718</v>
      </c>
      <c r="F17" s="32"/>
      <c r="H17" s="15" t="s">
        <v>12</v>
      </c>
      <c r="I17" s="71">
        <f>SUM(I270)</f>
        <v>20108545.750000004</v>
      </c>
    </row>
    <row r="18" spans="1:9" ht="13.9" customHeight="1" x14ac:dyDescent="0.2">
      <c r="A18" s="15" t="s">
        <v>23</v>
      </c>
      <c r="B18" s="71">
        <f>SUM(B253)</f>
        <v>25904210.52</v>
      </c>
      <c r="D18" s="15" t="s">
        <v>23</v>
      </c>
      <c r="E18" s="71">
        <f>SUM(E253)</f>
        <v>132251.5</v>
      </c>
      <c r="F18" s="32"/>
      <c r="H18" s="15" t="s">
        <v>23</v>
      </c>
      <c r="I18" s="71">
        <f>SUM(I253)</f>
        <v>21460660.359999999</v>
      </c>
    </row>
    <row r="19" spans="1:9" ht="13.9" customHeight="1" x14ac:dyDescent="0.2">
      <c r="A19" s="15" t="s">
        <v>35</v>
      </c>
      <c r="B19" s="71">
        <f>SUM(B236)</f>
        <v>25595003.430000003</v>
      </c>
      <c r="D19" s="15" t="s">
        <v>35</v>
      </c>
      <c r="E19" s="71">
        <f>SUM(E236)</f>
        <v>186910.5</v>
      </c>
      <c r="F19" s="32"/>
      <c r="H19" s="15" t="s">
        <v>35</v>
      </c>
      <c r="I19" s="71">
        <f>SUM(I236)</f>
        <v>21539328.959999997</v>
      </c>
    </row>
    <row r="20" spans="1:9" ht="13.9" customHeight="1" x14ac:dyDescent="0.2">
      <c r="A20" s="15" t="s">
        <v>43</v>
      </c>
      <c r="B20" s="71">
        <f>B219</f>
        <v>27063405.349999994</v>
      </c>
      <c r="D20" s="15" t="s">
        <v>43</v>
      </c>
      <c r="E20" s="71">
        <f>E219</f>
        <v>213909.5</v>
      </c>
      <c r="F20" s="32"/>
      <c r="H20" s="15" t="s">
        <v>43</v>
      </c>
      <c r="I20" s="71">
        <f>I219</f>
        <v>23634088.82</v>
      </c>
    </row>
    <row r="21" spans="1:9" ht="13.9" customHeight="1" x14ac:dyDescent="0.2">
      <c r="A21" s="15" t="s">
        <v>47</v>
      </c>
      <c r="B21" s="71">
        <f>B202</f>
        <v>28942750.620000001</v>
      </c>
      <c r="D21" s="15" t="s">
        <v>47</v>
      </c>
      <c r="E21" s="71">
        <f>E202</f>
        <v>225865.5</v>
      </c>
      <c r="F21" s="32"/>
      <c r="H21" s="15" t="s">
        <v>47</v>
      </c>
      <c r="I21" s="71">
        <f>I202</f>
        <v>25105039.159999996</v>
      </c>
    </row>
    <row r="22" spans="1:9" ht="13.9" customHeight="1" x14ac:dyDescent="0.2">
      <c r="A22" s="15" t="s">
        <v>57</v>
      </c>
      <c r="B22" s="71">
        <f>B185</f>
        <v>29633462.789999999</v>
      </c>
      <c r="D22" s="15" t="s">
        <v>57</v>
      </c>
      <c r="E22" s="71">
        <f>E185</f>
        <v>239487.5</v>
      </c>
      <c r="F22" s="32"/>
      <c r="H22" s="15" t="s">
        <v>57</v>
      </c>
      <c r="I22" s="71">
        <f>I185</f>
        <v>9137129.8499999996</v>
      </c>
    </row>
    <row r="23" spans="1:9" ht="13.9" customHeight="1" x14ac:dyDescent="0.2">
      <c r="A23" s="15" t="s">
        <v>73</v>
      </c>
      <c r="B23" s="71">
        <f>B168</f>
        <v>30496161.620000001</v>
      </c>
      <c r="D23" s="15" t="s">
        <v>73</v>
      </c>
      <c r="E23" s="71">
        <f>E168</f>
        <v>239923.5</v>
      </c>
      <c r="F23" s="32"/>
      <c r="H23" s="15" t="s">
        <v>73</v>
      </c>
      <c r="I23" s="71">
        <f>I168</f>
        <v>558020.30000000005</v>
      </c>
    </row>
    <row r="24" spans="1:9" ht="13.9" customHeight="1" x14ac:dyDescent="0.2">
      <c r="A24" s="15" t="s">
        <v>84</v>
      </c>
      <c r="B24" s="71">
        <f>B151</f>
        <v>30974550.749999996</v>
      </c>
      <c r="D24" s="15" t="s">
        <v>84</v>
      </c>
      <c r="E24" s="71">
        <f>E151</f>
        <v>241256</v>
      </c>
      <c r="F24" s="32"/>
      <c r="H24" s="15" t="s">
        <v>84</v>
      </c>
      <c r="I24" s="71">
        <f>I151</f>
        <v>509289.53</v>
      </c>
    </row>
    <row r="25" spans="1:9" ht="13.9" customHeight="1" x14ac:dyDescent="0.2">
      <c r="A25" s="15" t="s">
        <v>93</v>
      </c>
      <c r="B25" s="71">
        <f>B134</f>
        <v>33039477.349999998</v>
      </c>
      <c r="D25" s="15" t="s">
        <v>93</v>
      </c>
      <c r="E25" s="71">
        <f>E134</f>
        <v>248216.5</v>
      </c>
      <c r="F25" s="32"/>
      <c r="H25" s="15" t="s">
        <v>93</v>
      </c>
      <c r="I25" s="71">
        <f>I134</f>
        <v>309862.96999999997</v>
      </c>
    </row>
    <row r="26" spans="1:9" ht="13.9" customHeight="1" x14ac:dyDescent="0.2">
      <c r="A26" s="15" t="s">
        <v>99</v>
      </c>
      <c r="B26" s="71">
        <f>B117</f>
        <v>28160583.549999997</v>
      </c>
      <c r="D26" s="15" t="s">
        <v>99</v>
      </c>
      <c r="E26" s="71">
        <f>E117</f>
        <v>268416.5</v>
      </c>
      <c r="F26" s="32"/>
      <c r="H26" s="15" t="s">
        <v>99</v>
      </c>
      <c r="I26" s="71">
        <f>I117</f>
        <v>113811.93000000001</v>
      </c>
    </row>
    <row r="27" spans="1:9" ht="13.9" customHeight="1" x14ac:dyDescent="0.2">
      <c r="A27" s="15" t="s">
        <v>110</v>
      </c>
      <c r="B27" s="71">
        <f>+B100</f>
        <v>5808142.3200000003</v>
      </c>
      <c r="D27" s="15" t="s">
        <v>110</v>
      </c>
      <c r="E27" s="71">
        <f>+E100</f>
        <v>0</v>
      </c>
      <c r="F27" s="32"/>
      <c r="H27" s="15" t="s">
        <v>110</v>
      </c>
      <c r="I27" s="71">
        <f>+I91</f>
        <v>25105.7</v>
      </c>
    </row>
    <row r="28" spans="1:9" ht="13.9" customHeight="1" x14ac:dyDescent="0.2">
      <c r="A28" s="15" t="s">
        <v>112</v>
      </c>
      <c r="B28" s="71">
        <f>+B83</f>
        <v>694395.73</v>
      </c>
      <c r="D28" s="15" t="s">
        <v>112</v>
      </c>
      <c r="E28" s="71">
        <f>+E83</f>
        <v>0</v>
      </c>
      <c r="F28" s="32"/>
      <c r="H28" s="15" t="s">
        <v>112</v>
      </c>
      <c r="I28" s="71">
        <f>+I74</f>
        <v>2995.98</v>
      </c>
    </row>
    <row r="29" spans="1:9" ht="13.9" customHeight="1" x14ac:dyDescent="0.2">
      <c r="A29" s="15" t="s">
        <v>120</v>
      </c>
      <c r="B29" s="71">
        <f>B57</f>
        <v>374639.68</v>
      </c>
      <c r="D29" s="15" t="s">
        <v>120</v>
      </c>
      <c r="E29" s="71">
        <f>+E84</f>
        <v>0</v>
      </c>
      <c r="F29" s="32"/>
      <c r="H29" s="15" t="s">
        <v>120</v>
      </c>
      <c r="I29" s="71">
        <f>I56</f>
        <v>8809.94</v>
      </c>
    </row>
    <row r="30" spans="1:9" ht="13.9" customHeight="1" x14ac:dyDescent="0.2">
      <c r="A30" s="15" t="s">
        <v>124</v>
      </c>
      <c r="B30" s="71">
        <f>390448.41</f>
        <v>390448.41</v>
      </c>
      <c r="D30" s="15" t="s">
        <v>124</v>
      </c>
      <c r="E30" s="71">
        <v>0</v>
      </c>
      <c r="F30" s="32"/>
      <c r="H30" s="15" t="s">
        <v>124</v>
      </c>
      <c r="I30" s="71">
        <f>I39</f>
        <v>107601.12</v>
      </c>
    </row>
    <row r="31" spans="1:9" ht="13.9" customHeight="1" x14ac:dyDescent="0.2">
      <c r="A31" s="15" t="s">
        <v>125</v>
      </c>
      <c r="B31" s="71">
        <f>B13</f>
        <v>1701749.59</v>
      </c>
      <c r="D31" s="15" t="s">
        <v>125</v>
      </c>
      <c r="E31" s="71">
        <v>0</v>
      </c>
      <c r="F31" s="32"/>
      <c r="H31" s="15" t="s">
        <v>125</v>
      </c>
      <c r="I31" s="71">
        <f>49216.64</f>
        <v>49216.639999999999</v>
      </c>
    </row>
    <row r="32" spans="1:9" ht="13.9" customHeight="1" x14ac:dyDescent="0.25">
      <c r="A32" s="23" t="s">
        <v>1</v>
      </c>
      <c r="B32" s="72">
        <f>SUM(B17:B28)</f>
        <v>291588094.18000001</v>
      </c>
      <c r="D32" s="23" t="s">
        <v>1</v>
      </c>
      <c r="E32" s="72">
        <f>SUM(E17:E28)</f>
        <v>2025955</v>
      </c>
      <c r="F32" s="33"/>
      <c r="H32" s="23" t="s">
        <v>1</v>
      </c>
      <c r="I32" s="72">
        <f>SUM(I17:I28)</f>
        <v>122503879.30999999</v>
      </c>
    </row>
    <row r="33" spans="1:9" ht="13.9" customHeight="1" x14ac:dyDescent="0.25">
      <c r="A33" s="28"/>
      <c r="B33" s="79"/>
      <c r="D33" s="28"/>
      <c r="E33" s="79"/>
      <c r="F33" s="33"/>
      <c r="H33" s="28"/>
      <c r="I33" s="79"/>
    </row>
    <row r="34" spans="1:9" ht="13.9" customHeight="1" x14ac:dyDescent="0.2">
      <c r="A34" s="98" t="s">
        <v>89</v>
      </c>
      <c r="B34" s="99"/>
      <c r="C34" s="40"/>
      <c r="D34" s="98" t="s">
        <v>90</v>
      </c>
      <c r="E34" s="99"/>
      <c r="F34" s="39"/>
      <c r="G34" s="40"/>
      <c r="H34" s="100" t="s">
        <v>91</v>
      </c>
      <c r="I34" s="101"/>
    </row>
    <row r="35" spans="1:9" ht="13.9" customHeight="1" x14ac:dyDescent="0.2">
      <c r="A35" s="29"/>
      <c r="B35" s="29"/>
      <c r="C35" s="29"/>
      <c r="D35" s="29"/>
      <c r="E35" s="29"/>
      <c r="G35" s="29"/>
      <c r="H35" s="29"/>
      <c r="I35" s="29"/>
    </row>
    <row r="36" spans="1:9" ht="13.9" customHeight="1" x14ac:dyDescent="0.25">
      <c r="A36" s="26" t="s">
        <v>0</v>
      </c>
      <c r="B36" s="26" t="s">
        <v>2</v>
      </c>
      <c r="C36" s="6"/>
      <c r="D36" s="26" t="s">
        <v>0</v>
      </c>
      <c r="E36" s="26" t="s">
        <v>2</v>
      </c>
      <c r="F36" s="31"/>
      <c r="G36" s="6"/>
      <c r="H36" s="26" t="s">
        <v>0</v>
      </c>
      <c r="I36" s="26" t="s">
        <v>2</v>
      </c>
    </row>
    <row r="37" spans="1:9" ht="13.9" customHeight="1" x14ac:dyDescent="0.2">
      <c r="A37" s="17">
        <v>45138</v>
      </c>
      <c r="B37" s="19"/>
      <c r="D37" s="17">
        <v>45504</v>
      </c>
      <c r="E37" s="77">
        <v>0</v>
      </c>
      <c r="F37" s="34"/>
      <c r="H37" s="17">
        <v>45138</v>
      </c>
      <c r="I37" s="27">
        <v>0</v>
      </c>
    </row>
    <row r="38" spans="1:9" ht="13.9" customHeight="1" x14ac:dyDescent="0.2">
      <c r="A38" s="17">
        <v>45168</v>
      </c>
      <c r="B38" s="27"/>
      <c r="D38" s="17"/>
      <c r="E38" s="19"/>
      <c r="F38" s="34"/>
      <c r="H38" s="17">
        <v>45168</v>
      </c>
      <c r="I38" s="27">
        <v>0</v>
      </c>
    </row>
    <row r="39" spans="1:9" ht="13.9" customHeight="1" x14ac:dyDescent="0.2">
      <c r="A39" s="17">
        <v>45198</v>
      </c>
      <c r="B39" s="27"/>
      <c r="C39" s="9"/>
      <c r="D39" s="17"/>
      <c r="E39" s="18"/>
      <c r="F39" s="35"/>
      <c r="G39" s="9"/>
      <c r="H39" s="17">
        <v>45198</v>
      </c>
      <c r="I39" s="27">
        <f>107601.12</f>
        <v>107601.12</v>
      </c>
    </row>
    <row r="40" spans="1:9" ht="13.9" customHeight="1" x14ac:dyDescent="0.2">
      <c r="A40" s="17">
        <v>45200</v>
      </c>
      <c r="B40" s="27"/>
      <c r="C40" s="9"/>
      <c r="D40" s="17"/>
      <c r="E40" s="18"/>
      <c r="F40" s="35"/>
      <c r="G40" s="9"/>
      <c r="H40" s="17">
        <v>45200</v>
      </c>
      <c r="I40" s="27">
        <v>0</v>
      </c>
    </row>
    <row r="41" spans="1:9" ht="13.9" customHeight="1" x14ac:dyDescent="0.2">
      <c r="A41" s="17">
        <v>45259</v>
      </c>
      <c r="B41" s="19"/>
      <c r="C41" s="9"/>
      <c r="D41" s="17"/>
      <c r="E41" s="22"/>
      <c r="F41" s="36"/>
      <c r="G41" s="9"/>
      <c r="H41" s="17">
        <v>45259</v>
      </c>
      <c r="I41" s="19">
        <v>0</v>
      </c>
    </row>
    <row r="42" spans="1:9" ht="13.9" customHeight="1" x14ac:dyDescent="0.2">
      <c r="A42" s="17">
        <v>45290</v>
      </c>
      <c r="B42" s="19"/>
      <c r="C42" s="9"/>
      <c r="D42" s="17"/>
      <c r="E42" s="19"/>
      <c r="F42" s="34"/>
      <c r="G42" s="9"/>
      <c r="H42" s="17">
        <v>45290</v>
      </c>
      <c r="I42" s="19">
        <v>0</v>
      </c>
    </row>
    <row r="43" spans="1:9" ht="13.9" customHeight="1" x14ac:dyDescent="0.2">
      <c r="A43" s="17">
        <v>45322</v>
      </c>
      <c r="B43" s="19"/>
      <c r="C43" s="9"/>
      <c r="D43" s="17"/>
      <c r="E43" s="19"/>
      <c r="F43" s="34"/>
      <c r="G43" s="9"/>
      <c r="H43" s="17">
        <v>45322</v>
      </c>
      <c r="I43" s="19">
        <v>0</v>
      </c>
    </row>
    <row r="44" spans="1:9" ht="13.9" customHeight="1" x14ac:dyDescent="0.2">
      <c r="A44" s="17">
        <v>45350</v>
      </c>
      <c r="B44" s="19"/>
      <c r="C44" s="9"/>
      <c r="D44" s="17"/>
      <c r="E44" s="19"/>
      <c r="F44" s="34"/>
      <c r="G44" s="9"/>
      <c r="H44" s="17">
        <v>45350</v>
      </c>
      <c r="I44" s="19">
        <v>0</v>
      </c>
    </row>
    <row r="45" spans="1:9" ht="13.9" customHeight="1" x14ac:dyDescent="0.2">
      <c r="A45" s="17">
        <v>45382</v>
      </c>
      <c r="B45" s="19"/>
      <c r="C45" s="9"/>
      <c r="D45" s="17"/>
      <c r="E45" s="19"/>
      <c r="F45" s="34"/>
      <c r="G45" s="9"/>
      <c r="H45" s="17">
        <v>45382</v>
      </c>
      <c r="I45" s="19">
        <v>0</v>
      </c>
    </row>
    <row r="46" spans="1:9" ht="13.9" customHeight="1" x14ac:dyDescent="0.2">
      <c r="A46" s="17">
        <v>45412</v>
      </c>
      <c r="B46" s="19"/>
      <c r="D46" s="17"/>
      <c r="E46" s="19"/>
      <c r="F46" s="34"/>
      <c r="H46" s="17">
        <v>45412</v>
      </c>
      <c r="I46" s="19">
        <v>0</v>
      </c>
    </row>
    <row r="47" spans="1:9" ht="13.9" customHeight="1" x14ac:dyDescent="0.2">
      <c r="A47" s="17">
        <v>45441</v>
      </c>
      <c r="B47" s="21"/>
      <c r="D47" s="17"/>
      <c r="E47" s="19"/>
      <c r="F47" s="34"/>
      <c r="H47" s="17">
        <v>45441</v>
      </c>
      <c r="I47" s="19">
        <v>0</v>
      </c>
    </row>
    <row r="48" spans="1:9" ht="13.9" customHeight="1" x14ac:dyDescent="0.2">
      <c r="A48" s="17">
        <v>45473</v>
      </c>
      <c r="B48" s="27"/>
      <c r="C48" s="9"/>
      <c r="D48" s="17"/>
      <c r="E48" s="19"/>
      <c r="F48" s="34"/>
      <c r="G48" s="9"/>
      <c r="H48" s="17">
        <v>45473</v>
      </c>
      <c r="I48" s="27">
        <v>0</v>
      </c>
    </row>
    <row r="49" spans="1:9" ht="13.9" customHeight="1" x14ac:dyDescent="0.25">
      <c r="A49" s="23" t="s">
        <v>123</v>
      </c>
      <c r="B49" s="75">
        <f>SUM(B37:B48)</f>
        <v>0</v>
      </c>
      <c r="D49" s="23" t="s">
        <v>123</v>
      </c>
      <c r="E49" s="75">
        <f>SUM(E37:E48)</f>
        <v>0</v>
      </c>
      <c r="F49" s="37"/>
      <c r="H49" s="23" t="s">
        <v>123</v>
      </c>
      <c r="I49" s="12">
        <f>SUM(I37:I48)</f>
        <v>107601.12</v>
      </c>
    </row>
    <row r="50" spans="1:9" ht="13.9" customHeight="1" x14ac:dyDescent="0.25">
      <c r="A50" s="28"/>
      <c r="B50" s="79"/>
      <c r="D50" s="28"/>
      <c r="E50" s="79"/>
      <c r="F50" s="33"/>
      <c r="H50" s="28"/>
      <c r="I50" s="79"/>
    </row>
    <row r="51" spans="1:9" ht="13.9" customHeight="1" x14ac:dyDescent="0.2">
      <c r="A51" s="98" t="s">
        <v>89</v>
      </c>
      <c r="B51" s="99"/>
      <c r="C51" s="40"/>
      <c r="D51" s="98" t="s">
        <v>90</v>
      </c>
      <c r="E51" s="99"/>
      <c r="F51" s="39"/>
      <c r="G51" s="40"/>
      <c r="H51" s="100" t="s">
        <v>91</v>
      </c>
      <c r="I51" s="101"/>
    </row>
    <row r="52" spans="1:9" ht="13.9" customHeight="1" x14ac:dyDescent="0.2">
      <c r="A52" s="29"/>
      <c r="B52" s="29"/>
      <c r="C52" s="29"/>
      <c r="D52" s="29"/>
      <c r="E52" s="29"/>
      <c r="G52" s="29"/>
      <c r="H52" s="29"/>
      <c r="I52" s="29"/>
    </row>
    <row r="53" spans="1:9" ht="13.9" customHeight="1" x14ac:dyDescent="0.25">
      <c r="A53" s="26" t="s">
        <v>0</v>
      </c>
      <c r="B53" s="26" t="s">
        <v>2</v>
      </c>
      <c r="C53" s="6"/>
      <c r="D53" s="26" t="s">
        <v>0</v>
      </c>
      <c r="E53" s="26" t="s">
        <v>2</v>
      </c>
      <c r="F53" s="31"/>
      <c r="G53" s="6"/>
      <c r="H53" s="26" t="s">
        <v>0</v>
      </c>
      <c r="I53" s="26" t="s">
        <v>2</v>
      </c>
    </row>
    <row r="54" spans="1:9" ht="13.9" customHeight="1" x14ac:dyDescent="0.2">
      <c r="A54" s="17">
        <v>44773</v>
      </c>
      <c r="B54" s="19"/>
      <c r="D54" s="17">
        <v>45138</v>
      </c>
      <c r="E54" s="77">
        <v>0</v>
      </c>
      <c r="F54" s="34"/>
      <c r="H54" s="17">
        <v>44773</v>
      </c>
      <c r="I54" s="27">
        <v>0</v>
      </c>
    </row>
    <row r="55" spans="1:9" ht="13.9" customHeight="1" x14ac:dyDescent="0.2">
      <c r="A55" s="17">
        <v>44803</v>
      </c>
      <c r="B55" s="27"/>
      <c r="D55" s="17"/>
      <c r="E55" s="19"/>
      <c r="F55" s="34"/>
      <c r="H55" s="17">
        <v>44803</v>
      </c>
      <c r="I55" s="27">
        <v>0</v>
      </c>
    </row>
    <row r="56" spans="1:9" ht="13.9" customHeight="1" x14ac:dyDescent="0.2">
      <c r="A56" s="17">
        <v>44834</v>
      </c>
      <c r="B56" s="27"/>
      <c r="C56" s="9"/>
      <c r="D56" s="17"/>
      <c r="E56" s="18"/>
      <c r="F56" s="35"/>
      <c r="G56" s="9"/>
      <c r="H56" s="17">
        <v>44834</v>
      </c>
      <c r="I56" s="27">
        <f>8809.94</f>
        <v>8809.94</v>
      </c>
    </row>
    <row r="57" spans="1:9" ht="13.9" customHeight="1" x14ac:dyDescent="0.2">
      <c r="A57" s="17">
        <v>44865</v>
      </c>
      <c r="B57" s="27">
        <f>374639.68</f>
        <v>374639.68</v>
      </c>
      <c r="C57" s="9"/>
      <c r="D57" s="17"/>
      <c r="E57" s="18"/>
      <c r="F57" s="35"/>
      <c r="G57" s="9"/>
      <c r="H57" s="17">
        <v>44835</v>
      </c>
      <c r="I57" s="27">
        <v>0</v>
      </c>
    </row>
    <row r="58" spans="1:9" ht="13.9" customHeight="1" x14ac:dyDescent="0.2">
      <c r="A58" s="17">
        <v>44894</v>
      </c>
      <c r="B58" s="19"/>
      <c r="C58" s="9"/>
      <c r="D58" s="17"/>
      <c r="E58" s="22"/>
      <c r="F58" s="36"/>
      <c r="G58" s="9"/>
      <c r="H58" s="17">
        <v>44894</v>
      </c>
      <c r="I58" s="19">
        <v>0</v>
      </c>
    </row>
    <row r="59" spans="1:9" ht="13.9" customHeight="1" x14ac:dyDescent="0.2">
      <c r="A59" s="17">
        <v>44925</v>
      </c>
      <c r="B59" s="19"/>
      <c r="C59" s="9"/>
      <c r="D59" s="17"/>
      <c r="E59" s="19"/>
      <c r="F59" s="34"/>
      <c r="G59" s="9"/>
      <c r="H59" s="17">
        <v>44925</v>
      </c>
      <c r="I59" s="19">
        <v>0</v>
      </c>
    </row>
    <row r="60" spans="1:9" ht="13.9" customHeight="1" x14ac:dyDescent="0.2">
      <c r="A60" s="17">
        <v>44957</v>
      </c>
      <c r="B60" s="19"/>
      <c r="C60" s="9"/>
      <c r="D60" s="17"/>
      <c r="E60" s="19"/>
      <c r="F60" s="34"/>
      <c r="G60" s="9"/>
      <c r="H60" s="17">
        <v>44957</v>
      </c>
      <c r="I60" s="19">
        <v>0</v>
      </c>
    </row>
    <row r="61" spans="1:9" ht="13.9" customHeight="1" x14ac:dyDescent="0.2">
      <c r="A61" s="17">
        <v>44985</v>
      </c>
      <c r="B61" s="19"/>
      <c r="C61" s="9"/>
      <c r="D61" s="17"/>
      <c r="E61" s="19"/>
      <c r="F61" s="34"/>
      <c r="G61" s="9"/>
      <c r="H61" s="17">
        <v>44985</v>
      </c>
      <c r="I61" s="19">
        <v>0</v>
      </c>
    </row>
    <row r="62" spans="1:9" ht="13.9" customHeight="1" x14ac:dyDescent="0.2">
      <c r="A62" s="17">
        <v>45016</v>
      </c>
      <c r="B62" s="19"/>
      <c r="C62" s="9"/>
      <c r="D62" s="17"/>
      <c r="E62" s="19"/>
      <c r="F62" s="34"/>
      <c r="G62" s="9"/>
      <c r="H62" s="17">
        <v>45016</v>
      </c>
      <c r="I62" s="19">
        <v>0</v>
      </c>
    </row>
    <row r="63" spans="1:9" ht="13.9" customHeight="1" x14ac:dyDescent="0.2">
      <c r="A63" s="17">
        <v>45046</v>
      </c>
      <c r="B63" s="19"/>
      <c r="D63" s="17"/>
      <c r="E63" s="19"/>
      <c r="F63" s="34"/>
      <c r="H63" s="17">
        <v>45046</v>
      </c>
      <c r="I63" s="19">
        <v>0</v>
      </c>
    </row>
    <row r="64" spans="1:9" ht="13.9" customHeight="1" x14ac:dyDescent="0.2">
      <c r="A64" s="17">
        <v>45075</v>
      </c>
      <c r="B64" s="21"/>
      <c r="D64" s="17"/>
      <c r="E64" s="19"/>
      <c r="F64" s="34"/>
      <c r="H64" s="17">
        <v>45075</v>
      </c>
      <c r="I64" s="19">
        <v>0</v>
      </c>
    </row>
    <row r="65" spans="1:9" ht="13.9" customHeight="1" x14ac:dyDescent="0.2">
      <c r="A65" s="17">
        <v>45107</v>
      </c>
      <c r="B65" s="27"/>
      <c r="C65" s="9"/>
      <c r="D65" s="17"/>
      <c r="E65" s="19"/>
      <c r="F65" s="34"/>
      <c r="G65" s="9"/>
      <c r="H65" s="17">
        <v>45107</v>
      </c>
      <c r="I65" s="27">
        <v>0</v>
      </c>
    </row>
    <row r="66" spans="1:9" ht="13.9" customHeight="1" x14ac:dyDescent="0.25">
      <c r="A66" s="23" t="s">
        <v>122</v>
      </c>
      <c r="B66" s="75">
        <f>SUM(B54:B65)</f>
        <v>374639.68</v>
      </c>
      <c r="D66" s="23" t="s">
        <v>122</v>
      </c>
      <c r="E66" s="75">
        <f>SUM(E54:E65)</f>
        <v>0</v>
      </c>
      <c r="F66" s="37"/>
      <c r="H66" s="23" t="s">
        <v>122</v>
      </c>
      <c r="I66" s="12">
        <f>SUM(I54:I65)</f>
        <v>8809.94</v>
      </c>
    </row>
    <row r="67" spans="1:9" ht="13.9" customHeight="1" x14ac:dyDescent="0.25">
      <c r="A67" s="28"/>
      <c r="B67" s="79"/>
      <c r="D67" s="28"/>
      <c r="E67" s="79"/>
      <c r="F67" s="33"/>
      <c r="H67" s="28"/>
      <c r="I67" s="79"/>
    </row>
    <row r="68" spans="1:9" ht="13.9" customHeight="1" x14ac:dyDescent="0.2">
      <c r="A68" s="98" t="s">
        <v>89</v>
      </c>
      <c r="B68" s="99"/>
      <c r="C68" s="40"/>
      <c r="D68" s="98" t="s">
        <v>90</v>
      </c>
      <c r="E68" s="99"/>
      <c r="F68" s="39"/>
      <c r="G68" s="40"/>
      <c r="H68" s="100" t="s">
        <v>91</v>
      </c>
      <c r="I68" s="101"/>
    </row>
    <row r="69" spans="1:9" ht="13.9" customHeight="1" x14ac:dyDescent="0.2">
      <c r="A69" s="29"/>
      <c r="B69" s="29"/>
      <c r="C69" s="29"/>
      <c r="D69" s="29"/>
      <c r="E69" s="29"/>
      <c r="G69" s="29"/>
      <c r="H69" s="29"/>
      <c r="I69" s="29"/>
    </row>
    <row r="70" spans="1:9" ht="13.9" customHeight="1" x14ac:dyDescent="0.25">
      <c r="A70" s="26" t="s">
        <v>0</v>
      </c>
      <c r="B70" s="26" t="s">
        <v>2</v>
      </c>
      <c r="C70" s="6"/>
      <c r="D70" s="26" t="s">
        <v>0</v>
      </c>
      <c r="E70" s="26" t="s">
        <v>2</v>
      </c>
      <c r="F70" s="31"/>
      <c r="G70" s="6"/>
      <c r="H70" s="26" t="s">
        <v>0</v>
      </c>
      <c r="I70" s="26" t="s">
        <v>2</v>
      </c>
    </row>
    <row r="71" spans="1:9" ht="13.9" customHeight="1" x14ac:dyDescent="0.2">
      <c r="A71" s="17">
        <v>44043</v>
      </c>
      <c r="B71" s="19"/>
      <c r="D71" s="17">
        <v>44773</v>
      </c>
      <c r="E71" s="77">
        <v>0</v>
      </c>
      <c r="F71" s="34"/>
      <c r="H71" s="17">
        <v>44408</v>
      </c>
      <c r="I71" s="27">
        <v>0</v>
      </c>
    </row>
    <row r="72" spans="1:9" ht="13.9" customHeight="1" x14ac:dyDescent="0.2">
      <c r="A72" s="17">
        <v>44438</v>
      </c>
      <c r="B72" s="27"/>
      <c r="D72" s="17"/>
      <c r="E72" s="19"/>
      <c r="F72" s="34"/>
      <c r="H72" s="17">
        <v>44438</v>
      </c>
      <c r="I72" s="27">
        <v>0</v>
      </c>
    </row>
    <row r="73" spans="1:9" ht="13.9" customHeight="1" x14ac:dyDescent="0.2">
      <c r="A73" s="17">
        <v>44469</v>
      </c>
      <c r="B73" s="27"/>
      <c r="C73" s="9"/>
      <c r="D73" s="17"/>
      <c r="E73" s="18"/>
      <c r="F73" s="35"/>
      <c r="G73" s="9"/>
      <c r="H73" s="17">
        <v>44469</v>
      </c>
      <c r="I73" s="27">
        <v>0</v>
      </c>
    </row>
    <row r="74" spans="1:9" ht="13.9" customHeight="1" x14ac:dyDescent="0.2">
      <c r="A74" s="17">
        <v>44500</v>
      </c>
      <c r="B74" s="27">
        <v>694395.73</v>
      </c>
      <c r="C74" s="9"/>
      <c r="D74" s="17"/>
      <c r="E74" s="18"/>
      <c r="F74" s="35"/>
      <c r="G74" s="9"/>
      <c r="H74" s="17">
        <v>44470</v>
      </c>
      <c r="I74" s="27">
        <v>2995.98</v>
      </c>
    </row>
    <row r="75" spans="1:9" ht="13.9" customHeight="1" x14ac:dyDescent="0.2">
      <c r="A75" s="17">
        <v>44529</v>
      </c>
      <c r="B75" s="19"/>
      <c r="C75" s="9"/>
      <c r="D75" s="17"/>
      <c r="E75" s="22"/>
      <c r="F75" s="36"/>
      <c r="G75" s="9"/>
      <c r="H75" s="17">
        <v>44529</v>
      </c>
      <c r="I75" s="19">
        <v>0</v>
      </c>
    </row>
    <row r="76" spans="1:9" ht="13.9" customHeight="1" x14ac:dyDescent="0.2">
      <c r="A76" s="17">
        <v>44560</v>
      </c>
      <c r="B76" s="19"/>
      <c r="C76" s="9"/>
      <c r="D76" s="17"/>
      <c r="E76" s="19"/>
      <c r="F76" s="34"/>
      <c r="G76" s="9"/>
      <c r="H76" s="17">
        <v>44560</v>
      </c>
      <c r="I76" s="19">
        <v>0</v>
      </c>
    </row>
    <row r="77" spans="1:9" ht="13.9" customHeight="1" x14ac:dyDescent="0.2">
      <c r="A77" s="17">
        <v>44592</v>
      </c>
      <c r="B77" s="19"/>
      <c r="C77" s="9"/>
      <c r="D77" s="17"/>
      <c r="E77" s="19"/>
      <c r="F77" s="34"/>
      <c r="G77" s="9"/>
      <c r="H77" s="17">
        <v>44592</v>
      </c>
      <c r="I77" s="19">
        <v>0</v>
      </c>
    </row>
    <row r="78" spans="1:9" ht="13.9" customHeight="1" x14ac:dyDescent="0.2">
      <c r="A78" s="17">
        <v>44620</v>
      </c>
      <c r="B78" s="19"/>
      <c r="C78" s="9"/>
      <c r="D78" s="17"/>
      <c r="E78" s="19"/>
      <c r="F78" s="34"/>
      <c r="G78" s="9"/>
      <c r="H78" s="17">
        <v>44620</v>
      </c>
      <c r="I78" s="19">
        <v>0</v>
      </c>
    </row>
    <row r="79" spans="1:9" ht="13.9" customHeight="1" x14ac:dyDescent="0.2">
      <c r="A79" s="17">
        <v>44651</v>
      </c>
      <c r="B79" s="19"/>
      <c r="C79" s="9"/>
      <c r="D79" s="17"/>
      <c r="E79" s="19"/>
      <c r="F79" s="34"/>
      <c r="G79" s="9"/>
      <c r="H79" s="17">
        <v>44651</v>
      </c>
      <c r="I79" s="19">
        <v>0</v>
      </c>
    </row>
    <row r="80" spans="1:9" ht="13.9" customHeight="1" x14ac:dyDescent="0.2">
      <c r="A80" s="17">
        <v>44681</v>
      </c>
      <c r="B80" s="19"/>
      <c r="D80" s="17"/>
      <c r="E80" s="19"/>
      <c r="F80" s="34"/>
      <c r="H80" s="17">
        <v>44681</v>
      </c>
      <c r="I80" s="19">
        <v>0</v>
      </c>
    </row>
    <row r="81" spans="1:14" ht="13.9" customHeight="1" x14ac:dyDescent="0.2">
      <c r="A81" s="17">
        <v>44710</v>
      </c>
      <c r="B81" s="21"/>
      <c r="D81" s="17"/>
      <c r="E81" s="19"/>
      <c r="F81" s="34"/>
      <c r="H81" s="17">
        <v>44710</v>
      </c>
      <c r="I81" s="19">
        <v>0</v>
      </c>
    </row>
    <row r="82" spans="1:14" ht="13.9" customHeight="1" x14ac:dyDescent="0.2">
      <c r="A82" s="17">
        <v>44742</v>
      </c>
      <c r="B82" s="27"/>
      <c r="C82" s="9"/>
      <c r="D82" s="17"/>
      <c r="E82" s="19"/>
      <c r="F82" s="34"/>
      <c r="G82" s="9"/>
      <c r="H82" s="17">
        <v>44742</v>
      </c>
      <c r="I82" s="27">
        <v>0</v>
      </c>
    </row>
    <row r="83" spans="1:14" ht="13.9" customHeight="1" x14ac:dyDescent="0.25">
      <c r="A83" s="23" t="s">
        <v>121</v>
      </c>
      <c r="B83" s="75">
        <f>SUM(B71:B82)</f>
        <v>694395.73</v>
      </c>
      <c r="D83" s="23" t="s">
        <v>121</v>
      </c>
      <c r="E83" s="75">
        <f>SUM(E71:E82)</f>
        <v>0</v>
      </c>
      <c r="F83" s="37"/>
      <c r="H83" s="23" t="s">
        <v>121</v>
      </c>
      <c r="I83" s="12">
        <f>SUM(I71:I82)</f>
        <v>2995.98</v>
      </c>
    </row>
    <row r="84" spans="1:14" ht="13.9" customHeight="1" x14ac:dyDescent="0.25">
      <c r="A84" s="28"/>
      <c r="B84" s="79"/>
      <c r="D84" s="28"/>
      <c r="E84" s="79"/>
      <c r="F84" s="33"/>
      <c r="H84" s="28"/>
      <c r="I84" s="79"/>
    </row>
    <row r="85" spans="1:14" ht="13.9" customHeight="1" x14ac:dyDescent="0.2">
      <c r="A85" s="98" t="s">
        <v>89</v>
      </c>
      <c r="B85" s="99"/>
      <c r="C85" s="40"/>
      <c r="D85" s="98" t="s">
        <v>90</v>
      </c>
      <c r="E85" s="99"/>
      <c r="F85" s="39"/>
      <c r="G85" s="40"/>
      <c r="H85" s="100" t="s">
        <v>91</v>
      </c>
      <c r="I85" s="101"/>
    </row>
    <row r="86" spans="1:14" ht="13.9" customHeight="1" x14ac:dyDescent="0.2">
      <c r="A86" s="29"/>
      <c r="B86" s="29"/>
      <c r="C86" s="29"/>
      <c r="D86" s="29"/>
      <c r="E86" s="29"/>
      <c r="G86" s="29"/>
      <c r="H86" s="29"/>
      <c r="I86" s="29"/>
    </row>
    <row r="87" spans="1:14" ht="13.9" customHeight="1" x14ac:dyDescent="0.25">
      <c r="A87" s="26" t="s">
        <v>0</v>
      </c>
      <c r="B87" s="26" t="s">
        <v>2</v>
      </c>
      <c r="C87" s="6"/>
      <c r="D87" s="26" t="s">
        <v>0</v>
      </c>
      <c r="E87" s="26" t="s">
        <v>2</v>
      </c>
      <c r="F87" s="31"/>
      <c r="G87" s="6"/>
      <c r="H87" s="26" t="s">
        <v>0</v>
      </c>
      <c r="I87" s="26" t="s">
        <v>2</v>
      </c>
    </row>
    <row r="88" spans="1:14" ht="13.9" customHeight="1" x14ac:dyDescent="0.2">
      <c r="A88" s="17">
        <v>44043</v>
      </c>
      <c r="B88" s="19"/>
      <c r="D88" s="17">
        <v>44043</v>
      </c>
      <c r="E88" s="77">
        <v>0</v>
      </c>
      <c r="F88" s="34"/>
      <c r="H88" s="17">
        <v>44043</v>
      </c>
      <c r="I88" s="27">
        <v>0</v>
      </c>
    </row>
    <row r="89" spans="1:14" ht="13.9" customHeight="1" x14ac:dyDescent="0.2">
      <c r="A89" s="17">
        <v>44073</v>
      </c>
      <c r="B89" s="27"/>
      <c r="D89" s="17"/>
      <c r="E89" s="19"/>
      <c r="F89" s="34"/>
      <c r="H89" s="17">
        <v>44073</v>
      </c>
      <c r="I89" s="27">
        <v>0</v>
      </c>
    </row>
    <row r="90" spans="1:14" ht="13.9" customHeight="1" x14ac:dyDescent="0.2">
      <c r="A90" s="17">
        <v>44104</v>
      </c>
      <c r="B90" s="27"/>
      <c r="C90" s="9"/>
      <c r="D90" s="17"/>
      <c r="E90" s="18"/>
      <c r="F90" s="35"/>
      <c r="G90" s="9"/>
      <c r="H90" s="17">
        <v>44104</v>
      </c>
      <c r="I90" s="27">
        <v>0</v>
      </c>
    </row>
    <row r="91" spans="1:14" ht="13.9" customHeight="1" x14ac:dyDescent="0.2">
      <c r="A91" s="17">
        <v>44135</v>
      </c>
      <c r="B91" s="27">
        <f>5808142.32</f>
        <v>5808142.3200000003</v>
      </c>
      <c r="C91" s="9"/>
      <c r="D91" s="17"/>
      <c r="E91" s="18"/>
      <c r="F91" s="35"/>
      <c r="G91" s="9"/>
      <c r="H91" s="17">
        <v>44105</v>
      </c>
      <c r="I91" s="27">
        <v>25105.7</v>
      </c>
      <c r="K91" s="29"/>
      <c r="L91" s="29"/>
      <c r="M91" s="29"/>
      <c r="N91" s="29"/>
    </row>
    <row r="92" spans="1:14" ht="13.9" customHeight="1" x14ac:dyDescent="0.2">
      <c r="A92" s="17">
        <v>44164</v>
      </c>
      <c r="B92" s="19"/>
      <c r="C92" s="9"/>
      <c r="D92" s="17"/>
      <c r="E92" s="22"/>
      <c r="F92" s="36"/>
      <c r="G92" s="9"/>
      <c r="H92" s="17">
        <v>44164</v>
      </c>
      <c r="I92" s="19">
        <v>0</v>
      </c>
    </row>
    <row r="93" spans="1:14" ht="13.9" customHeight="1" x14ac:dyDescent="0.2">
      <c r="A93" s="17">
        <v>44195</v>
      </c>
      <c r="B93" s="19"/>
      <c r="C93" s="9"/>
      <c r="D93" s="17"/>
      <c r="E93" s="19"/>
      <c r="F93" s="34"/>
      <c r="G93" s="9"/>
      <c r="H93" s="17">
        <v>44195</v>
      </c>
      <c r="I93" s="19">
        <v>0</v>
      </c>
    </row>
    <row r="94" spans="1:14" ht="13.9" customHeight="1" x14ac:dyDescent="0.2">
      <c r="A94" s="17">
        <v>44227</v>
      </c>
      <c r="B94" s="19"/>
      <c r="C94" s="9"/>
      <c r="D94" s="17"/>
      <c r="E94" s="19"/>
      <c r="F94" s="34"/>
      <c r="G94" s="9"/>
      <c r="H94" s="17">
        <v>44227</v>
      </c>
      <c r="I94" s="19">
        <v>0</v>
      </c>
    </row>
    <row r="95" spans="1:14" ht="13.9" customHeight="1" x14ac:dyDescent="0.2">
      <c r="A95" s="17">
        <v>44255</v>
      </c>
      <c r="B95" s="19"/>
      <c r="C95" s="9"/>
      <c r="D95" s="17"/>
      <c r="E95" s="19"/>
      <c r="F95" s="34"/>
      <c r="G95" s="9"/>
      <c r="H95" s="17">
        <v>44255</v>
      </c>
      <c r="I95" s="19">
        <v>0</v>
      </c>
    </row>
    <row r="96" spans="1:14" ht="13.9" customHeight="1" x14ac:dyDescent="0.2">
      <c r="A96" s="17">
        <v>44286</v>
      </c>
      <c r="B96" s="19"/>
      <c r="C96" s="9"/>
      <c r="D96" s="17"/>
      <c r="E96" s="19"/>
      <c r="F96" s="34"/>
      <c r="G96" s="9"/>
      <c r="H96" s="17">
        <v>44286</v>
      </c>
      <c r="I96" s="19">
        <v>0</v>
      </c>
    </row>
    <row r="97" spans="1:9" ht="13.9" customHeight="1" x14ac:dyDescent="0.2">
      <c r="A97" s="17">
        <v>44316</v>
      </c>
      <c r="B97" s="19"/>
      <c r="D97" s="17"/>
      <c r="E97" s="19"/>
      <c r="F97" s="34"/>
      <c r="H97" s="17">
        <v>44316</v>
      </c>
      <c r="I97" s="19">
        <v>0</v>
      </c>
    </row>
    <row r="98" spans="1:9" ht="13.9" customHeight="1" x14ac:dyDescent="0.2">
      <c r="A98" s="17">
        <v>44345</v>
      </c>
      <c r="B98" s="21"/>
      <c r="D98" s="17"/>
      <c r="E98" s="19"/>
      <c r="F98" s="34"/>
      <c r="H98" s="17">
        <v>44345</v>
      </c>
      <c r="I98" s="19">
        <v>0</v>
      </c>
    </row>
    <row r="99" spans="1:9" ht="13.9" customHeight="1" x14ac:dyDescent="0.2">
      <c r="A99" s="17">
        <v>44377</v>
      </c>
      <c r="B99" s="27"/>
      <c r="C99" s="9"/>
      <c r="D99" s="17"/>
      <c r="E99" s="19"/>
      <c r="F99" s="34"/>
      <c r="G99" s="9"/>
      <c r="H99" s="17">
        <v>44377</v>
      </c>
      <c r="I99" s="27">
        <v>0</v>
      </c>
    </row>
    <row r="100" spans="1:9" ht="13.9" customHeight="1" x14ac:dyDescent="0.25">
      <c r="A100" s="23" t="s">
        <v>111</v>
      </c>
      <c r="B100" s="75">
        <f>SUM(B88:B99)</f>
        <v>5808142.3200000003</v>
      </c>
      <c r="D100" s="23" t="s">
        <v>111</v>
      </c>
      <c r="E100" s="75">
        <f>SUM(E88:E99)</f>
        <v>0</v>
      </c>
      <c r="F100" s="37"/>
      <c r="H100" s="23" t="s">
        <v>111</v>
      </c>
      <c r="I100" s="12">
        <f>SUM(I88:I99)</f>
        <v>25105.7</v>
      </c>
    </row>
    <row r="101" spans="1:9" ht="13.9" customHeight="1" x14ac:dyDescent="0.25">
      <c r="A101" s="28"/>
      <c r="B101" s="79"/>
      <c r="D101" s="28"/>
      <c r="E101" s="79"/>
      <c r="F101" s="33"/>
      <c r="H101" s="28"/>
      <c r="I101" s="79"/>
    </row>
    <row r="102" spans="1:9" ht="13.9" customHeight="1" x14ac:dyDescent="0.2">
      <c r="A102" s="98" t="s">
        <v>89</v>
      </c>
      <c r="B102" s="99"/>
      <c r="C102" s="40"/>
      <c r="D102" s="98" t="s">
        <v>90</v>
      </c>
      <c r="E102" s="99"/>
      <c r="F102" s="39"/>
      <c r="G102" s="40"/>
      <c r="H102" s="100" t="s">
        <v>91</v>
      </c>
      <c r="I102" s="101"/>
    </row>
    <row r="103" spans="1:9" ht="13.9" customHeight="1" x14ac:dyDescent="0.2">
      <c r="A103" s="29"/>
      <c r="B103" s="29"/>
      <c r="C103" s="29"/>
      <c r="D103" s="29"/>
      <c r="E103" s="29"/>
      <c r="G103" s="29"/>
      <c r="H103" s="29"/>
      <c r="I103" s="29"/>
    </row>
    <row r="104" spans="1:9" ht="13.9" customHeight="1" x14ac:dyDescent="0.25">
      <c r="A104" s="26" t="s">
        <v>0</v>
      </c>
      <c r="B104" s="26" t="s">
        <v>2</v>
      </c>
      <c r="C104" s="6"/>
      <c r="D104" s="26" t="s">
        <v>0</v>
      </c>
      <c r="E104" s="26" t="s">
        <v>2</v>
      </c>
      <c r="F104" s="31"/>
      <c r="G104" s="6"/>
      <c r="H104" s="26" t="s">
        <v>0</v>
      </c>
      <c r="I104" s="26" t="s">
        <v>2</v>
      </c>
    </row>
    <row r="105" spans="1:9" ht="13.9" customHeight="1" x14ac:dyDescent="0.2">
      <c r="A105" s="17">
        <v>43677</v>
      </c>
      <c r="B105" s="19">
        <f>3000200.75</f>
        <v>3000200.75</v>
      </c>
      <c r="D105" s="17">
        <v>43677</v>
      </c>
      <c r="E105" s="77">
        <f>'Calendar year'!E85</f>
        <v>268416.5</v>
      </c>
      <c r="F105" s="34"/>
      <c r="H105" s="17">
        <v>43677</v>
      </c>
      <c r="I105" s="27">
        <v>0</v>
      </c>
    </row>
    <row r="106" spans="1:9" ht="13.9" customHeight="1" x14ac:dyDescent="0.2">
      <c r="A106" s="17">
        <v>43707</v>
      </c>
      <c r="B106" s="27">
        <f>3405140.31</f>
        <v>3405140.31</v>
      </c>
      <c r="D106" s="17"/>
      <c r="E106" s="19"/>
      <c r="F106" s="34"/>
      <c r="H106" s="17">
        <v>43707</v>
      </c>
      <c r="I106" s="27">
        <v>0</v>
      </c>
    </row>
    <row r="107" spans="1:9" ht="13.9" customHeight="1" x14ac:dyDescent="0.2">
      <c r="A107" s="17">
        <v>43738</v>
      </c>
      <c r="B107" s="27">
        <f>2528981.4</f>
        <v>2528981.4</v>
      </c>
      <c r="C107" s="9"/>
      <c r="D107" s="17"/>
      <c r="E107" s="18"/>
      <c r="F107" s="35"/>
      <c r="G107" s="9"/>
      <c r="H107" s="17">
        <v>43738</v>
      </c>
      <c r="I107" s="27">
        <v>0</v>
      </c>
    </row>
    <row r="108" spans="1:9" ht="13.9" customHeight="1" x14ac:dyDescent="0.2">
      <c r="A108" s="17">
        <v>43769</v>
      </c>
      <c r="B108" s="27">
        <f>3382102.54</f>
        <v>3382102.54</v>
      </c>
      <c r="C108" s="9"/>
      <c r="D108" s="17"/>
      <c r="E108" s="18"/>
      <c r="F108" s="35"/>
      <c r="G108" s="9"/>
      <c r="H108" s="17">
        <v>43739</v>
      </c>
      <c r="I108" s="27">
        <f>113199.91+612.02</f>
        <v>113811.93000000001</v>
      </c>
    </row>
    <row r="109" spans="1:9" ht="13.9" customHeight="1" x14ac:dyDescent="0.2">
      <c r="A109" s="17">
        <v>43798</v>
      </c>
      <c r="B109" s="19">
        <f>3069445.28</f>
        <v>3069445.28</v>
      </c>
      <c r="C109" s="9"/>
      <c r="D109" s="17"/>
      <c r="E109" s="22"/>
      <c r="F109" s="36"/>
      <c r="G109" s="9"/>
      <c r="H109" s="17">
        <v>43798</v>
      </c>
      <c r="I109" s="19">
        <v>0</v>
      </c>
    </row>
    <row r="110" spans="1:9" ht="13.9" customHeight="1" x14ac:dyDescent="0.2">
      <c r="A110" s="17">
        <v>43829</v>
      </c>
      <c r="B110" s="19">
        <f>2242673.35</f>
        <v>2242673.35</v>
      </c>
      <c r="C110" s="9"/>
      <c r="D110" s="17"/>
      <c r="E110" s="19"/>
      <c r="F110" s="34"/>
      <c r="G110" s="9"/>
      <c r="H110" s="17">
        <v>43829</v>
      </c>
      <c r="I110" s="19">
        <v>0</v>
      </c>
    </row>
    <row r="111" spans="1:9" ht="13.9" customHeight="1" x14ac:dyDescent="0.2">
      <c r="A111" s="17">
        <v>43861</v>
      </c>
      <c r="B111" s="19">
        <f>3131562.66</f>
        <v>3131562.66</v>
      </c>
      <c r="C111" s="9"/>
      <c r="D111" s="17"/>
      <c r="E111" s="19"/>
      <c r="F111" s="34"/>
      <c r="G111" s="9"/>
      <c r="H111" s="17">
        <v>43861</v>
      </c>
      <c r="I111" s="19">
        <v>0</v>
      </c>
    </row>
    <row r="112" spans="1:9" ht="13.9" customHeight="1" x14ac:dyDescent="0.2">
      <c r="A112" s="17">
        <v>43889</v>
      </c>
      <c r="B112" s="19">
        <f>3042548.41</f>
        <v>3042548.41</v>
      </c>
      <c r="C112" s="9"/>
      <c r="D112" s="17"/>
      <c r="E112" s="19"/>
      <c r="F112" s="34"/>
      <c r="G112" s="9"/>
      <c r="H112" s="17">
        <v>43889</v>
      </c>
      <c r="I112" s="19">
        <v>0</v>
      </c>
    </row>
    <row r="113" spans="1:9" ht="13.9" customHeight="1" x14ac:dyDescent="0.2">
      <c r="A113" s="17">
        <v>43921</v>
      </c>
      <c r="B113" s="19">
        <f>2500062.67</f>
        <v>2500062.67</v>
      </c>
      <c r="C113" s="9"/>
      <c r="D113" s="17"/>
      <c r="E113" s="19"/>
      <c r="F113" s="34"/>
      <c r="G113" s="9"/>
      <c r="H113" s="17">
        <v>43921</v>
      </c>
      <c r="I113" s="19">
        <v>0</v>
      </c>
    </row>
    <row r="114" spans="1:9" ht="13.9" customHeight="1" x14ac:dyDescent="0.2">
      <c r="A114" s="17">
        <v>43951</v>
      </c>
      <c r="B114" s="19">
        <f>1608774.74+249091.44</f>
        <v>1857866.18</v>
      </c>
      <c r="D114" s="17"/>
      <c r="E114" s="19"/>
      <c r="F114" s="34"/>
      <c r="H114" s="17">
        <v>43951</v>
      </c>
      <c r="I114" s="19">
        <v>0</v>
      </c>
    </row>
    <row r="115" spans="1:9" ht="13.9" customHeight="1" x14ac:dyDescent="0.2">
      <c r="A115" s="17">
        <v>43980</v>
      </c>
      <c r="B115" s="21"/>
      <c r="D115" s="17"/>
      <c r="E115" s="19"/>
      <c r="F115" s="34"/>
      <c r="H115" s="17">
        <v>43614</v>
      </c>
      <c r="I115" s="19">
        <v>0</v>
      </c>
    </row>
    <row r="116" spans="1:9" ht="13.9" customHeight="1" x14ac:dyDescent="0.2">
      <c r="A116" s="17">
        <v>44012</v>
      </c>
      <c r="B116" s="27"/>
      <c r="C116" s="9"/>
      <c r="D116" s="17"/>
      <c r="E116" s="19"/>
      <c r="F116" s="34"/>
      <c r="G116" s="9"/>
      <c r="H116" s="17">
        <v>44012</v>
      </c>
      <c r="I116" s="27">
        <v>0</v>
      </c>
    </row>
    <row r="117" spans="1:9" ht="13.9" customHeight="1" x14ac:dyDescent="0.25">
      <c r="A117" s="23" t="s">
        <v>98</v>
      </c>
      <c r="B117" s="75">
        <f>SUM(B105:B116)</f>
        <v>28160583.549999997</v>
      </c>
      <c r="D117" s="23" t="s">
        <v>98</v>
      </c>
      <c r="E117" s="75">
        <f>SUM(E105:E116)</f>
        <v>268416.5</v>
      </c>
      <c r="F117" s="37"/>
      <c r="H117" s="23" t="s">
        <v>98</v>
      </c>
      <c r="I117" s="12">
        <f>SUM(I105:I116)</f>
        <v>113811.93000000001</v>
      </c>
    </row>
    <row r="118" spans="1:9" ht="13.9" customHeight="1" x14ac:dyDescent="0.25">
      <c r="A118" s="28"/>
      <c r="B118" s="79"/>
      <c r="D118" s="28"/>
      <c r="E118" s="79"/>
      <c r="F118" s="33"/>
      <c r="H118" s="28"/>
      <c r="I118" s="79"/>
    </row>
    <row r="119" spans="1:9" ht="39.75" customHeight="1" x14ac:dyDescent="0.2">
      <c r="A119" s="98" t="s">
        <v>89</v>
      </c>
      <c r="B119" s="99"/>
      <c r="C119" s="40"/>
      <c r="D119" s="98" t="s">
        <v>90</v>
      </c>
      <c r="E119" s="99"/>
      <c r="F119" s="39"/>
      <c r="G119" s="40"/>
      <c r="H119" s="100" t="s">
        <v>91</v>
      </c>
      <c r="I119" s="101"/>
    </row>
    <row r="120" spans="1:9" ht="13.9" customHeight="1" x14ac:dyDescent="0.2">
      <c r="A120" s="29"/>
      <c r="B120" s="29"/>
      <c r="C120" s="29"/>
      <c r="D120" s="29"/>
      <c r="E120" s="29"/>
      <c r="G120" s="29"/>
      <c r="H120" s="29"/>
      <c r="I120" s="29"/>
    </row>
    <row r="121" spans="1:9" ht="13.9" customHeight="1" x14ac:dyDescent="0.25">
      <c r="A121" s="26" t="s">
        <v>0</v>
      </c>
      <c r="B121" s="26" t="s">
        <v>2</v>
      </c>
      <c r="C121" s="6"/>
      <c r="D121" s="26" t="s">
        <v>0</v>
      </c>
      <c r="E121" s="26" t="s">
        <v>2</v>
      </c>
      <c r="F121" s="31"/>
      <c r="G121" s="6"/>
      <c r="H121" s="26" t="s">
        <v>0</v>
      </c>
      <c r="I121" s="26" t="s">
        <v>2</v>
      </c>
    </row>
    <row r="122" spans="1:9" ht="13.9" customHeight="1" x14ac:dyDescent="0.2">
      <c r="A122" s="17">
        <v>43312</v>
      </c>
      <c r="B122" s="19">
        <f>2552789.55</f>
        <v>2552789.5499999998</v>
      </c>
      <c r="D122" s="17">
        <v>43312</v>
      </c>
      <c r="E122" s="77">
        <f>248216.5</f>
        <v>248216.5</v>
      </c>
      <c r="F122" s="34"/>
      <c r="H122" s="17">
        <v>43312</v>
      </c>
      <c r="I122" s="27">
        <v>0</v>
      </c>
    </row>
    <row r="123" spans="1:9" ht="13.9" customHeight="1" x14ac:dyDescent="0.2">
      <c r="A123" s="17">
        <v>43343</v>
      </c>
      <c r="B123" s="27">
        <f>3568539.47</f>
        <v>3568539.47</v>
      </c>
      <c r="D123" s="17"/>
      <c r="E123" s="19"/>
      <c r="F123" s="34"/>
      <c r="H123" s="17">
        <v>43343</v>
      </c>
      <c r="I123" s="27">
        <v>0</v>
      </c>
    </row>
    <row r="124" spans="1:9" ht="13.9" customHeight="1" x14ac:dyDescent="0.2">
      <c r="A124" s="17">
        <v>43371</v>
      </c>
      <c r="B124" s="27">
        <f>2368772.2</f>
        <v>2368772.2000000002</v>
      </c>
      <c r="C124" s="9"/>
      <c r="D124" s="17"/>
      <c r="E124" s="18"/>
      <c r="F124" s="35"/>
      <c r="G124" s="9"/>
      <c r="H124" s="17">
        <v>43371</v>
      </c>
      <c r="I124" s="27">
        <f>'Calendar year'!I100</f>
        <v>0</v>
      </c>
    </row>
    <row r="125" spans="1:9" ht="13.9" customHeight="1" x14ac:dyDescent="0.2">
      <c r="A125" s="17">
        <v>43404</v>
      </c>
      <c r="B125" s="27">
        <f>2852981.32</f>
        <v>2852981.32</v>
      </c>
      <c r="C125" s="9"/>
      <c r="D125" s="17"/>
      <c r="E125" s="18"/>
      <c r="F125" s="35"/>
      <c r="G125" s="9"/>
      <c r="H125" s="17">
        <v>43374</v>
      </c>
      <c r="I125" s="27">
        <v>309862.96999999997</v>
      </c>
    </row>
    <row r="126" spans="1:9" ht="13.9" customHeight="1" x14ac:dyDescent="0.2">
      <c r="A126" s="17">
        <v>43434</v>
      </c>
      <c r="B126" s="19">
        <f>3330477.65</f>
        <v>3330477.65</v>
      </c>
      <c r="C126" s="9"/>
      <c r="D126" s="17"/>
      <c r="E126" s="22"/>
      <c r="F126" s="36"/>
      <c r="G126" s="9"/>
      <c r="H126" s="17">
        <v>43434</v>
      </c>
      <c r="I126" s="19">
        <v>0</v>
      </c>
    </row>
    <row r="127" spans="1:9" ht="13.9" customHeight="1" x14ac:dyDescent="0.2">
      <c r="A127" s="17">
        <v>43462</v>
      </c>
      <c r="B127" s="19">
        <f>2414530.01</f>
        <v>2414530.0099999998</v>
      </c>
      <c r="C127" s="9"/>
      <c r="D127" s="17"/>
      <c r="E127" s="19"/>
      <c r="F127" s="34"/>
      <c r="G127" s="9"/>
      <c r="H127" s="17">
        <v>43462</v>
      </c>
      <c r="I127" s="19">
        <v>0</v>
      </c>
    </row>
    <row r="128" spans="1:9" ht="13.9" customHeight="1" x14ac:dyDescent="0.2">
      <c r="A128" s="17">
        <v>43496</v>
      </c>
      <c r="B128" s="19">
        <f>2852118.13</f>
        <v>2852118.13</v>
      </c>
      <c r="C128" s="9"/>
      <c r="D128" s="17"/>
      <c r="E128" s="19"/>
      <c r="F128" s="34"/>
      <c r="G128" s="9"/>
      <c r="H128" s="17">
        <v>43496</v>
      </c>
      <c r="I128" s="19">
        <v>0</v>
      </c>
    </row>
    <row r="129" spans="1:9" ht="13.9" customHeight="1" x14ac:dyDescent="0.2">
      <c r="A129" s="17">
        <v>43524</v>
      </c>
      <c r="B129" s="19">
        <f>3141891.32</f>
        <v>3141891.32</v>
      </c>
      <c r="C129" s="9"/>
      <c r="D129" s="17"/>
      <c r="E129" s="19"/>
      <c r="F129" s="34"/>
      <c r="G129" s="9"/>
      <c r="H129" s="17">
        <v>43524</v>
      </c>
      <c r="I129" s="19">
        <v>0</v>
      </c>
    </row>
    <row r="130" spans="1:9" ht="13.9" customHeight="1" x14ac:dyDescent="0.2">
      <c r="A130" s="17">
        <v>43553</v>
      </c>
      <c r="B130" s="19">
        <f>2307128.38</f>
        <v>2307128.38</v>
      </c>
      <c r="C130" s="9"/>
      <c r="D130" s="17"/>
      <c r="E130" s="19"/>
      <c r="F130" s="34"/>
      <c r="G130" s="9"/>
      <c r="H130" s="17">
        <v>43553</v>
      </c>
      <c r="I130" s="19">
        <v>0</v>
      </c>
    </row>
    <row r="131" spans="1:9" ht="13.9" customHeight="1" x14ac:dyDescent="0.2">
      <c r="A131" s="17">
        <v>43585</v>
      </c>
      <c r="B131" s="19">
        <f>2140579.32</f>
        <v>2140579.3199999998</v>
      </c>
      <c r="D131" s="17"/>
      <c r="E131" s="19"/>
      <c r="F131" s="34"/>
      <c r="H131" s="17">
        <v>43585</v>
      </c>
      <c r="I131" s="19">
        <v>0</v>
      </c>
    </row>
    <row r="132" spans="1:9" ht="13.9" customHeight="1" x14ac:dyDescent="0.2">
      <c r="A132" s="17">
        <v>43616</v>
      </c>
      <c r="B132" s="21">
        <f>3008897.65</f>
        <v>3008897.65</v>
      </c>
      <c r="D132" s="17"/>
      <c r="E132" s="19"/>
      <c r="F132" s="34"/>
      <c r="H132" s="17">
        <v>43616</v>
      </c>
      <c r="I132" s="19">
        <v>0</v>
      </c>
    </row>
    <row r="133" spans="1:9" ht="13.9" customHeight="1" x14ac:dyDescent="0.2">
      <c r="A133" s="17">
        <v>43644</v>
      </c>
      <c r="B133" s="27">
        <f>2500772.35</f>
        <v>2500772.35</v>
      </c>
      <c r="C133" s="9"/>
      <c r="D133" s="17"/>
      <c r="E133" s="19"/>
      <c r="F133" s="34"/>
      <c r="G133" s="9"/>
      <c r="H133" s="17">
        <v>43644</v>
      </c>
      <c r="I133" s="27">
        <v>0</v>
      </c>
    </row>
    <row r="134" spans="1:9" ht="13.9" customHeight="1" x14ac:dyDescent="0.25">
      <c r="A134" s="23" t="s">
        <v>92</v>
      </c>
      <c r="B134" s="75">
        <f>SUM(B122:B133)</f>
        <v>33039477.349999998</v>
      </c>
      <c r="D134" s="23" t="s">
        <v>92</v>
      </c>
      <c r="E134" s="75">
        <f>SUM(E122:E133)</f>
        <v>248216.5</v>
      </c>
      <c r="F134" s="37"/>
      <c r="H134" s="23" t="s">
        <v>92</v>
      </c>
      <c r="I134" s="12">
        <f>SUM(I122:I133)</f>
        <v>309862.96999999997</v>
      </c>
    </row>
    <row r="135" spans="1:9" ht="13.9" customHeight="1" x14ac:dyDescent="0.25">
      <c r="A135" s="8"/>
      <c r="B135" s="13"/>
      <c r="D135" s="8"/>
      <c r="E135" s="13"/>
      <c r="F135" s="33"/>
      <c r="H135" s="8"/>
      <c r="I135" s="13"/>
    </row>
    <row r="136" spans="1:9" s="41" customFormat="1" ht="43.15" customHeight="1" x14ac:dyDescent="0.2">
      <c r="A136" s="98" t="s">
        <v>80</v>
      </c>
      <c r="B136" s="99"/>
      <c r="C136" s="40"/>
      <c r="D136" s="98" t="s">
        <v>81</v>
      </c>
      <c r="E136" s="99"/>
      <c r="F136" s="39"/>
      <c r="G136" s="40"/>
      <c r="H136" s="100" t="s">
        <v>82</v>
      </c>
      <c r="I136" s="101"/>
    </row>
    <row r="137" spans="1:9" ht="13.9" customHeight="1" x14ac:dyDescent="0.2">
      <c r="A137" s="29"/>
      <c r="B137" s="29"/>
      <c r="C137" s="29"/>
      <c r="D137" s="29"/>
      <c r="E137" s="29"/>
      <c r="G137" s="29"/>
      <c r="H137" s="29"/>
      <c r="I137" s="29"/>
    </row>
    <row r="138" spans="1:9" ht="13.9" customHeight="1" x14ac:dyDescent="0.25">
      <c r="A138" s="26" t="s">
        <v>0</v>
      </c>
      <c r="B138" s="26" t="s">
        <v>2</v>
      </c>
      <c r="C138" s="6"/>
      <c r="D138" s="26" t="s">
        <v>0</v>
      </c>
      <c r="E138" s="26" t="s">
        <v>2</v>
      </c>
      <c r="F138" s="31"/>
      <c r="G138" s="6"/>
      <c r="H138" s="26" t="s">
        <v>0</v>
      </c>
      <c r="I138" s="26" t="s">
        <v>2</v>
      </c>
    </row>
    <row r="139" spans="1:9" ht="13.9" customHeight="1" x14ac:dyDescent="0.2">
      <c r="A139" s="17">
        <v>42947</v>
      </c>
      <c r="B139" s="19">
        <v>2224432.38</v>
      </c>
      <c r="D139" s="17">
        <v>42947</v>
      </c>
      <c r="E139" s="77">
        <v>241256</v>
      </c>
      <c r="F139" s="34"/>
      <c r="H139" s="17">
        <v>42947</v>
      </c>
      <c r="I139" s="27">
        <v>0</v>
      </c>
    </row>
    <row r="140" spans="1:9" ht="13.9" customHeight="1" x14ac:dyDescent="0.2">
      <c r="A140" s="17">
        <v>42978</v>
      </c>
      <c r="B140" s="27">
        <v>2880522.88</v>
      </c>
      <c r="D140" s="17"/>
      <c r="E140" s="19"/>
      <c r="F140" s="34"/>
      <c r="H140" s="17">
        <v>42978</v>
      </c>
      <c r="I140" s="27">
        <v>0</v>
      </c>
    </row>
    <row r="141" spans="1:9" ht="13.9" customHeight="1" x14ac:dyDescent="0.2">
      <c r="A141" s="17">
        <v>43007</v>
      </c>
      <c r="B141" s="27">
        <f>2793514.18</f>
        <v>2793514.18</v>
      </c>
      <c r="C141" s="9"/>
      <c r="D141" s="17"/>
      <c r="E141" s="18"/>
      <c r="F141" s="35"/>
      <c r="G141" s="9"/>
      <c r="H141" s="17">
        <v>43008</v>
      </c>
      <c r="I141" s="27">
        <f>'Calendar year'!I121</f>
        <v>509289.53</v>
      </c>
    </row>
    <row r="142" spans="1:9" ht="13.9" customHeight="1" x14ac:dyDescent="0.2">
      <c r="A142" s="17">
        <v>43039</v>
      </c>
      <c r="B142" s="27">
        <f>2521832.52</f>
        <v>2521832.52</v>
      </c>
      <c r="C142" s="9"/>
      <c r="D142" s="17"/>
      <c r="E142" s="18"/>
      <c r="F142" s="35"/>
      <c r="G142" s="9"/>
      <c r="H142" s="17">
        <v>43039</v>
      </c>
      <c r="I142" s="27">
        <v>0</v>
      </c>
    </row>
    <row r="143" spans="1:9" ht="13.9" customHeight="1" x14ac:dyDescent="0.2">
      <c r="A143" s="17">
        <v>43069</v>
      </c>
      <c r="B143" s="19">
        <f>3048626.19</f>
        <v>3048626.19</v>
      </c>
      <c r="C143" s="9"/>
      <c r="D143" s="17"/>
      <c r="E143" s="22"/>
      <c r="F143" s="36"/>
      <c r="G143" s="9"/>
      <c r="H143" s="17">
        <v>43069</v>
      </c>
      <c r="I143" s="19">
        <v>0</v>
      </c>
    </row>
    <row r="144" spans="1:9" ht="13.9" customHeight="1" x14ac:dyDescent="0.2">
      <c r="A144" s="17">
        <v>43098</v>
      </c>
      <c r="B144" s="19">
        <f>2642675.47</f>
        <v>2642675.4700000002</v>
      </c>
      <c r="C144" s="9"/>
      <c r="D144" s="17"/>
      <c r="E144" s="19"/>
      <c r="F144" s="34"/>
      <c r="G144" s="9"/>
      <c r="H144" s="17">
        <v>43100</v>
      </c>
      <c r="I144" s="19">
        <v>0</v>
      </c>
    </row>
    <row r="145" spans="1:9" ht="13.9" customHeight="1" x14ac:dyDescent="0.2">
      <c r="A145" s="17">
        <v>43131</v>
      </c>
      <c r="B145" s="19">
        <f>1985803.5</f>
        <v>1985803.5</v>
      </c>
      <c r="C145" s="9"/>
      <c r="D145" s="17"/>
      <c r="E145" s="19"/>
      <c r="F145" s="34"/>
      <c r="G145" s="9"/>
      <c r="H145" s="17">
        <v>43131</v>
      </c>
      <c r="I145" s="19">
        <v>0</v>
      </c>
    </row>
    <row r="146" spans="1:9" ht="13.9" customHeight="1" x14ac:dyDescent="0.2">
      <c r="A146" s="17">
        <v>43159</v>
      </c>
      <c r="B146" s="19">
        <f>3279145.4</f>
        <v>3279145.4</v>
      </c>
      <c r="C146" s="9"/>
      <c r="D146" s="17"/>
      <c r="E146" s="19"/>
      <c r="F146" s="34"/>
      <c r="G146" s="9"/>
      <c r="H146" s="17">
        <v>43159</v>
      </c>
      <c r="I146" s="19">
        <v>0</v>
      </c>
    </row>
    <row r="147" spans="1:9" ht="13.9" customHeight="1" x14ac:dyDescent="0.2">
      <c r="A147" s="17">
        <v>43189</v>
      </c>
      <c r="B147" s="19">
        <f>2171715.45</f>
        <v>2171715.4500000002</v>
      </c>
      <c r="C147" s="9"/>
      <c r="D147" s="17"/>
      <c r="E147" s="19"/>
      <c r="F147" s="34"/>
      <c r="G147" s="9"/>
      <c r="H147" s="17">
        <v>43190</v>
      </c>
      <c r="I147" s="19">
        <v>0</v>
      </c>
    </row>
    <row r="148" spans="1:9" ht="13.9" customHeight="1" x14ac:dyDescent="0.2">
      <c r="A148" s="17">
        <v>43220</v>
      </c>
      <c r="B148" s="19">
        <f>1833821.19</f>
        <v>1833821.19</v>
      </c>
      <c r="D148" s="17"/>
      <c r="E148" s="19"/>
      <c r="F148" s="34"/>
      <c r="H148" s="17">
        <v>43220</v>
      </c>
      <c r="I148" s="19">
        <v>0</v>
      </c>
    </row>
    <row r="149" spans="1:9" ht="13.9" customHeight="1" x14ac:dyDescent="0.2">
      <c r="A149" s="17">
        <v>43251</v>
      </c>
      <c r="B149" s="21">
        <f>2800173.94</f>
        <v>2800173.94</v>
      </c>
      <c r="D149" s="17"/>
      <c r="E149" s="19"/>
      <c r="F149" s="34"/>
      <c r="H149" s="17">
        <v>43251</v>
      </c>
      <c r="I149" s="19">
        <v>0</v>
      </c>
    </row>
    <row r="150" spans="1:9" ht="13.9" customHeight="1" x14ac:dyDescent="0.2">
      <c r="A150" s="17">
        <v>43280</v>
      </c>
      <c r="B150" s="27">
        <f>2792287.65</f>
        <v>2792287.65</v>
      </c>
      <c r="C150" s="9"/>
      <c r="D150" s="17"/>
      <c r="E150" s="19"/>
      <c r="F150" s="34"/>
      <c r="G150" s="9"/>
      <c r="H150" s="17">
        <v>43281</v>
      </c>
      <c r="I150" s="27">
        <v>0</v>
      </c>
    </row>
    <row r="151" spans="1:9" ht="13.9" customHeight="1" x14ac:dyDescent="0.25">
      <c r="A151" s="23" t="s">
        <v>83</v>
      </c>
      <c r="B151" s="75">
        <f>SUM(B139:B150)</f>
        <v>30974550.749999996</v>
      </c>
      <c r="D151" s="23" t="s">
        <v>83</v>
      </c>
      <c r="E151" s="75">
        <f>SUM(E139:E150)</f>
        <v>241256</v>
      </c>
      <c r="F151" s="37"/>
      <c r="H151" s="23" t="s">
        <v>83</v>
      </c>
      <c r="I151" s="12">
        <f>SUM(I139:I150)</f>
        <v>509289.53</v>
      </c>
    </row>
    <row r="152" spans="1:9" ht="13.9" customHeight="1" x14ac:dyDescent="0.25">
      <c r="A152" s="28"/>
      <c r="B152" s="76"/>
      <c r="D152" s="28"/>
      <c r="E152" s="76"/>
      <c r="F152" s="37"/>
      <c r="H152" s="28"/>
      <c r="I152" s="16"/>
    </row>
    <row r="153" spans="1:9" ht="33" customHeight="1" x14ac:dyDescent="0.2">
      <c r="A153" s="98" t="s">
        <v>79</v>
      </c>
      <c r="B153" s="99"/>
      <c r="C153" s="40"/>
      <c r="D153" s="98" t="s">
        <v>71</v>
      </c>
      <c r="E153" s="99"/>
      <c r="F153" s="39"/>
      <c r="G153" s="40"/>
      <c r="H153" s="100" t="s">
        <v>72</v>
      </c>
      <c r="I153" s="101"/>
    </row>
    <row r="154" spans="1:9" s="41" customFormat="1" ht="11.25" customHeight="1" x14ac:dyDescent="0.2">
      <c r="A154" s="29"/>
      <c r="B154" s="29"/>
      <c r="C154" s="29"/>
      <c r="D154" s="29"/>
      <c r="E154" s="29"/>
      <c r="F154" s="29"/>
      <c r="G154" s="29"/>
      <c r="H154" s="29"/>
      <c r="I154" s="29"/>
    </row>
    <row r="155" spans="1:9" ht="13.9" customHeight="1" x14ac:dyDescent="0.25">
      <c r="A155" s="26" t="s">
        <v>0</v>
      </c>
      <c r="B155" s="26" t="s">
        <v>2</v>
      </c>
      <c r="C155" s="6"/>
      <c r="D155" s="26" t="s">
        <v>0</v>
      </c>
      <c r="E155" s="26" t="s">
        <v>2</v>
      </c>
      <c r="F155" s="31"/>
      <c r="G155" s="6"/>
      <c r="H155" s="26" t="s">
        <v>0</v>
      </c>
      <c r="I155" s="26" t="s">
        <v>2</v>
      </c>
    </row>
    <row r="156" spans="1:9" ht="13.9" customHeight="1" x14ac:dyDescent="0.2">
      <c r="A156" s="17">
        <v>42582</v>
      </c>
      <c r="B156" s="19">
        <v>2697999.32</v>
      </c>
      <c r="D156" s="17">
        <v>42582</v>
      </c>
      <c r="E156" s="19">
        <v>239923.5</v>
      </c>
      <c r="F156" s="34"/>
      <c r="H156" s="17">
        <v>42582</v>
      </c>
      <c r="I156" s="27">
        <v>0</v>
      </c>
    </row>
    <row r="157" spans="1:9" ht="13.9" customHeight="1" x14ac:dyDescent="0.2">
      <c r="A157" s="17">
        <v>42613</v>
      </c>
      <c r="B157" s="27">
        <v>2478895.9900000002</v>
      </c>
      <c r="D157" s="17"/>
      <c r="E157" s="19"/>
      <c r="F157" s="34"/>
      <c r="H157" s="17">
        <v>42613</v>
      </c>
      <c r="I157" s="27">
        <v>0</v>
      </c>
    </row>
    <row r="158" spans="1:9" ht="13.9" customHeight="1" x14ac:dyDescent="0.2">
      <c r="A158" s="17">
        <v>42643</v>
      </c>
      <c r="B158" s="27">
        <v>2782922.84</v>
      </c>
      <c r="C158" s="9"/>
      <c r="D158" s="17"/>
      <c r="E158" s="18"/>
      <c r="F158" s="35"/>
      <c r="G158" s="9"/>
      <c r="H158" s="17">
        <v>42643</v>
      </c>
      <c r="I158" s="27">
        <f>'Calendar year'!I138</f>
        <v>558020.30000000005</v>
      </c>
    </row>
    <row r="159" spans="1:9" ht="13.9" customHeight="1" x14ac:dyDescent="0.2">
      <c r="A159" s="17">
        <v>42674</v>
      </c>
      <c r="B159" s="27">
        <v>2574439.13</v>
      </c>
      <c r="C159" s="9"/>
      <c r="D159" s="17"/>
      <c r="E159" s="18"/>
      <c r="F159" s="35"/>
      <c r="G159" s="9"/>
      <c r="H159" s="17">
        <v>42674</v>
      </c>
      <c r="I159" s="27">
        <v>0</v>
      </c>
    </row>
    <row r="160" spans="1:9" ht="13.9" customHeight="1" x14ac:dyDescent="0.2">
      <c r="A160" s="17">
        <v>42704</v>
      </c>
      <c r="B160" s="19">
        <v>2449293.04</v>
      </c>
      <c r="C160" s="9"/>
      <c r="D160" s="17"/>
      <c r="E160" s="22"/>
      <c r="F160" s="36"/>
      <c r="G160" s="9"/>
      <c r="H160" s="17">
        <v>42704</v>
      </c>
      <c r="I160" s="19">
        <v>0</v>
      </c>
    </row>
    <row r="161" spans="1:9" ht="13.9" customHeight="1" x14ac:dyDescent="0.2">
      <c r="A161" s="17">
        <v>42735</v>
      </c>
      <c r="B161" s="19">
        <v>2663428.0299999998</v>
      </c>
      <c r="C161" s="9"/>
      <c r="D161" s="17"/>
      <c r="E161" s="19"/>
      <c r="F161" s="34"/>
      <c r="G161" s="9"/>
      <c r="H161" s="17">
        <v>42735</v>
      </c>
      <c r="I161" s="19">
        <v>0</v>
      </c>
    </row>
    <row r="162" spans="1:9" ht="13.9" customHeight="1" x14ac:dyDescent="0.2">
      <c r="A162" s="17">
        <v>42766</v>
      </c>
      <c r="B162" s="19">
        <v>2145611.9900000002</v>
      </c>
      <c r="C162" s="9"/>
      <c r="D162" s="17"/>
      <c r="E162" s="19"/>
      <c r="F162" s="34"/>
      <c r="G162" s="9"/>
      <c r="H162" s="17">
        <v>42766</v>
      </c>
      <c r="I162" s="19">
        <v>0</v>
      </c>
    </row>
    <row r="163" spans="1:9" ht="13.9" customHeight="1" x14ac:dyDescent="0.2">
      <c r="A163" s="17">
        <v>42794</v>
      </c>
      <c r="B163" s="19">
        <v>3029989.07</v>
      </c>
      <c r="C163" s="9"/>
      <c r="D163" s="17"/>
      <c r="E163" s="19"/>
      <c r="F163" s="34"/>
      <c r="G163" s="9"/>
      <c r="H163" s="17">
        <v>42794</v>
      </c>
      <c r="I163" s="19">
        <v>0</v>
      </c>
    </row>
    <row r="164" spans="1:9" ht="13.9" customHeight="1" x14ac:dyDescent="0.2">
      <c r="A164" s="17">
        <v>42825</v>
      </c>
      <c r="B164" s="19">
        <v>2157250.64</v>
      </c>
      <c r="C164" s="9"/>
      <c r="D164" s="17"/>
      <c r="E164" s="19"/>
      <c r="F164" s="34"/>
      <c r="G164" s="9"/>
      <c r="H164" s="17">
        <v>42825</v>
      </c>
      <c r="I164" s="19">
        <v>0</v>
      </c>
    </row>
    <row r="165" spans="1:9" ht="13.9" customHeight="1" x14ac:dyDescent="0.2">
      <c r="A165" s="17">
        <v>42855</v>
      </c>
      <c r="B165" s="19">
        <v>2167181.64</v>
      </c>
      <c r="D165" s="17"/>
      <c r="E165" s="19"/>
      <c r="F165" s="34"/>
      <c r="H165" s="17">
        <v>42855</v>
      </c>
      <c r="I165" s="19">
        <v>0</v>
      </c>
    </row>
    <row r="166" spans="1:9" ht="13.9" customHeight="1" x14ac:dyDescent="0.2">
      <c r="A166" s="17">
        <v>42886</v>
      </c>
      <c r="B166" s="21">
        <v>2486677.4500000002</v>
      </c>
      <c r="D166" s="17"/>
      <c r="E166" s="19"/>
      <c r="F166" s="34"/>
      <c r="H166" s="17">
        <v>42886</v>
      </c>
      <c r="I166" s="19">
        <v>0</v>
      </c>
    </row>
    <row r="167" spans="1:9" ht="13.9" customHeight="1" x14ac:dyDescent="0.2">
      <c r="A167" s="17">
        <v>42916</v>
      </c>
      <c r="B167" s="27">
        <v>2862472.48</v>
      </c>
      <c r="C167" s="9"/>
      <c r="D167" s="17"/>
      <c r="E167" s="19"/>
      <c r="F167" s="34"/>
      <c r="G167" s="9"/>
      <c r="H167" s="17">
        <v>42916</v>
      </c>
      <c r="I167" s="27">
        <v>0</v>
      </c>
    </row>
    <row r="168" spans="1:9" ht="13.9" customHeight="1" x14ac:dyDescent="0.25">
      <c r="A168" s="23" t="s">
        <v>74</v>
      </c>
      <c r="B168" s="75">
        <f>SUM(B156:B167)</f>
        <v>30496161.620000001</v>
      </c>
      <c r="D168" s="23" t="s">
        <v>74</v>
      </c>
      <c r="E168" s="75">
        <f>SUM(E156:E167)</f>
        <v>239923.5</v>
      </c>
      <c r="F168" s="37"/>
      <c r="H168" s="23" t="s">
        <v>74</v>
      </c>
      <c r="I168" s="12">
        <f>SUM(I156:I167)</f>
        <v>558020.30000000005</v>
      </c>
    </row>
    <row r="169" spans="1:9" ht="13.9" customHeight="1" x14ac:dyDescent="0.2"/>
    <row r="170" spans="1:9" ht="13.9" customHeight="1" x14ac:dyDescent="0.2">
      <c r="A170" s="98" t="s">
        <v>78</v>
      </c>
      <c r="B170" s="99"/>
      <c r="C170" s="40"/>
      <c r="D170" s="98" t="s">
        <v>54</v>
      </c>
      <c r="E170" s="99"/>
      <c r="F170" s="39"/>
      <c r="G170" s="40"/>
      <c r="H170" s="100" t="s">
        <v>55</v>
      </c>
      <c r="I170" s="101"/>
    </row>
    <row r="171" spans="1:9" s="41" customFormat="1" x14ac:dyDescent="0.2">
      <c r="A171" s="29"/>
      <c r="B171" s="29"/>
      <c r="C171" s="29"/>
      <c r="D171" s="29"/>
      <c r="E171" s="29"/>
      <c r="F171" s="29"/>
      <c r="G171" s="29"/>
      <c r="H171" s="29"/>
      <c r="I171" s="29"/>
    </row>
    <row r="172" spans="1:9" ht="13.9" customHeight="1" x14ac:dyDescent="0.25">
      <c r="A172" s="26" t="s">
        <v>0</v>
      </c>
      <c r="B172" s="26" t="s">
        <v>2</v>
      </c>
      <c r="C172" s="6"/>
      <c r="D172" s="26" t="s">
        <v>0</v>
      </c>
      <c r="E172" s="26" t="s">
        <v>2</v>
      </c>
      <c r="F172" s="31"/>
      <c r="G172" s="6"/>
      <c r="H172" s="26" t="s">
        <v>0</v>
      </c>
      <c r="I172" s="26" t="s">
        <v>2</v>
      </c>
    </row>
    <row r="173" spans="1:9" ht="13.9" customHeight="1" x14ac:dyDescent="0.2">
      <c r="A173" s="17">
        <v>42216</v>
      </c>
      <c r="B173" s="19">
        <v>2685304.15</v>
      </c>
      <c r="D173" s="17">
        <v>42216</v>
      </c>
      <c r="E173" s="19">
        <v>239487.5</v>
      </c>
      <c r="F173" s="34"/>
      <c r="H173" s="17">
        <v>42216</v>
      </c>
      <c r="I173" s="27">
        <v>2394176.16</v>
      </c>
    </row>
    <row r="174" spans="1:9" ht="13.9" customHeight="1" x14ac:dyDescent="0.2">
      <c r="A174" s="17">
        <v>42247</v>
      </c>
      <c r="B174" s="27">
        <v>2551480.69</v>
      </c>
      <c r="D174" s="17"/>
      <c r="E174" s="19"/>
      <c r="F174" s="34"/>
      <c r="H174" s="17">
        <v>42247</v>
      </c>
      <c r="I174" s="27">
        <v>2099367.6800000002</v>
      </c>
    </row>
    <row r="175" spans="1:9" ht="13.9" customHeight="1" x14ac:dyDescent="0.2">
      <c r="A175" s="17">
        <v>42277</v>
      </c>
      <c r="B175" s="27">
        <v>2285887.2799999998</v>
      </c>
      <c r="C175" s="9"/>
      <c r="D175" s="17"/>
      <c r="E175" s="18"/>
      <c r="F175" s="35"/>
      <c r="G175" s="9"/>
      <c r="H175" s="17">
        <v>42277</v>
      </c>
      <c r="I175" s="27">
        <v>2328894.5699999998</v>
      </c>
    </row>
    <row r="176" spans="1:9" ht="13.9" customHeight="1" x14ac:dyDescent="0.2">
      <c r="A176" s="17">
        <v>42308</v>
      </c>
      <c r="B176" s="27">
        <v>2909177.72</v>
      </c>
      <c r="C176" s="9"/>
      <c r="D176" s="17"/>
      <c r="E176" s="18"/>
      <c r="F176" s="35"/>
      <c r="G176" s="9"/>
      <c r="H176" s="17">
        <v>42308</v>
      </c>
      <c r="I176" s="27">
        <v>2314691.44</v>
      </c>
    </row>
    <row r="177" spans="1:9" ht="13.9" customHeight="1" x14ac:dyDescent="0.2">
      <c r="A177" s="17">
        <v>42338</v>
      </c>
      <c r="B177" s="19">
        <v>2100831.84</v>
      </c>
      <c r="C177" s="9"/>
      <c r="D177" s="17"/>
      <c r="E177" s="22"/>
      <c r="F177" s="36"/>
      <c r="G177" s="9"/>
      <c r="H177" s="17">
        <v>42338</v>
      </c>
      <c r="I177" s="19">
        <v>0</v>
      </c>
    </row>
    <row r="178" spans="1:9" ht="13.9" customHeight="1" x14ac:dyDescent="0.2">
      <c r="A178" s="17">
        <v>42369</v>
      </c>
      <c r="B178" s="19">
        <v>2729546.26</v>
      </c>
      <c r="C178" s="9"/>
      <c r="D178" s="17"/>
      <c r="E178" s="19"/>
      <c r="F178" s="34"/>
      <c r="G178" s="9"/>
      <c r="H178" s="17">
        <v>42369</v>
      </c>
      <c r="I178" s="19">
        <v>0</v>
      </c>
    </row>
    <row r="179" spans="1:9" ht="13.9" customHeight="1" x14ac:dyDescent="0.2">
      <c r="A179" s="17">
        <v>42400</v>
      </c>
      <c r="B179" s="19">
        <v>2628310.3199999998</v>
      </c>
      <c r="C179" s="9"/>
      <c r="D179" s="17"/>
      <c r="E179" s="19"/>
      <c r="F179" s="34"/>
      <c r="G179" s="9"/>
      <c r="H179" s="17">
        <v>42400</v>
      </c>
      <c r="I179" s="19">
        <v>0</v>
      </c>
    </row>
    <row r="180" spans="1:9" ht="13.9" customHeight="1" x14ac:dyDescent="0.2">
      <c r="A180" s="17">
        <v>42428</v>
      </c>
      <c r="B180" s="19">
        <v>2246854.5699999998</v>
      </c>
      <c r="C180" s="9"/>
      <c r="D180" s="17"/>
      <c r="E180" s="19"/>
      <c r="F180" s="34"/>
      <c r="G180" s="9"/>
      <c r="H180" s="17">
        <v>42428</v>
      </c>
      <c r="I180" s="19">
        <v>0</v>
      </c>
    </row>
    <row r="181" spans="1:9" ht="13.9" customHeight="1" x14ac:dyDescent="0.2">
      <c r="A181" s="17">
        <v>42460</v>
      </c>
      <c r="B181" s="19">
        <v>2154094.2200000002</v>
      </c>
      <c r="C181" s="9"/>
      <c r="D181" s="17"/>
      <c r="E181" s="19"/>
      <c r="F181" s="34"/>
      <c r="G181" s="9"/>
      <c r="H181" s="17">
        <v>42460</v>
      </c>
      <c r="I181" s="19">
        <v>0</v>
      </c>
    </row>
    <row r="182" spans="1:9" ht="13.9" customHeight="1" x14ac:dyDescent="0.2">
      <c r="A182" s="17">
        <v>42490</v>
      </c>
      <c r="B182" s="19">
        <v>2380761.6</v>
      </c>
      <c r="D182" s="17"/>
      <c r="E182" s="19"/>
      <c r="F182" s="34"/>
      <c r="H182" s="17">
        <v>42490</v>
      </c>
      <c r="I182" s="19">
        <v>0</v>
      </c>
    </row>
    <row r="183" spans="1:9" ht="13.9" customHeight="1" x14ac:dyDescent="0.2">
      <c r="A183" s="17">
        <v>42521</v>
      </c>
      <c r="B183" s="21">
        <v>2204557.71</v>
      </c>
      <c r="D183" s="17"/>
      <c r="E183" s="19"/>
      <c r="F183" s="34"/>
      <c r="H183" s="17">
        <v>42521</v>
      </c>
      <c r="I183" s="19">
        <v>0</v>
      </c>
    </row>
    <row r="184" spans="1:9" ht="13.9" customHeight="1" x14ac:dyDescent="0.2">
      <c r="A184" s="17">
        <v>42551</v>
      </c>
      <c r="B184" s="27">
        <v>2756656.43</v>
      </c>
      <c r="C184" s="9"/>
      <c r="D184" s="17"/>
      <c r="E184" s="19"/>
      <c r="F184" s="34"/>
      <c r="G184" s="9"/>
      <c r="H184" s="17">
        <v>42551</v>
      </c>
      <c r="I184" s="27">
        <v>0</v>
      </c>
    </row>
    <row r="185" spans="1:9" ht="13.9" customHeight="1" x14ac:dyDescent="0.25">
      <c r="A185" s="23" t="s">
        <v>56</v>
      </c>
      <c r="B185" s="12">
        <f>SUM(B173:B184)</f>
        <v>29633462.789999999</v>
      </c>
      <c r="D185" s="23" t="s">
        <v>56</v>
      </c>
      <c r="E185" s="12">
        <f>SUM(E173:E184)</f>
        <v>239487.5</v>
      </c>
      <c r="F185" s="37"/>
      <c r="H185" s="23" t="s">
        <v>56</v>
      </c>
      <c r="I185" s="12">
        <f>SUM(I173:I184)</f>
        <v>9137129.8499999996</v>
      </c>
    </row>
    <row r="186" spans="1:9" ht="13.9" customHeight="1" x14ac:dyDescent="0.25">
      <c r="A186" s="28"/>
      <c r="B186" s="16"/>
      <c r="D186" s="28"/>
      <c r="E186" s="16"/>
      <c r="F186" s="37"/>
      <c r="H186" s="28"/>
      <c r="I186" s="16"/>
    </row>
    <row r="187" spans="1:9" ht="13.9" customHeight="1" x14ac:dyDescent="0.2">
      <c r="A187" s="98" t="s">
        <v>48</v>
      </c>
      <c r="B187" s="99"/>
      <c r="C187" s="40"/>
      <c r="D187" s="98" t="s">
        <v>49</v>
      </c>
      <c r="E187" s="99"/>
      <c r="F187" s="39"/>
      <c r="G187" s="40"/>
      <c r="H187" s="100" t="s">
        <v>50</v>
      </c>
      <c r="I187" s="101"/>
    </row>
    <row r="188" spans="1:9" s="41" customFormat="1" x14ac:dyDescent="0.2">
      <c r="A188" s="1"/>
      <c r="B188" s="1"/>
      <c r="C188" s="1"/>
      <c r="D188" s="1"/>
      <c r="E188" s="1"/>
      <c r="F188" s="29"/>
      <c r="G188" s="1"/>
      <c r="H188" s="1"/>
      <c r="I188" s="1"/>
    </row>
    <row r="189" spans="1:9" ht="13.9" customHeight="1" x14ac:dyDescent="0.25">
      <c r="A189" s="26" t="s">
        <v>0</v>
      </c>
      <c r="B189" s="26" t="s">
        <v>2</v>
      </c>
      <c r="C189" s="6"/>
      <c r="D189" s="26" t="s">
        <v>0</v>
      </c>
      <c r="E189" s="26" t="s">
        <v>2</v>
      </c>
      <c r="F189" s="31"/>
      <c r="G189" s="6"/>
      <c r="H189" s="26" t="s">
        <v>0</v>
      </c>
      <c r="I189" s="26" t="s">
        <v>2</v>
      </c>
    </row>
    <row r="190" spans="1:9" ht="13.9" customHeight="1" x14ac:dyDescent="0.2">
      <c r="A190" s="17">
        <v>41851</v>
      </c>
      <c r="B190" s="19">
        <v>2620707.87</v>
      </c>
      <c r="D190" s="17">
        <v>41851</v>
      </c>
      <c r="E190" s="19">
        <v>225865.5</v>
      </c>
      <c r="F190" s="34"/>
      <c r="H190" s="17">
        <v>41851</v>
      </c>
      <c r="I190" s="27">
        <v>2043030.07</v>
      </c>
    </row>
    <row r="191" spans="1:9" ht="13.9" customHeight="1" x14ac:dyDescent="0.2">
      <c r="A191" s="17">
        <v>41882</v>
      </c>
      <c r="B191" s="27">
        <v>2902530.49</v>
      </c>
      <c r="D191" s="17"/>
      <c r="E191" s="19"/>
      <c r="F191" s="34"/>
      <c r="H191" s="17">
        <v>41882</v>
      </c>
      <c r="I191" s="27">
        <v>2543020.83</v>
      </c>
    </row>
    <row r="192" spans="1:9" ht="13.9" customHeight="1" x14ac:dyDescent="0.2">
      <c r="A192" s="17">
        <v>41912</v>
      </c>
      <c r="B192" s="27">
        <v>2168487.81</v>
      </c>
      <c r="C192" s="9"/>
      <c r="D192" s="17"/>
      <c r="E192" s="18"/>
      <c r="F192" s="35"/>
      <c r="G192" s="9"/>
      <c r="H192" s="17">
        <v>41912</v>
      </c>
      <c r="I192" s="27">
        <v>1936602.85</v>
      </c>
    </row>
    <row r="193" spans="1:9" ht="13.9" customHeight="1" x14ac:dyDescent="0.2">
      <c r="A193" s="17">
        <v>41943</v>
      </c>
      <c r="B193" s="27">
        <v>2704781.06</v>
      </c>
      <c r="C193" s="9"/>
      <c r="D193" s="17"/>
      <c r="E193" s="18"/>
      <c r="F193" s="35"/>
      <c r="G193" s="9"/>
      <c r="H193" s="17">
        <v>41943</v>
      </c>
      <c r="I193" s="27">
        <v>2320716.2000000002</v>
      </c>
    </row>
    <row r="194" spans="1:9" ht="13.9" customHeight="1" x14ac:dyDescent="0.2">
      <c r="A194" s="17">
        <v>41973</v>
      </c>
      <c r="B194" s="19">
        <v>2307511.71</v>
      </c>
      <c r="C194" s="9"/>
      <c r="D194" s="17"/>
      <c r="E194" s="22"/>
      <c r="F194" s="36"/>
      <c r="G194" s="9"/>
      <c r="H194" s="17">
        <v>41973</v>
      </c>
      <c r="I194" s="19">
        <v>2078403.54</v>
      </c>
    </row>
    <row r="195" spans="1:9" ht="13.9" customHeight="1" x14ac:dyDescent="0.2">
      <c r="A195" s="17">
        <v>42004</v>
      </c>
      <c r="B195" s="19">
        <v>2414201.7599999998</v>
      </c>
      <c r="C195" s="9"/>
      <c r="D195" s="17"/>
      <c r="E195" s="19"/>
      <c r="F195" s="34"/>
      <c r="G195" s="9"/>
      <c r="H195" s="17">
        <v>42004</v>
      </c>
      <c r="I195" s="19">
        <v>1999359.53</v>
      </c>
    </row>
    <row r="196" spans="1:9" ht="13.9" customHeight="1" x14ac:dyDescent="0.2">
      <c r="A196" s="17">
        <v>42035</v>
      </c>
      <c r="B196" s="19">
        <v>2689755.54</v>
      </c>
      <c r="C196" s="9"/>
      <c r="D196" s="17"/>
      <c r="E196" s="19"/>
      <c r="F196" s="34"/>
      <c r="G196" s="9"/>
      <c r="H196" s="17">
        <v>42035</v>
      </c>
      <c r="I196" s="19">
        <v>2424163.23</v>
      </c>
    </row>
    <row r="197" spans="1:9" ht="13.9" customHeight="1" x14ac:dyDescent="0.2">
      <c r="A197" s="17">
        <v>42063</v>
      </c>
      <c r="B197" s="19">
        <v>2046480.32</v>
      </c>
      <c r="C197" s="9"/>
      <c r="D197" s="17"/>
      <c r="E197" s="19"/>
      <c r="F197" s="34"/>
      <c r="G197" s="9"/>
      <c r="H197" s="17">
        <v>42063</v>
      </c>
      <c r="I197" s="19">
        <v>1705833.22</v>
      </c>
    </row>
    <row r="198" spans="1:9" ht="13.9" customHeight="1" x14ac:dyDescent="0.2">
      <c r="A198" s="17">
        <v>42094</v>
      </c>
      <c r="B198" s="19">
        <v>2057284.49</v>
      </c>
      <c r="C198" s="9"/>
      <c r="D198" s="17"/>
      <c r="E198" s="19"/>
      <c r="F198" s="34"/>
      <c r="G198" s="9"/>
      <c r="H198" s="17">
        <v>42094</v>
      </c>
      <c r="I198" s="19">
        <v>1731337.61</v>
      </c>
    </row>
    <row r="199" spans="1:9" ht="13.9" customHeight="1" x14ac:dyDescent="0.2">
      <c r="A199" s="17">
        <v>42124</v>
      </c>
      <c r="B199" s="19">
        <v>2392733.16</v>
      </c>
      <c r="D199" s="17"/>
      <c r="E199" s="19"/>
      <c r="F199" s="34"/>
      <c r="H199" s="17">
        <v>42124</v>
      </c>
      <c r="I199" s="19">
        <v>2144885.59</v>
      </c>
    </row>
    <row r="200" spans="1:9" ht="13.9" customHeight="1" x14ac:dyDescent="0.2">
      <c r="A200" s="17">
        <v>42155</v>
      </c>
      <c r="B200" s="21">
        <v>2581062.8199999998</v>
      </c>
      <c r="D200" s="17"/>
      <c r="E200" s="19"/>
      <c r="F200" s="34"/>
      <c r="H200" s="17">
        <v>42155</v>
      </c>
      <c r="I200" s="19">
        <v>2344525.41</v>
      </c>
    </row>
    <row r="201" spans="1:9" ht="13.9" customHeight="1" x14ac:dyDescent="0.2">
      <c r="A201" s="17">
        <v>42185</v>
      </c>
      <c r="B201" s="27">
        <v>2057213.59</v>
      </c>
      <c r="C201" s="9"/>
      <c r="D201" s="17"/>
      <c r="E201" s="19"/>
      <c r="F201" s="34"/>
      <c r="G201" s="9"/>
      <c r="H201" s="17">
        <v>42185</v>
      </c>
      <c r="I201" s="27">
        <v>1833161.08</v>
      </c>
    </row>
    <row r="202" spans="1:9" ht="13.9" customHeight="1" x14ac:dyDescent="0.25">
      <c r="A202" s="23" t="s">
        <v>51</v>
      </c>
      <c r="B202" s="12">
        <f>SUM(B190:B201)</f>
        <v>28942750.620000001</v>
      </c>
      <c r="D202" s="23" t="s">
        <v>51</v>
      </c>
      <c r="E202" s="12">
        <f>SUM(E190:E201)</f>
        <v>225865.5</v>
      </c>
      <c r="F202" s="37"/>
      <c r="H202" s="23" t="s">
        <v>51</v>
      </c>
      <c r="I202" s="12">
        <f>SUM(I190:I201)</f>
        <v>25105039.159999996</v>
      </c>
    </row>
    <row r="203" spans="1:9" ht="13.9" customHeight="1" x14ac:dyDescent="0.25">
      <c r="A203" s="28"/>
      <c r="B203" s="16"/>
      <c r="D203" s="28"/>
      <c r="E203" s="16"/>
      <c r="F203" s="37"/>
      <c r="H203" s="28"/>
      <c r="I203" s="16"/>
    </row>
    <row r="204" spans="1:9" ht="13.9" customHeight="1" x14ac:dyDescent="0.2">
      <c r="A204" s="98" t="s">
        <v>40</v>
      </c>
      <c r="B204" s="99"/>
      <c r="C204" s="40"/>
      <c r="D204" s="98" t="s">
        <v>41</v>
      </c>
      <c r="E204" s="99"/>
      <c r="F204" s="39"/>
      <c r="G204" s="40"/>
      <c r="H204" s="100" t="s">
        <v>42</v>
      </c>
      <c r="I204" s="101"/>
    </row>
    <row r="205" spans="1:9" s="41" customFormat="1" x14ac:dyDescent="0.2">
      <c r="A205" s="1"/>
      <c r="B205" s="1"/>
      <c r="C205" s="1"/>
      <c r="D205" s="1"/>
      <c r="E205" s="1"/>
      <c r="F205" s="29"/>
      <c r="G205" s="1"/>
      <c r="H205" s="1"/>
      <c r="I205" s="1"/>
    </row>
    <row r="206" spans="1:9" ht="13.9" customHeight="1" x14ac:dyDescent="0.25">
      <c r="A206" s="26" t="s">
        <v>0</v>
      </c>
      <c r="B206" s="26" t="s">
        <v>2</v>
      </c>
      <c r="C206" s="6"/>
      <c r="D206" s="26" t="s">
        <v>0</v>
      </c>
      <c r="E206" s="26" t="s">
        <v>2</v>
      </c>
      <c r="F206" s="31"/>
      <c r="G206" s="6"/>
      <c r="H206" s="26" t="s">
        <v>0</v>
      </c>
      <c r="I206" s="26" t="s">
        <v>2</v>
      </c>
    </row>
    <row r="207" spans="1:9" ht="13.9" customHeight="1" x14ac:dyDescent="0.2">
      <c r="A207" s="17">
        <v>41486</v>
      </c>
      <c r="B207" s="19">
        <v>2295558.9500000002</v>
      </c>
      <c r="D207" s="17">
        <v>41486</v>
      </c>
      <c r="E207" s="19">
        <v>213909.5</v>
      </c>
      <c r="F207" s="34"/>
      <c r="H207" s="17">
        <v>41486</v>
      </c>
      <c r="I207" s="27">
        <v>2040105.37</v>
      </c>
    </row>
    <row r="208" spans="1:9" ht="13.9" customHeight="1" x14ac:dyDescent="0.2">
      <c r="A208" s="17">
        <v>41517</v>
      </c>
      <c r="B208" s="27">
        <v>2544342.2799999998</v>
      </c>
      <c r="D208" s="17"/>
      <c r="E208" s="19"/>
      <c r="F208" s="34"/>
      <c r="H208" s="17">
        <v>41517</v>
      </c>
      <c r="I208" s="27">
        <v>2189059.2599999998</v>
      </c>
    </row>
    <row r="209" spans="1:9" ht="13.9" customHeight="1" x14ac:dyDescent="0.2">
      <c r="A209" s="17">
        <v>41547</v>
      </c>
      <c r="B209" s="27">
        <v>2057200.6399999999</v>
      </c>
      <c r="C209" s="9"/>
      <c r="D209" s="17"/>
      <c r="E209" s="18"/>
      <c r="F209" s="35"/>
      <c r="G209" s="9"/>
      <c r="H209" s="17">
        <v>41547</v>
      </c>
      <c r="I209" s="27">
        <v>1811245.69</v>
      </c>
    </row>
    <row r="210" spans="1:9" ht="13.9" customHeight="1" x14ac:dyDescent="0.2">
      <c r="A210" s="17">
        <v>41578</v>
      </c>
      <c r="B210" s="27">
        <v>2481272.29</v>
      </c>
      <c r="C210" s="9"/>
      <c r="D210" s="17"/>
      <c r="E210" s="18"/>
      <c r="F210" s="35"/>
      <c r="G210" s="9"/>
      <c r="H210" s="17">
        <v>41578</v>
      </c>
      <c r="I210" s="27">
        <v>2024284.15</v>
      </c>
    </row>
    <row r="211" spans="1:9" ht="13.9" customHeight="1" x14ac:dyDescent="0.2">
      <c r="A211" s="17">
        <v>41608</v>
      </c>
      <c r="B211" s="19">
        <v>2587863.7000000002</v>
      </c>
      <c r="C211" s="9"/>
      <c r="D211" s="17"/>
      <c r="E211" s="22"/>
      <c r="F211" s="36"/>
      <c r="G211" s="9"/>
      <c r="H211" s="17">
        <v>41608</v>
      </c>
      <c r="I211" s="19">
        <v>2075680.38</v>
      </c>
    </row>
    <row r="212" spans="1:9" ht="13.9" customHeight="1" x14ac:dyDescent="0.2">
      <c r="A212" s="17">
        <v>41639</v>
      </c>
      <c r="B212" s="19">
        <v>1745310.9</v>
      </c>
      <c r="C212" s="9"/>
      <c r="D212" s="17"/>
      <c r="E212" s="19"/>
      <c r="F212" s="34"/>
      <c r="G212" s="9"/>
      <c r="H212" s="17">
        <v>41639</v>
      </c>
      <c r="I212" s="19">
        <v>1744772.73</v>
      </c>
    </row>
    <row r="213" spans="1:9" ht="13.9" customHeight="1" x14ac:dyDescent="0.2">
      <c r="A213" s="17">
        <v>41670</v>
      </c>
      <c r="B213" s="19">
        <f>'Calendar year'!B164</f>
        <v>2664331.12</v>
      </c>
      <c r="C213" s="9"/>
      <c r="D213" s="17"/>
      <c r="E213" s="19"/>
      <c r="F213" s="34"/>
      <c r="G213" s="9"/>
      <c r="H213" s="17">
        <v>41670</v>
      </c>
      <c r="I213" s="19">
        <f>'Calendar year'!I164</f>
        <v>2273357.87</v>
      </c>
    </row>
    <row r="214" spans="1:9" ht="13.9" customHeight="1" x14ac:dyDescent="0.2">
      <c r="A214" s="17">
        <v>41698</v>
      </c>
      <c r="B214" s="19">
        <v>2151439.31</v>
      </c>
      <c r="C214" s="9"/>
      <c r="D214" s="17"/>
      <c r="E214" s="19"/>
      <c r="F214" s="34"/>
      <c r="G214" s="9"/>
      <c r="H214" s="17">
        <v>41698</v>
      </c>
      <c r="I214" s="19">
        <v>2008448.4</v>
      </c>
    </row>
    <row r="215" spans="1:9" ht="13.9" customHeight="1" x14ac:dyDescent="0.2">
      <c r="A215" s="17">
        <v>41729</v>
      </c>
      <c r="B215" s="19">
        <v>1898658.83</v>
      </c>
      <c r="C215" s="9"/>
      <c r="D215" s="17"/>
      <c r="E215" s="19"/>
      <c r="F215" s="34"/>
      <c r="G215" s="9"/>
      <c r="H215" s="17">
        <v>41729</v>
      </c>
      <c r="I215" s="19">
        <v>1597804.9</v>
      </c>
    </row>
    <row r="216" spans="1:9" ht="13.9" customHeight="1" x14ac:dyDescent="0.2">
      <c r="A216" s="17">
        <v>41759</v>
      </c>
      <c r="B216" s="19">
        <v>2170901.02</v>
      </c>
      <c r="D216" s="17"/>
      <c r="E216" s="19"/>
      <c r="F216" s="34"/>
      <c r="H216" s="17">
        <v>41759</v>
      </c>
      <c r="I216" s="19">
        <v>1966621.65</v>
      </c>
    </row>
    <row r="217" spans="1:9" ht="13.9" customHeight="1" x14ac:dyDescent="0.2">
      <c r="A217" s="17">
        <v>41790</v>
      </c>
      <c r="B217" s="21">
        <v>2581299.2400000002</v>
      </c>
      <c r="D217" s="17"/>
      <c r="E217" s="19"/>
      <c r="F217" s="34"/>
      <c r="H217" s="17">
        <v>41790</v>
      </c>
      <c r="I217" s="19">
        <v>2245232.36</v>
      </c>
    </row>
    <row r="218" spans="1:9" ht="13.9" customHeight="1" x14ac:dyDescent="0.2">
      <c r="A218" s="17">
        <v>41820</v>
      </c>
      <c r="B218" s="27">
        <v>1885227.07</v>
      </c>
      <c r="C218" s="9"/>
      <c r="D218" s="17"/>
      <c r="E218" s="19"/>
      <c r="F218" s="34"/>
      <c r="G218" s="9"/>
      <c r="H218" s="17">
        <v>41820</v>
      </c>
      <c r="I218" s="27">
        <v>1657476.06</v>
      </c>
    </row>
    <row r="219" spans="1:9" ht="13.9" customHeight="1" x14ac:dyDescent="0.25">
      <c r="A219" s="23" t="s">
        <v>44</v>
      </c>
      <c r="B219" s="12">
        <f>SUM(B207:B218)</f>
        <v>27063405.349999994</v>
      </c>
      <c r="D219" s="23" t="s">
        <v>44</v>
      </c>
      <c r="E219" s="12">
        <f>SUM(E207:E218)</f>
        <v>213909.5</v>
      </c>
      <c r="F219" s="37"/>
      <c r="H219" s="23" t="s">
        <v>44</v>
      </c>
      <c r="I219" s="12">
        <f>SUM(I207:I218)</f>
        <v>23634088.82</v>
      </c>
    </row>
    <row r="220" spans="1:9" ht="13.9" customHeight="1" x14ac:dyDescent="0.25">
      <c r="A220" s="28"/>
      <c r="B220" s="16"/>
      <c r="D220" s="28"/>
      <c r="E220" s="16"/>
      <c r="F220" s="37"/>
      <c r="H220" s="28"/>
      <c r="I220" s="16"/>
    </row>
    <row r="221" spans="1:9" ht="13.9" customHeight="1" x14ac:dyDescent="0.2">
      <c r="A221" s="98" t="s">
        <v>31</v>
      </c>
      <c r="B221" s="99"/>
      <c r="C221" s="40"/>
      <c r="D221" s="98" t="s">
        <v>32</v>
      </c>
      <c r="E221" s="99"/>
      <c r="F221" s="39"/>
      <c r="G221" s="40"/>
      <c r="H221" s="100" t="s">
        <v>33</v>
      </c>
      <c r="I221" s="101"/>
    </row>
    <row r="222" spans="1:9" s="41" customFormat="1" x14ac:dyDescent="0.2">
      <c r="A222" s="1"/>
      <c r="B222" s="1"/>
      <c r="C222" s="1"/>
      <c r="D222" s="1"/>
      <c r="E222" s="1"/>
      <c r="F222" s="29"/>
      <c r="G222" s="1"/>
      <c r="H222" s="1"/>
      <c r="I222" s="1"/>
    </row>
    <row r="223" spans="1:9" ht="13.9" customHeight="1" x14ac:dyDescent="0.25">
      <c r="A223" s="26" t="s">
        <v>0</v>
      </c>
      <c r="B223" s="26" t="s">
        <v>2</v>
      </c>
      <c r="C223" s="6"/>
      <c r="D223" s="26" t="s">
        <v>0</v>
      </c>
      <c r="E223" s="26" t="s">
        <v>2</v>
      </c>
      <c r="F223" s="31"/>
      <c r="G223" s="6"/>
      <c r="H223" s="26" t="s">
        <v>0</v>
      </c>
      <c r="I223" s="26" t="s">
        <v>2</v>
      </c>
    </row>
    <row r="224" spans="1:9" ht="13.9" customHeight="1" x14ac:dyDescent="0.2">
      <c r="A224" s="17">
        <v>41121</v>
      </c>
      <c r="B224" s="19">
        <v>1782327.99</v>
      </c>
      <c r="D224" s="17">
        <v>41121</v>
      </c>
      <c r="E224" s="19">
        <v>186910.5</v>
      </c>
      <c r="F224" s="34"/>
      <c r="H224" s="17">
        <v>41121</v>
      </c>
      <c r="I224" s="27">
        <v>1466181.86</v>
      </c>
    </row>
    <row r="225" spans="1:9" ht="13.9" customHeight="1" x14ac:dyDescent="0.2">
      <c r="A225" s="17">
        <v>41152</v>
      </c>
      <c r="B225" s="27">
        <v>2731417.39</v>
      </c>
      <c r="D225" s="17"/>
      <c r="E225" s="19"/>
      <c r="F225" s="34"/>
      <c r="H225" s="17">
        <v>41152</v>
      </c>
      <c r="I225" s="27">
        <v>1465033.05</v>
      </c>
    </row>
    <row r="226" spans="1:9" ht="13.9" customHeight="1" x14ac:dyDescent="0.2">
      <c r="A226" s="17">
        <v>41182</v>
      </c>
      <c r="B226" s="27">
        <v>2017213.02</v>
      </c>
      <c r="C226" s="9"/>
      <c r="D226" s="17"/>
      <c r="E226" s="18"/>
      <c r="F226" s="35"/>
      <c r="G226" s="9"/>
      <c r="H226" s="17">
        <v>41182</v>
      </c>
      <c r="I226" s="27">
        <v>1903602.6</v>
      </c>
    </row>
    <row r="227" spans="1:9" ht="13.9" customHeight="1" x14ac:dyDescent="0.2">
      <c r="A227" s="17">
        <v>41213</v>
      </c>
      <c r="B227" s="27">
        <v>2236212.2200000002</v>
      </c>
      <c r="C227" s="9"/>
      <c r="D227" s="17"/>
      <c r="E227" s="18"/>
      <c r="F227" s="35"/>
      <c r="G227" s="9"/>
      <c r="H227" s="17">
        <v>41213</v>
      </c>
      <c r="I227" s="27">
        <v>1961461.96</v>
      </c>
    </row>
    <row r="228" spans="1:9" ht="13.9" customHeight="1" x14ac:dyDescent="0.2">
      <c r="A228" s="17">
        <v>41243</v>
      </c>
      <c r="B228" s="19">
        <v>2405903.79</v>
      </c>
      <c r="C228" s="9"/>
      <c r="D228" s="17"/>
      <c r="E228" s="22"/>
      <c r="F228" s="36"/>
      <c r="G228" s="9"/>
      <c r="H228" s="17">
        <v>41243</v>
      </c>
      <c r="I228" s="19">
        <v>2052394.21</v>
      </c>
    </row>
    <row r="229" spans="1:9" ht="13.9" customHeight="1" x14ac:dyDescent="0.2">
      <c r="A229" s="17">
        <v>41274</v>
      </c>
      <c r="B229" s="19">
        <v>1960268.28</v>
      </c>
      <c r="C229" s="9"/>
      <c r="D229" s="17"/>
      <c r="E229" s="19"/>
      <c r="F229" s="34"/>
      <c r="G229" s="9"/>
      <c r="H229" s="17">
        <v>41274</v>
      </c>
      <c r="I229" s="19">
        <v>1648760.57</v>
      </c>
    </row>
    <row r="230" spans="1:9" ht="13.9" customHeight="1" x14ac:dyDescent="0.2">
      <c r="A230" s="17">
        <v>41305</v>
      </c>
      <c r="B230" s="19">
        <v>2120376.42</v>
      </c>
      <c r="C230" s="9"/>
      <c r="D230" s="17"/>
      <c r="E230" s="19"/>
      <c r="F230" s="34"/>
      <c r="G230" s="9"/>
      <c r="H230" s="17">
        <v>41305</v>
      </c>
      <c r="I230" s="19">
        <v>1828495.43</v>
      </c>
    </row>
    <row r="231" spans="1:9" ht="13.9" customHeight="1" x14ac:dyDescent="0.2">
      <c r="A231" s="17">
        <v>41333</v>
      </c>
      <c r="B231" s="19">
        <v>2517404.7400000002</v>
      </c>
      <c r="C231" s="9"/>
      <c r="D231" s="17"/>
      <c r="E231" s="19"/>
      <c r="F231" s="34"/>
      <c r="G231" s="9"/>
      <c r="H231" s="17">
        <v>41333</v>
      </c>
      <c r="I231" s="19">
        <v>2142871.3199999998</v>
      </c>
    </row>
    <row r="232" spans="1:9" ht="13.9" customHeight="1" x14ac:dyDescent="0.2">
      <c r="A232" s="17">
        <v>41364</v>
      </c>
      <c r="B232" s="19">
        <v>1846944.02</v>
      </c>
      <c r="C232" s="9"/>
      <c r="D232" s="17"/>
      <c r="E232" s="19"/>
      <c r="F232" s="34"/>
      <c r="G232" s="9"/>
      <c r="H232" s="17">
        <v>41364</v>
      </c>
      <c r="I232" s="19">
        <v>1603241.45</v>
      </c>
    </row>
    <row r="233" spans="1:9" ht="13.9" customHeight="1" x14ac:dyDescent="0.2">
      <c r="A233" s="17">
        <v>41394</v>
      </c>
      <c r="B233" s="19">
        <v>1724674.87</v>
      </c>
      <c r="D233" s="17"/>
      <c r="E233" s="19"/>
      <c r="F233" s="34"/>
      <c r="H233" s="17">
        <v>41394</v>
      </c>
      <c r="I233" s="19">
        <v>1429796.13</v>
      </c>
    </row>
    <row r="234" spans="1:9" ht="13.9" customHeight="1" x14ac:dyDescent="0.2">
      <c r="A234" s="17">
        <v>41425</v>
      </c>
      <c r="B234" s="21">
        <v>2513787.71</v>
      </c>
      <c r="D234" s="17"/>
      <c r="E234" s="19"/>
      <c r="F234" s="34"/>
      <c r="H234" s="17">
        <v>41425</v>
      </c>
      <c r="I234" s="19">
        <v>2336735.89</v>
      </c>
    </row>
    <row r="235" spans="1:9" ht="13.9" customHeight="1" x14ac:dyDescent="0.2">
      <c r="A235" s="17">
        <v>41455</v>
      </c>
      <c r="B235" s="27">
        <v>1738472.98</v>
      </c>
      <c r="C235" s="9"/>
      <c r="D235" s="17"/>
      <c r="E235" s="19"/>
      <c r="F235" s="34"/>
      <c r="G235" s="9"/>
      <c r="H235" s="17">
        <v>41455</v>
      </c>
      <c r="I235" s="27">
        <v>1700754.49</v>
      </c>
    </row>
    <row r="236" spans="1:9" ht="13.9" customHeight="1" x14ac:dyDescent="0.25">
      <c r="A236" s="23" t="s">
        <v>34</v>
      </c>
      <c r="B236" s="12">
        <f>SUM(B224:B235)</f>
        <v>25595003.430000003</v>
      </c>
      <c r="D236" s="23" t="s">
        <v>34</v>
      </c>
      <c r="E236" s="12">
        <f>SUM(E224:E235)</f>
        <v>186910.5</v>
      </c>
      <c r="F236" s="37"/>
      <c r="H236" s="23" t="s">
        <v>34</v>
      </c>
      <c r="I236" s="12">
        <f>SUM(I224:I235)</f>
        <v>21539328.959999997</v>
      </c>
    </row>
    <row r="237" spans="1:9" ht="13.9" customHeight="1" x14ac:dyDescent="0.2"/>
    <row r="238" spans="1:9" x14ac:dyDescent="0.2">
      <c r="A238" s="98" t="s">
        <v>24</v>
      </c>
      <c r="B238" s="99"/>
      <c r="C238" s="40"/>
      <c r="D238" s="98" t="s">
        <v>25</v>
      </c>
      <c r="E238" s="99"/>
      <c r="F238" s="39"/>
      <c r="G238" s="40"/>
      <c r="H238" s="100" t="s">
        <v>26</v>
      </c>
      <c r="I238" s="101"/>
    </row>
    <row r="239" spans="1:9" s="41" customFormat="1" x14ac:dyDescent="0.2">
      <c r="A239" s="1"/>
      <c r="B239" s="1"/>
      <c r="C239" s="1"/>
      <c r="D239" s="1"/>
      <c r="E239" s="1"/>
      <c r="F239" s="29"/>
      <c r="G239" s="1"/>
      <c r="H239" s="1"/>
      <c r="I239" s="1"/>
    </row>
    <row r="240" spans="1:9" ht="15" x14ac:dyDescent="0.25">
      <c r="A240" s="26" t="s">
        <v>0</v>
      </c>
      <c r="B240" s="26" t="s">
        <v>2</v>
      </c>
      <c r="C240" s="6"/>
      <c r="D240" s="26" t="s">
        <v>0</v>
      </c>
      <c r="E240" s="26" t="s">
        <v>2</v>
      </c>
      <c r="F240" s="31"/>
      <c r="G240" s="6"/>
      <c r="H240" s="26" t="s">
        <v>0</v>
      </c>
      <c r="I240" s="26" t="s">
        <v>2</v>
      </c>
    </row>
    <row r="241" spans="1:9" x14ac:dyDescent="0.2">
      <c r="A241" s="17">
        <v>40755</v>
      </c>
      <c r="B241" s="19">
        <v>1907382.21</v>
      </c>
      <c r="D241" s="17">
        <v>40755</v>
      </c>
      <c r="E241" s="19">
        <v>132251.5</v>
      </c>
      <c r="F241" s="34"/>
      <c r="H241" s="17">
        <v>40755</v>
      </c>
      <c r="I241" s="19">
        <v>1707252.73</v>
      </c>
    </row>
    <row r="242" spans="1:9" x14ac:dyDescent="0.2">
      <c r="A242" s="17">
        <v>40786</v>
      </c>
      <c r="B242" s="19">
        <v>2132109.75</v>
      </c>
      <c r="D242" s="17"/>
      <c r="E242" s="19"/>
      <c r="F242" s="34"/>
      <c r="H242" s="17">
        <v>40786</v>
      </c>
      <c r="I242" s="19">
        <v>1657437.79</v>
      </c>
    </row>
    <row r="243" spans="1:9" x14ac:dyDescent="0.2">
      <c r="A243" s="17">
        <v>40816</v>
      </c>
      <c r="B243" s="19">
        <v>2309685.08</v>
      </c>
      <c r="C243" s="9"/>
      <c r="D243" s="17"/>
      <c r="E243" s="18"/>
      <c r="F243" s="35"/>
      <c r="G243" s="9"/>
      <c r="H243" s="17">
        <v>40816</v>
      </c>
      <c r="I243" s="19">
        <v>1937565.94</v>
      </c>
    </row>
    <row r="244" spans="1:9" x14ac:dyDescent="0.2">
      <c r="A244" s="17">
        <v>40847</v>
      </c>
      <c r="B244" s="19">
        <v>2146500.0499999998</v>
      </c>
      <c r="C244" s="9"/>
      <c r="D244" s="17"/>
      <c r="E244" s="18"/>
      <c r="F244" s="35"/>
      <c r="G244" s="9"/>
      <c r="H244" s="17">
        <v>40847</v>
      </c>
      <c r="I244" s="19">
        <v>1759559.84</v>
      </c>
    </row>
    <row r="245" spans="1:9" x14ac:dyDescent="0.2">
      <c r="A245" s="17">
        <v>40877</v>
      </c>
      <c r="B245" s="19">
        <v>2411135.41</v>
      </c>
      <c r="C245" s="9"/>
      <c r="D245" s="17"/>
      <c r="E245" s="22"/>
      <c r="F245" s="36"/>
      <c r="G245" s="9"/>
      <c r="H245" s="17">
        <v>40877</v>
      </c>
      <c r="I245" s="19">
        <v>1857178.68</v>
      </c>
    </row>
    <row r="246" spans="1:9" x14ac:dyDescent="0.2">
      <c r="A246" s="17">
        <v>40908</v>
      </c>
      <c r="B246" s="19">
        <v>2315211.33</v>
      </c>
      <c r="C246" s="9"/>
      <c r="D246" s="17"/>
      <c r="E246" s="19"/>
      <c r="F246" s="34"/>
      <c r="G246" s="9"/>
      <c r="H246" s="17">
        <v>40908</v>
      </c>
      <c r="I246" s="19">
        <v>1947484.6</v>
      </c>
    </row>
    <row r="247" spans="1:9" x14ac:dyDescent="0.2">
      <c r="A247" s="17">
        <v>40939</v>
      </c>
      <c r="B247" s="19">
        <v>1679766.47</v>
      </c>
      <c r="C247" s="9"/>
      <c r="D247" s="17"/>
      <c r="E247" s="19"/>
      <c r="F247" s="34"/>
      <c r="G247" s="9"/>
      <c r="H247" s="17">
        <v>40939</v>
      </c>
      <c r="I247" s="19">
        <v>1365937.38</v>
      </c>
    </row>
    <row r="248" spans="1:9" x14ac:dyDescent="0.2">
      <c r="A248" s="17">
        <v>40968</v>
      </c>
      <c r="B248" s="19">
        <v>2716708.29</v>
      </c>
      <c r="C248" s="9"/>
      <c r="D248" s="17"/>
      <c r="E248" s="19"/>
      <c r="F248" s="34"/>
      <c r="G248" s="9"/>
      <c r="H248" s="17">
        <v>40968</v>
      </c>
      <c r="I248" s="19">
        <v>2232415.94</v>
      </c>
    </row>
    <row r="249" spans="1:9" x14ac:dyDescent="0.2">
      <c r="A249" s="17">
        <v>40999</v>
      </c>
      <c r="B249" s="19">
        <v>1845768.16</v>
      </c>
      <c r="C249" s="9"/>
      <c r="D249" s="17"/>
      <c r="E249" s="19"/>
      <c r="F249" s="34"/>
      <c r="G249" s="9"/>
      <c r="H249" s="17">
        <v>40999</v>
      </c>
      <c r="I249" s="19">
        <v>1511251.51</v>
      </c>
    </row>
    <row r="250" spans="1:9" x14ac:dyDescent="0.2">
      <c r="A250" s="17">
        <v>41029</v>
      </c>
      <c r="B250" s="19">
        <v>1686396.9</v>
      </c>
      <c r="D250" s="17"/>
      <c r="E250" s="19"/>
      <c r="F250" s="34"/>
      <c r="H250" s="17">
        <v>41029</v>
      </c>
      <c r="I250" s="19">
        <v>1442713.55</v>
      </c>
    </row>
    <row r="251" spans="1:9" x14ac:dyDescent="0.2">
      <c r="A251" s="17">
        <v>41060</v>
      </c>
      <c r="B251" s="19">
        <v>2477438.92</v>
      </c>
      <c r="D251" s="17"/>
      <c r="E251" s="19"/>
      <c r="F251" s="34"/>
      <c r="H251" s="17">
        <v>41060</v>
      </c>
      <c r="I251" s="19">
        <v>2142846.4300000002</v>
      </c>
    </row>
    <row r="252" spans="1:9" x14ac:dyDescent="0.2">
      <c r="A252" s="17">
        <v>41090</v>
      </c>
      <c r="B252" s="27">
        <v>2276107.9500000002</v>
      </c>
      <c r="C252" s="9"/>
      <c r="D252" s="17"/>
      <c r="E252" s="19"/>
      <c r="F252" s="34"/>
      <c r="G252" s="9"/>
      <c r="H252" s="17">
        <v>41090</v>
      </c>
      <c r="I252" s="27">
        <v>1899015.97</v>
      </c>
    </row>
    <row r="253" spans="1:9" ht="15" x14ac:dyDescent="0.25">
      <c r="A253" s="23" t="s">
        <v>27</v>
      </c>
      <c r="B253" s="12">
        <f>SUM(B241:B252)</f>
        <v>25904210.52</v>
      </c>
      <c r="D253" s="23" t="s">
        <v>27</v>
      </c>
      <c r="E253" s="12">
        <f>SUM(E241:E252)</f>
        <v>132251.5</v>
      </c>
      <c r="F253" s="37"/>
      <c r="H253" s="23" t="s">
        <v>27</v>
      </c>
      <c r="I253" s="12">
        <f>SUM(I241:I252)</f>
        <v>21460660.359999999</v>
      </c>
    </row>
    <row r="255" spans="1:9" x14ac:dyDescent="0.2">
      <c r="A255" s="98" t="s">
        <v>9</v>
      </c>
      <c r="B255" s="99"/>
      <c r="C255" s="40"/>
      <c r="D255" s="98" t="s">
        <v>10</v>
      </c>
      <c r="E255" s="99"/>
      <c r="F255" s="39"/>
      <c r="G255" s="40"/>
      <c r="H255" s="100" t="s">
        <v>11</v>
      </c>
      <c r="I255" s="101"/>
    </row>
    <row r="256" spans="1:9" x14ac:dyDescent="0.2">
      <c r="H256" s="1"/>
      <c r="I256" s="1"/>
    </row>
    <row r="257" spans="1:9" ht="15" x14ac:dyDescent="0.25">
      <c r="A257" s="26" t="s">
        <v>0</v>
      </c>
      <c r="B257" s="26" t="s">
        <v>2</v>
      </c>
      <c r="C257" s="6"/>
      <c r="D257" s="26" t="s">
        <v>0</v>
      </c>
      <c r="E257" s="26" t="s">
        <v>2</v>
      </c>
      <c r="F257" s="31"/>
      <c r="G257" s="6"/>
      <c r="H257" s="26" t="s">
        <v>0</v>
      </c>
      <c r="I257" s="26" t="s">
        <v>2</v>
      </c>
    </row>
    <row r="258" spans="1:9" x14ac:dyDescent="0.2">
      <c r="A258" s="17">
        <v>40390</v>
      </c>
      <c r="B258" s="19">
        <f>2129217.76-29718</f>
        <v>2099499.7599999998</v>
      </c>
      <c r="D258" s="17">
        <v>40390</v>
      </c>
      <c r="E258" s="19">
        <v>29718</v>
      </c>
      <c r="F258" s="34"/>
      <c r="H258" s="17">
        <v>40390</v>
      </c>
      <c r="I258" s="19">
        <v>1850445.84</v>
      </c>
    </row>
    <row r="259" spans="1:9" x14ac:dyDescent="0.2">
      <c r="A259" s="17">
        <v>40421</v>
      </c>
      <c r="B259" s="19">
        <v>1868167.16</v>
      </c>
      <c r="D259" s="17"/>
      <c r="E259" s="19"/>
      <c r="F259" s="34"/>
      <c r="H259" s="17">
        <v>40421</v>
      </c>
      <c r="I259" s="19">
        <v>1356515.02</v>
      </c>
    </row>
    <row r="260" spans="1:9" x14ac:dyDescent="0.2">
      <c r="A260" s="17">
        <v>40451</v>
      </c>
      <c r="B260" s="19">
        <v>2455306.9900000002</v>
      </c>
      <c r="C260" s="9"/>
      <c r="D260" s="17"/>
      <c r="E260" s="18"/>
      <c r="F260" s="35"/>
      <c r="G260" s="9"/>
      <c r="H260" s="17">
        <v>40451</v>
      </c>
      <c r="I260" s="19">
        <v>1880074.81</v>
      </c>
    </row>
    <row r="261" spans="1:9" x14ac:dyDescent="0.2">
      <c r="A261" s="17">
        <v>40482</v>
      </c>
      <c r="B261" s="19">
        <v>2127793.12</v>
      </c>
      <c r="C261" s="9"/>
      <c r="D261" s="17"/>
      <c r="E261" s="18"/>
      <c r="F261" s="35"/>
      <c r="G261" s="9"/>
      <c r="H261" s="17">
        <v>40482</v>
      </c>
      <c r="I261" s="19">
        <v>1840981.65</v>
      </c>
    </row>
    <row r="262" spans="1:9" x14ac:dyDescent="0.2">
      <c r="A262" s="17">
        <v>40512</v>
      </c>
      <c r="B262" s="19">
        <v>2037985.27</v>
      </c>
      <c r="C262" s="9"/>
      <c r="D262" s="17"/>
      <c r="E262" s="22"/>
      <c r="F262" s="36"/>
      <c r="G262" s="9"/>
      <c r="H262" s="17">
        <v>40512</v>
      </c>
      <c r="I262" s="19">
        <v>1433602.45</v>
      </c>
    </row>
    <row r="263" spans="1:9" x14ac:dyDescent="0.2">
      <c r="A263" s="17">
        <v>40543</v>
      </c>
      <c r="B263" s="19">
        <v>1997536.45</v>
      </c>
      <c r="C263" s="9"/>
      <c r="D263" s="17"/>
      <c r="E263" s="19"/>
      <c r="F263" s="34"/>
      <c r="G263" s="9"/>
      <c r="H263" s="17">
        <v>40543</v>
      </c>
      <c r="I263" s="19">
        <v>1657365.13</v>
      </c>
    </row>
    <row r="264" spans="1:9" x14ac:dyDescent="0.2">
      <c r="A264" s="17">
        <v>40574</v>
      </c>
      <c r="B264" s="19">
        <v>2111770.84</v>
      </c>
      <c r="C264" s="9"/>
      <c r="D264" s="17"/>
      <c r="E264" s="19"/>
      <c r="F264" s="34"/>
      <c r="G264" s="9"/>
      <c r="H264" s="17">
        <v>40574</v>
      </c>
      <c r="I264" s="19">
        <v>1588327.2</v>
      </c>
    </row>
    <row r="265" spans="1:9" x14ac:dyDescent="0.2">
      <c r="A265" s="17">
        <v>40602</v>
      </c>
      <c r="B265" s="19">
        <v>2451543.14</v>
      </c>
      <c r="C265" s="9"/>
      <c r="D265" s="17"/>
      <c r="E265" s="19"/>
      <c r="F265" s="34"/>
      <c r="G265" s="9"/>
      <c r="H265" s="17">
        <v>40602</v>
      </c>
      <c r="I265" s="19">
        <v>2044739.33</v>
      </c>
    </row>
    <row r="266" spans="1:9" x14ac:dyDescent="0.2">
      <c r="A266" s="17">
        <v>40633</v>
      </c>
      <c r="B266" s="19">
        <v>1868324.15</v>
      </c>
      <c r="C266" s="9"/>
      <c r="D266" s="17"/>
      <c r="E266" s="19"/>
      <c r="F266" s="34"/>
      <c r="G266" s="9"/>
      <c r="H266" s="17">
        <v>40633</v>
      </c>
      <c r="I266" s="19">
        <v>1510238.57</v>
      </c>
    </row>
    <row r="267" spans="1:9" x14ac:dyDescent="0.2">
      <c r="A267" s="17">
        <v>40663</v>
      </c>
      <c r="B267" s="19">
        <v>1979996.85</v>
      </c>
      <c r="D267" s="17"/>
      <c r="E267" s="19"/>
      <c r="F267" s="34"/>
      <c r="H267" s="17">
        <v>40663</v>
      </c>
      <c r="I267" s="19">
        <v>1473523.62</v>
      </c>
    </row>
    <row r="268" spans="1:9" x14ac:dyDescent="0.2">
      <c r="A268" s="17">
        <v>40694</v>
      </c>
      <c r="B268" s="19">
        <v>1794941.46</v>
      </c>
      <c r="D268" s="17"/>
      <c r="E268" s="19"/>
      <c r="F268" s="34"/>
      <c r="H268" s="17">
        <v>40694</v>
      </c>
      <c r="I268" s="19">
        <v>1640639.1</v>
      </c>
    </row>
    <row r="269" spans="1:9" x14ac:dyDescent="0.2">
      <c r="A269" s="17">
        <v>40724</v>
      </c>
      <c r="B269" s="19">
        <v>2483084.96</v>
      </c>
      <c r="C269" s="9"/>
      <c r="D269" s="17"/>
      <c r="E269" s="19"/>
      <c r="F269" s="34"/>
      <c r="G269" s="9"/>
      <c r="H269" s="17">
        <v>40724</v>
      </c>
      <c r="I269" s="19">
        <v>1832093.03</v>
      </c>
    </row>
    <row r="270" spans="1:9" ht="15" x14ac:dyDescent="0.25">
      <c r="A270" s="23" t="s">
        <v>13</v>
      </c>
      <c r="B270" s="12">
        <f>SUM(B258:B269)</f>
        <v>25275950.150000002</v>
      </c>
      <c r="D270" s="23" t="s">
        <v>13</v>
      </c>
      <c r="E270" s="12">
        <f>SUM(E258:E269)</f>
        <v>29718</v>
      </c>
      <c r="F270" s="37"/>
      <c r="H270" s="23" t="s">
        <v>13</v>
      </c>
      <c r="I270" s="12">
        <f>SUM(I258:I269)</f>
        <v>20108545.750000004</v>
      </c>
    </row>
    <row r="271" spans="1:9" ht="15" x14ac:dyDescent="0.25">
      <c r="A271" s="8"/>
      <c r="B271" s="13"/>
      <c r="H271" s="8"/>
      <c r="I271" s="13"/>
    </row>
  </sheetData>
  <mergeCells count="50">
    <mergeCell ref="K6:L6"/>
    <mergeCell ref="A68:B68"/>
    <mergeCell ref="D68:E68"/>
    <mergeCell ref="H68:I68"/>
    <mergeCell ref="A15:B15"/>
    <mergeCell ref="H15:I15"/>
    <mergeCell ref="D15:E15"/>
    <mergeCell ref="A51:B51"/>
    <mergeCell ref="D51:E51"/>
    <mergeCell ref="H51:I51"/>
    <mergeCell ref="A34:B34"/>
    <mergeCell ref="D34:E34"/>
    <mergeCell ref="H34:I34"/>
    <mergeCell ref="A153:B153"/>
    <mergeCell ref="D153:E153"/>
    <mergeCell ref="H153:I153"/>
    <mergeCell ref="H221:I221"/>
    <mergeCell ref="A221:B221"/>
    <mergeCell ref="D221:E221"/>
    <mergeCell ref="A204:B204"/>
    <mergeCell ref="A170:B170"/>
    <mergeCell ref="D204:E204"/>
    <mergeCell ref="H204:I204"/>
    <mergeCell ref="A187:B187"/>
    <mergeCell ref="D187:E187"/>
    <mergeCell ref="H187:I187"/>
    <mergeCell ref="D170:E170"/>
    <mergeCell ref="H170:I170"/>
    <mergeCell ref="A255:B255"/>
    <mergeCell ref="A238:B238"/>
    <mergeCell ref="D238:E238"/>
    <mergeCell ref="H238:I238"/>
    <mergeCell ref="D255:E255"/>
    <mergeCell ref="H255:I255"/>
    <mergeCell ref="A1:I1"/>
    <mergeCell ref="A2:I2"/>
    <mergeCell ref="A4:I4"/>
    <mergeCell ref="A6:B6"/>
    <mergeCell ref="A136:B136"/>
    <mergeCell ref="D136:E136"/>
    <mergeCell ref="H136:I136"/>
    <mergeCell ref="A102:B102"/>
    <mergeCell ref="D102:E102"/>
    <mergeCell ref="H102:I102"/>
    <mergeCell ref="A119:B119"/>
    <mergeCell ref="D119:E119"/>
    <mergeCell ref="H119:I119"/>
    <mergeCell ref="A85:B85"/>
    <mergeCell ref="D85:E85"/>
    <mergeCell ref="H85:I85"/>
  </mergeCells>
  <phoneticPr fontId="7" type="noConversion"/>
  <printOptions horizontalCentered="1"/>
  <pageMargins left="0.75" right="0.75" top="0.75" bottom="0.5" header="0.25" footer="0.1"/>
  <pageSetup scale="42" orientation="landscape" r:id="rId1"/>
  <headerFooter scaleWithDoc="0" alignWithMargins="0">
    <oddHeader xml:space="preserve">&amp;CDepartment of Revenue
Division of Enterprise Services
</oddHeader>
    <oddFooter>&amp;C1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  <pageSetUpPr fitToPage="1"/>
  </sheetPr>
  <dimension ref="A1:L358"/>
  <sheetViews>
    <sheetView zoomScale="90" zoomScaleNormal="90" zoomScaleSheetLayoutView="100" workbookViewId="0">
      <selection sqref="A1:I1"/>
    </sheetView>
  </sheetViews>
  <sheetFormatPr defaultColWidth="9.140625" defaultRowHeight="14.25" x14ac:dyDescent="0.2"/>
  <cols>
    <col min="1" max="1" width="22.7109375" style="10" customWidth="1"/>
    <col min="2" max="2" width="22.7109375" style="3" customWidth="1"/>
    <col min="3" max="3" width="2.7109375" style="3" customWidth="1"/>
    <col min="4" max="5" width="22.7109375" style="3" customWidth="1"/>
    <col min="6" max="7" width="2.7109375" style="3" customWidth="1"/>
    <col min="8" max="8" width="22.7109375" style="10" customWidth="1"/>
    <col min="9" max="9" width="22.7109375" style="3" customWidth="1"/>
    <col min="10" max="10" width="2.42578125" style="1" customWidth="1"/>
    <col min="11" max="11" width="19.5703125" style="1" bestFit="1" customWidth="1"/>
    <col min="12" max="12" width="24.85546875" style="1" customWidth="1"/>
    <col min="13" max="13" width="2.42578125" style="1" customWidth="1"/>
    <col min="14" max="14" width="15.7109375" style="1" bestFit="1" customWidth="1"/>
    <col min="15" max="16384" width="9.140625" style="1"/>
  </cols>
  <sheetData>
    <row r="1" spans="1:10" ht="13.9" customHeight="1" x14ac:dyDescent="0.25">
      <c r="A1" s="93" t="s">
        <v>7</v>
      </c>
      <c r="B1" s="93"/>
      <c r="C1" s="93"/>
      <c r="D1" s="93"/>
      <c r="E1" s="93"/>
      <c r="F1" s="93"/>
      <c r="G1" s="93"/>
      <c r="H1" s="93"/>
      <c r="I1" s="93"/>
    </row>
    <row r="2" spans="1:10" ht="37.9" customHeight="1" x14ac:dyDescent="0.2">
      <c r="A2" s="94" t="s">
        <v>16</v>
      </c>
      <c r="B2" s="94"/>
      <c r="C2" s="94"/>
      <c r="D2" s="94"/>
      <c r="E2" s="94"/>
      <c r="F2" s="94"/>
      <c r="G2" s="94"/>
      <c r="H2" s="94"/>
      <c r="I2" s="94"/>
    </row>
    <row r="3" spans="1:10" ht="13.9" customHeight="1" x14ac:dyDescent="0.2">
      <c r="G3" s="25"/>
    </row>
    <row r="4" spans="1:10" ht="13.9" customHeight="1" x14ac:dyDescent="0.25">
      <c r="A4" s="95" t="s">
        <v>3</v>
      </c>
      <c r="B4" s="95"/>
      <c r="C4" s="95"/>
      <c r="D4" s="95"/>
      <c r="E4" s="95"/>
      <c r="F4" s="95"/>
      <c r="G4" s="95"/>
      <c r="H4" s="95"/>
      <c r="I4" s="95"/>
    </row>
    <row r="5" spans="1:10" ht="13.9" customHeight="1" x14ac:dyDescent="0.2">
      <c r="A5" s="43"/>
      <c r="B5" s="42"/>
      <c r="C5" s="42"/>
      <c r="D5" s="42"/>
      <c r="E5" s="42"/>
      <c r="F5" s="42"/>
      <c r="G5" s="44"/>
      <c r="H5" s="43"/>
      <c r="I5" s="42"/>
    </row>
    <row r="6" spans="1:10" s="41" customFormat="1" ht="37.9" customHeight="1" x14ac:dyDescent="0.2">
      <c r="A6" s="98" t="s">
        <v>20</v>
      </c>
      <c r="B6" s="98"/>
      <c r="D6" s="98" t="s">
        <v>21</v>
      </c>
      <c r="E6" s="98"/>
      <c r="G6" s="51"/>
      <c r="H6" s="110" t="s">
        <v>22</v>
      </c>
      <c r="I6" s="110"/>
    </row>
    <row r="7" spans="1:10" ht="16.149999999999999" customHeight="1" x14ac:dyDescent="0.25">
      <c r="A7" s="52"/>
      <c r="B7" s="53" t="s">
        <v>4</v>
      </c>
      <c r="C7" s="54"/>
      <c r="D7" s="52"/>
      <c r="E7" s="53" t="s">
        <v>4</v>
      </c>
      <c r="F7" s="55"/>
      <c r="G7" s="56"/>
      <c r="H7" s="52"/>
      <c r="I7" s="53" t="s">
        <v>4</v>
      </c>
    </row>
    <row r="8" spans="1:10" ht="13.9" customHeight="1" x14ac:dyDescent="0.2">
      <c r="A8" s="58">
        <v>2011</v>
      </c>
      <c r="B8" s="59">
        <f>B225</f>
        <v>25911685.230000004</v>
      </c>
      <c r="C8" s="54"/>
      <c r="D8" s="58">
        <v>2011</v>
      </c>
      <c r="E8" s="59">
        <f>E225</f>
        <v>132251.5</v>
      </c>
      <c r="F8" s="55"/>
      <c r="G8" s="56"/>
      <c r="H8" s="58">
        <v>2011</v>
      </c>
      <c r="I8" s="59">
        <f>I225</f>
        <v>20956040.430000003</v>
      </c>
      <c r="J8" s="9"/>
    </row>
    <row r="9" spans="1:10" ht="13.9" customHeight="1" x14ac:dyDescent="0.2">
      <c r="A9" s="58">
        <v>2012</v>
      </c>
      <c r="B9" s="59">
        <f>B210</f>
        <v>25815529.379999999</v>
      </c>
      <c r="C9" s="54"/>
      <c r="D9" s="58">
        <v>2012</v>
      </c>
      <c r="E9" s="59">
        <f>E210</f>
        <v>186910.5</v>
      </c>
      <c r="F9" s="55"/>
      <c r="G9" s="56"/>
      <c r="H9" s="58">
        <v>2012</v>
      </c>
      <c r="I9" s="59">
        <f>I210</f>
        <v>21091615.030000001</v>
      </c>
      <c r="J9" s="9"/>
    </row>
    <row r="10" spans="1:10" ht="13.9" customHeight="1" x14ac:dyDescent="0.2">
      <c r="A10" s="58">
        <v>2013</v>
      </c>
      <c r="B10" s="59">
        <f>B193</f>
        <v>26173209.5</v>
      </c>
      <c r="C10" s="54"/>
      <c r="D10" s="58">
        <v>2013</v>
      </c>
      <c r="E10" s="59">
        <f>E193</f>
        <v>213909.5</v>
      </c>
      <c r="F10" s="55"/>
      <c r="G10" s="56"/>
      <c r="H10" s="58">
        <v>2013</v>
      </c>
      <c r="I10" s="59">
        <f>I193</f>
        <v>22927042.319999997</v>
      </c>
      <c r="J10" s="9"/>
    </row>
    <row r="11" spans="1:10" ht="13.9" customHeight="1" x14ac:dyDescent="0.2">
      <c r="A11" s="58">
        <v>2014</v>
      </c>
      <c r="B11" s="59">
        <f>B176</f>
        <v>28470077.289999999</v>
      </c>
      <c r="C11" s="54"/>
      <c r="D11" s="58">
        <f>A11</f>
        <v>2014</v>
      </c>
      <c r="E11" s="59">
        <f>E176</f>
        <v>225865.5</v>
      </c>
      <c r="F11" s="55"/>
      <c r="G11" s="56"/>
      <c r="H11" s="58">
        <f>A11</f>
        <v>2014</v>
      </c>
      <c r="I11" s="59">
        <f>I176</f>
        <v>24670074.260000002</v>
      </c>
      <c r="J11" s="9"/>
    </row>
    <row r="12" spans="1:10" ht="13.9" customHeight="1" x14ac:dyDescent="0.2">
      <c r="A12" s="58">
        <v>2015</v>
      </c>
      <c r="B12" s="59">
        <f>B159</f>
        <v>29086757.859999999</v>
      </c>
      <c r="C12" s="54"/>
      <c r="D12" s="58">
        <v>2015</v>
      </c>
      <c r="E12" s="59">
        <f>E159</f>
        <v>239487.5</v>
      </c>
      <c r="F12" s="55"/>
      <c r="G12" s="56"/>
      <c r="H12" s="58">
        <v>2015</v>
      </c>
      <c r="I12" s="59">
        <f>I159</f>
        <v>21321035.990000002</v>
      </c>
      <c r="J12" s="9"/>
    </row>
    <row r="13" spans="1:10" ht="13.9" customHeight="1" x14ac:dyDescent="0.2">
      <c r="A13" s="58">
        <v>2016</v>
      </c>
      <c r="B13" s="59">
        <f>B142</f>
        <v>30018213.199999996</v>
      </c>
      <c r="C13" s="54"/>
      <c r="D13" s="58">
        <f>A13</f>
        <v>2016</v>
      </c>
      <c r="E13" s="59">
        <f>E142</f>
        <v>239923.5</v>
      </c>
      <c r="F13" s="55"/>
      <c r="G13" s="56"/>
      <c r="H13" s="58">
        <f>A13</f>
        <v>2016</v>
      </c>
      <c r="I13" s="59">
        <f>I142</f>
        <v>558020.30000000005</v>
      </c>
      <c r="J13" s="9"/>
    </row>
    <row r="14" spans="1:10" ht="13.9" customHeight="1" x14ac:dyDescent="0.2">
      <c r="A14" s="58">
        <v>2017</v>
      </c>
      <c r="B14" s="59">
        <f>B125</f>
        <v>30960786.890000001</v>
      </c>
      <c r="C14" s="54"/>
      <c r="D14" s="58">
        <f>A14</f>
        <v>2017</v>
      </c>
      <c r="E14" s="59">
        <f>E125</f>
        <v>241256</v>
      </c>
      <c r="F14" s="55"/>
      <c r="G14" s="56"/>
      <c r="H14" s="58">
        <f>A14</f>
        <v>2017</v>
      </c>
      <c r="I14" s="59">
        <f>I125</f>
        <v>509289.53</v>
      </c>
      <c r="J14" s="9"/>
    </row>
    <row r="15" spans="1:10" ht="13.9" customHeight="1" x14ac:dyDescent="0.2">
      <c r="A15" s="58">
        <v>2018</v>
      </c>
      <c r="B15" s="59">
        <f>B108</f>
        <v>31951037.329999998</v>
      </c>
      <c r="C15" s="54"/>
      <c r="D15" s="58">
        <v>2018</v>
      </c>
      <c r="E15" s="59">
        <f>E108</f>
        <v>248216.5</v>
      </c>
      <c r="F15" s="55"/>
      <c r="G15" s="56"/>
      <c r="H15" s="58">
        <v>2018</v>
      </c>
      <c r="I15" s="59">
        <f>I108</f>
        <v>309862.96999999997</v>
      </c>
      <c r="J15" s="9"/>
    </row>
    <row r="16" spans="1:10" ht="13.9" customHeight="1" x14ac:dyDescent="0.2">
      <c r="A16" s="58">
        <v>2019</v>
      </c>
      <c r="B16" s="59">
        <f>B91</f>
        <v>33579930.779999994</v>
      </c>
      <c r="C16" s="54"/>
      <c r="D16" s="58">
        <v>2019</v>
      </c>
      <c r="E16" s="59">
        <f>E91</f>
        <v>268416.5</v>
      </c>
      <c r="F16" s="55"/>
      <c r="G16" s="56"/>
      <c r="H16" s="58">
        <v>2019</v>
      </c>
      <c r="I16" s="59">
        <f>I91</f>
        <v>113811.93000000001</v>
      </c>
      <c r="J16" s="9"/>
    </row>
    <row r="17" spans="1:10" ht="13.9" customHeight="1" x14ac:dyDescent="0.2">
      <c r="A17" s="58">
        <v>2020</v>
      </c>
      <c r="B17" s="59">
        <f>B74</f>
        <v>16340182.24</v>
      </c>
      <c r="C17" s="54"/>
      <c r="D17" s="58">
        <v>2020</v>
      </c>
      <c r="E17" s="59">
        <f>E74</f>
        <v>0</v>
      </c>
      <c r="F17" s="55"/>
      <c r="G17" s="56"/>
      <c r="H17" s="58">
        <v>2020</v>
      </c>
      <c r="I17" s="59">
        <f>I74</f>
        <v>25105.7</v>
      </c>
      <c r="J17" s="9"/>
    </row>
    <row r="18" spans="1:10" ht="13.9" customHeight="1" x14ac:dyDescent="0.2">
      <c r="A18" s="58">
        <v>2021</v>
      </c>
      <c r="B18" s="59">
        <f>+B57</f>
        <v>694395.73</v>
      </c>
      <c r="C18" s="54"/>
      <c r="D18" s="58">
        <v>2021</v>
      </c>
      <c r="E18" s="59">
        <v>0</v>
      </c>
      <c r="F18" s="55"/>
      <c r="G18" s="56"/>
      <c r="H18" s="58">
        <v>2021</v>
      </c>
      <c r="I18" s="59">
        <f>I57</f>
        <v>2995.98</v>
      </c>
      <c r="J18" s="9"/>
    </row>
    <row r="19" spans="1:10" ht="13.9" customHeight="1" x14ac:dyDescent="0.2">
      <c r="A19" s="58">
        <v>2022</v>
      </c>
      <c r="B19" s="59">
        <f>'Fiscal year'!B29</f>
        <v>374639.68</v>
      </c>
      <c r="C19" s="54"/>
      <c r="D19" s="58">
        <v>2022</v>
      </c>
      <c r="E19" s="59">
        <v>0</v>
      </c>
      <c r="F19" s="55"/>
      <c r="G19" s="56"/>
      <c r="H19" s="58">
        <v>2022</v>
      </c>
      <c r="I19" s="59">
        <f>'Fiscal year'!I29</f>
        <v>8809.94</v>
      </c>
      <c r="J19" s="9"/>
    </row>
    <row r="20" spans="1:10" ht="13.9" customHeight="1" x14ac:dyDescent="0.2">
      <c r="A20" s="58">
        <v>2023</v>
      </c>
      <c r="B20" s="59">
        <f>'Fiscal year'!B30</f>
        <v>390448.41</v>
      </c>
      <c r="C20" s="54"/>
      <c r="D20" s="58">
        <v>2023</v>
      </c>
      <c r="E20" s="59">
        <f>0</f>
        <v>0</v>
      </c>
      <c r="F20" s="55"/>
      <c r="G20" s="56"/>
      <c r="H20" s="58">
        <v>2023</v>
      </c>
      <c r="I20" s="59">
        <f>'Fiscal year'!I30</f>
        <v>107601.12</v>
      </c>
      <c r="J20" s="9"/>
    </row>
    <row r="21" spans="1:10" ht="13.9" customHeight="1" x14ac:dyDescent="0.2">
      <c r="A21" s="58">
        <v>2024</v>
      </c>
      <c r="B21" s="59">
        <v>0</v>
      </c>
      <c r="C21" s="54"/>
      <c r="D21" s="58">
        <v>2024</v>
      </c>
      <c r="E21" s="59">
        <f>0</f>
        <v>0</v>
      </c>
      <c r="F21" s="55"/>
      <c r="G21" s="56"/>
      <c r="H21" s="58">
        <v>2024</v>
      </c>
      <c r="I21" s="59">
        <f>'Fiscal year'!I31</f>
        <v>49216.639999999999</v>
      </c>
      <c r="J21" s="9"/>
    </row>
    <row r="22" spans="1:10" ht="13.9" customHeight="1" x14ac:dyDescent="0.2">
      <c r="A22" s="58">
        <v>2025</v>
      </c>
      <c r="B22" s="59">
        <f>'Fiscal year'!B13</f>
        <v>1701749.59</v>
      </c>
      <c r="C22" s="54"/>
      <c r="D22" s="58">
        <v>2025</v>
      </c>
      <c r="E22" s="59">
        <v>0</v>
      </c>
      <c r="F22" s="55"/>
      <c r="G22" s="56"/>
      <c r="H22" s="58">
        <v>2025</v>
      </c>
      <c r="I22" s="59">
        <v>0</v>
      </c>
      <c r="J22" s="9"/>
    </row>
    <row r="23" spans="1:10" ht="13.9" customHeight="1" x14ac:dyDescent="0.25">
      <c r="A23" s="74" t="s">
        <v>1</v>
      </c>
      <c r="B23" s="60">
        <f>SUM(B8:B19)</f>
        <v>279376445.10999995</v>
      </c>
      <c r="C23" s="54"/>
      <c r="D23" s="74" t="s">
        <v>1</v>
      </c>
      <c r="E23" s="60">
        <f>SUM(E8:E19)</f>
        <v>1996237</v>
      </c>
      <c r="F23" s="55"/>
      <c r="G23" s="56"/>
      <c r="H23" s="74" t="s">
        <v>1</v>
      </c>
      <c r="I23" s="60">
        <f>SUM(I8:I19)</f>
        <v>112493704.38000001</v>
      </c>
    </row>
    <row r="24" spans="1:10" ht="13.9" customHeight="1" x14ac:dyDescent="0.25">
      <c r="A24" s="78"/>
      <c r="B24" s="62"/>
      <c r="C24" s="25"/>
      <c r="D24" s="78"/>
      <c r="E24" s="62"/>
      <c r="F24" s="25"/>
      <c r="G24" s="25"/>
      <c r="H24" s="78"/>
      <c r="I24" s="62"/>
    </row>
    <row r="25" spans="1:10" ht="13.9" customHeight="1" x14ac:dyDescent="0.2">
      <c r="A25" s="106" t="s">
        <v>115</v>
      </c>
      <c r="B25" s="106"/>
      <c r="C25" s="63"/>
      <c r="D25" s="106" t="s">
        <v>115</v>
      </c>
      <c r="E25" s="106"/>
      <c r="F25" s="63"/>
      <c r="G25" s="63"/>
      <c r="H25" s="106" t="s">
        <v>116</v>
      </c>
      <c r="I25" s="106"/>
    </row>
    <row r="26" spans="1:10" ht="13.9" customHeight="1" x14ac:dyDescent="0.25">
      <c r="A26" s="107"/>
      <c r="B26" s="107"/>
      <c r="C26" s="64"/>
      <c r="D26" s="107"/>
      <c r="E26" s="107"/>
      <c r="F26" s="64"/>
      <c r="G26" s="64"/>
      <c r="H26" s="107"/>
      <c r="I26" s="107"/>
    </row>
    <row r="27" spans="1:10" ht="13.9" customHeight="1" x14ac:dyDescent="0.25">
      <c r="A27" s="52"/>
      <c r="B27" s="53" t="s">
        <v>118</v>
      </c>
      <c r="C27" s="54"/>
      <c r="D27" s="52"/>
      <c r="E27" s="53" t="str">
        <f>B27</f>
        <v>2022 Distributions</v>
      </c>
      <c r="F27" s="55"/>
      <c r="G27" s="56"/>
      <c r="H27" s="52"/>
      <c r="I27" s="53" t="str">
        <f>B27</f>
        <v>2022 Distributions</v>
      </c>
    </row>
    <row r="28" spans="1:10" ht="13.9" customHeight="1" x14ac:dyDescent="0.2">
      <c r="A28" s="65">
        <v>44592</v>
      </c>
      <c r="B28" s="59"/>
      <c r="C28" s="54"/>
      <c r="D28" s="65"/>
      <c r="E28" s="57"/>
      <c r="F28" s="55"/>
      <c r="G28" s="56"/>
      <c r="H28" s="65">
        <f t="shared" ref="H28:H36" si="0">A28</f>
        <v>44592</v>
      </c>
      <c r="I28" s="59">
        <v>0</v>
      </c>
    </row>
    <row r="29" spans="1:10" ht="13.9" customHeight="1" x14ac:dyDescent="0.2">
      <c r="A29" s="65">
        <v>44620</v>
      </c>
      <c r="B29" s="59"/>
      <c r="C29" s="54"/>
      <c r="D29" s="65"/>
      <c r="E29" s="59"/>
      <c r="F29" s="55"/>
      <c r="G29" s="56"/>
      <c r="H29" s="65">
        <f t="shared" si="0"/>
        <v>44620</v>
      </c>
      <c r="I29" s="59">
        <v>0</v>
      </c>
    </row>
    <row r="30" spans="1:10" ht="13.9" customHeight="1" x14ac:dyDescent="0.2">
      <c r="A30" s="65">
        <v>44649</v>
      </c>
      <c r="B30" s="59"/>
      <c r="C30" s="54"/>
      <c r="D30" s="65"/>
      <c r="E30" s="59"/>
      <c r="F30" s="55"/>
      <c r="G30" s="56"/>
      <c r="H30" s="65">
        <f t="shared" si="0"/>
        <v>44649</v>
      </c>
      <c r="I30" s="59">
        <v>0</v>
      </c>
    </row>
    <row r="31" spans="1:10" ht="13.9" customHeight="1" x14ac:dyDescent="0.2">
      <c r="A31" s="65">
        <v>44681</v>
      </c>
      <c r="B31" s="59"/>
      <c r="C31" s="54"/>
      <c r="D31" s="65"/>
      <c r="E31" s="59"/>
      <c r="F31" s="55"/>
      <c r="G31" s="56"/>
      <c r="H31" s="65">
        <f t="shared" si="0"/>
        <v>44681</v>
      </c>
      <c r="I31" s="59">
        <v>0</v>
      </c>
    </row>
    <row r="32" spans="1:10" ht="13.9" customHeight="1" x14ac:dyDescent="0.2">
      <c r="A32" s="65">
        <v>44712</v>
      </c>
      <c r="B32" s="59"/>
      <c r="C32" s="54"/>
      <c r="D32" s="65"/>
      <c r="E32" s="59"/>
      <c r="F32" s="55"/>
      <c r="G32" s="56"/>
      <c r="H32" s="65">
        <f t="shared" si="0"/>
        <v>44712</v>
      </c>
      <c r="I32" s="59">
        <v>0</v>
      </c>
    </row>
    <row r="33" spans="1:9" ht="13.9" customHeight="1" x14ac:dyDescent="0.2">
      <c r="A33" s="65">
        <v>44742</v>
      </c>
      <c r="B33" s="66"/>
      <c r="C33" s="54"/>
      <c r="D33" s="65"/>
      <c r="E33" s="57"/>
      <c r="F33" s="55"/>
      <c r="G33" s="56"/>
      <c r="H33" s="65">
        <f t="shared" si="0"/>
        <v>44742</v>
      </c>
      <c r="I33" s="66">
        <v>0</v>
      </c>
    </row>
    <row r="34" spans="1:9" ht="13.9" customHeight="1" x14ac:dyDescent="0.2">
      <c r="A34" s="65">
        <v>44773</v>
      </c>
      <c r="B34" s="59"/>
      <c r="C34" s="54"/>
      <c r="D34" s="17"/>
      <c r="E34" s="59"/>
      <c r="F34" s="55"/>
      <c r="G34" s="56"/>
      <c r="H34" s="65">
        <f t="shared" si="0"/>
        <v>44773</v>
      </c>
      <c r="I34" s="66">
        <v>0</v>
      </c>
    </row>
    <row r="35" spans="1:9" ht="13.9" customHeight="1" x14ac:dyDescent="0.2">
      <c r="A35" s="65">
        <v>44804</v>
      </c>
      <c r="B35" s="59"/>
      <c r="C35" s="54"/>
      <c r="D35" s="65"/>
      <c r="E35" s="57"/>
      <c r="F35" s="55"/>
      <c r="G35" s="56"/>
      <c r="H35" s="65">
        <f t="shared" si="0"/>
        <v>44804</v>
      </c>
      <c r="I35" s="66">
        <v>0</v>
      </c>
    </row>
    <row r="36" spans="1:9" ht="13.9" customHeight="1" x14ac:dyDescent="0.2">
      <c r="A36" s="65">
        <v>44834</v>
      </c>
      <c r="B36" s="66"/>
      <c r="C36" s="54"/>
      <c r="D36" s="65"/>
      <c r="E36" s="57"/>
      <c r="F36" s="55"/>
      <c r="G36" s="56"/>
      <c r="H36" s="65">
        <f t="shared" si="0"/>
        <v>44834</v>
      </c>
      <c r="I36" s="66">
        <v>0</v>
      </c>
    </row>
    <row r="37" spans="1:9" ht="13.9" customHeight="1" x14ac:dyDescent="0.2">
      <c r="A37" s="65">
        <v>44865</v>
      </c>
      <c r="B37" s="66">
        <v>0</v>
      </c>
      <c r="C37" s="54"/>
      <c r="D37" s="65"/>
      <c r="E37" s="57"/>
      <c r="F37" s="55"/>
      <c r="G37" s="56"/>
      <c r="H37" s="65">
        <v>44835</v>
      </c>
      <c r="I37" s="66">
        <v>0</v>
      </c>
    </row>
    <row r="38" spans="1:9" ht="13.9" customHeight="1" x14ac:dyDescent="0.2">
      <c r="A38" s="65">
        <v>44895</v>
      </c>
      <c r="B38" s="66"/>
      <c r="C38" s="54"/>
      <c r="D38" s="65"/>
      <c r="E38" s="57"/>
      <c r="F38" s="55"/>
      <c r="G38" s="56"/>
      <c r="H38" s="65">
        <f t="shared" ref="H38:H40" si="1">A38</f>
        <v>44895</v>
      </c>
      <c r="I38" s="59">
        <v>0</v>
      </c>
    </row>
    <row r="39" spans="1:9" ht="13.9" customHeight="1" x14ac:dyDescent="0.2">
      <c r="A39" s="65">
        <v>44926</v>
      </c>
      <c r="B39" s="66"/>
      <c r="C39" s="54"/>
      <c r="D39" s="65"/>
      <c r="E39" s="57"/>
      <c r="F39" s="55"/>
      <c r="G39" s="56"/>
      <c r="H39" s="65">
        <f t="shared" si="1"/>
        <v>44926</v>
      </c>
      <c r="I39" s="59">
        <v>0</v>
      </c>
    </row>
    <row r="40" spans="1:9" ht="13.9" customHeight="1" x14ac:dyDescent="0.25">
      <c r="A40" s="67" t="s">
        <v>119</v>
      </c>
      <c r="B40" s="60">
        <f>SUM(B28:B39)</f>
        <v>0</v>
      </c>
      <c r="C40" s="54"/>
      <c r="D40" s="67" t="str">
        <f>A40</f>
        <v>TOTAL 2022</v>
      </c>
      <c r="E40" s="60">
        <f>SUM(E28:E39)</f>
        <v>0</v>
      </c>
      <c r="F40" s="55"/>
      <c r="G40" s="56"/>
      <c r="H40" s="67" t="str">
        <f t="shared" si="1"/>
        <v>TOTAL 2022</v>
      </c>
      <c r="I40" s="60">
        <f>SUM(I28:I39)</f>
        <v>0</v>
      </c>
    </row>
    <row r="41" spans="1:9" ht="13.9" customHeight="1" x14ac:dyDescent="0.25">
      <c r="A41" s="78"/>
      <c r="B41" s="62"/>
      <c r="C41" s="25"/>
      <c r="D41" s="78"/>
      <c r="E41" s="62"/>
      <c r="F41" s="25"/>
      <c r="G41" s="25"/>
      <c r="H41" s="78"/>
      <c r="I41" s="62"/>
    </row>
    <row r="42" spans="1:9" ht="54.75" customHeight="1" x14ac:dyDescent="0.2">
      <c r="A42" s="106" t="s">
        <v>115</v>
      </c>
      <c r="B42" s="106"/>
      <c r="C42" s="63"/>
      <c r="D42" s="106" t="s">
        <v>115</v>
      </c>
      <c r="E42" s="106"/>
      <c r="F42" s="63"/>
      <c r="G42" s="63"/>
      <c r="H42" s="106" t="s">
        <v>116</v>
      </c>
      <c r="I42" s="106"/>
    </row>
    <row r="43" spans="1:9" ht="13.9" customHeight="1" x14ac:dyDescent="0.25">
      <c r="A43" s="107"/>
      <c r="B43" s="107"/>
      <c r="C43" s="64"/>
      <c r="D43" s="107"/>
      <c r="E43" s="107"/>
      <c r="F43" s="64"/>
      <c r="G43" s="64"/>
      <c r="H43" s="107"/>
      <c r="I43" s="107"/>
    </row>
    <row r="44" spans="1:9" ht="13.9" customHeight="1" x14ac:dyDescent="0.25">
      <c r="A44" s="52"/>
      <c r="B44" s="53" t="s">
        <v>117</v>
      </c>
      <c r="C44" s="54"/>
      <c r="D44" s="52"/>
      <c r="E44" s="53" t="str">
        <f>B44</f>
        <v>2021 Distributions</v>
      </c>
      <c r="F44" s="55"/>
      <c r="G44" s="56"/>
      <c r="H44" s="52"/>
      <c r="I44" s="53" t="str">
        <f>B44</f>
        <v>2021 Distributions</v>
      </c>
    </row>
    <row r="45" spans="1:9" ht="13.9" customHeight="1" x14ac:dyDescent="0.2">
      <c r="A45" s="65">
        <v>44227</v>
      </c>
      <c r="B45" s="59"/>
      <c r="C45" s="54"/>
      <c r="D45" s="65"/>
      <c r="E45" s="57"/>
      <c r="F45" s="55"/>
      <c r="G45" s="56"/>
      <c r="H45" s="65">
        <f t="shared" ref="H45:H53" si="2">A45</f>
        <v>44227</v>
      </c>
      <c r="I45" s="59">
        <v>0</v>
      </c>
    </row>
    <row r="46" spans="1:9" ht="13.9" customHeight="1" x14ac:dyDescent="0.2">
      <c r="A46" s="65">
        <v>44255</v>
      </c>
      <c r="B46" s="59"/>
      <c r="C46" s="54"/>
      <c r="D46" s="65"/>
      <c r="E46" s="59"/>
      <c r="F46" s="55"/>
      <c r="G46" s="56"/>
      <c r="H46" s="65">
        <f t="shared" si="2"/>
        <v>44255</v>
      </c>
      <c r="I46" s="59">
        <v>0</v>
      </c>
    </row>
    <row r="47" spans="1:9" ht="13.9" customHeight="1" x14ac:dyDescent="0.2">
      <c r="A47" s="65">
        <v>44284</v>
      </c>
      <c r="B47" s="59"/>
      <c r="C47" s="54"/>
      <c r="D47" s="65"/>
      <c r="E47" s="59"/>
      <c r="F47" s="55"/>
      <c r="G47" s="56"/>
      <c r="H47" s="65">
        <f t="shared" si="2"/>
        <v>44284</v>
      </c>
      <c r="I47" s="59">
        <v>0</v>
      </c>
    </row>
    <row r="48" spans="1:9" ht="13.9" customHeight="1" x14ac:dyDescent="0.2">
      <c r="A48" s="65">
        <v>44316</v>
      </c>
      <c r="B48" s="59"/>
      <c r="C48" s="54"/>
      <c r="D48" s="65"/>
      <c r="E48" s="59"/>
      <c r="F48" s="55"/>
      <c r="G48" s="56"/>
      <c r="H48" s="65">
        <f t="shared" si="2"/>
        <v>44316</v>
      </c>
      <c r="I48" s="59">
        <v>0</v>
      </c>
    </row>
    <row r="49" spans="1:9" ht="13.9" customHeight="1" x14ac:dyDescent="0.2">
      <c r="A49" s="65">
        <v>44347</v>
      </c>
      <c r="B49" s="59"/>
      <c r="C49" s="54"/>
      <c r="D49" s="65"/>
      <c r="E49" s="59"/>
      <c r="F49" s="55"/>
      <c r="G49" s="56"/>
      <c r="H49" s="65">
        <f t="shared" si="2"/>
        <v>44347</v>
      </c>
      <c r="I49" s="59">
        <v>0</v>
      </c>
    </row>
    <row r="50" spans="1:9" ht="13.9" customHeight="1" x14ac:dyDescent="0.2">
      <c r="A50" s="65">
        <v>44377</v>
      </c>
      <c r="B50" s="66"/>
      <c r="C50" s="54"/>
      <c r="D50" s="65"/>
      <c r="E50" s="57"/>
      <c r="F50" s="55"/>
      <c r="G50" s="56"/>
      <c r="H50" s="65">
        <f t="shared" si="2"/>
        <v>44377</v>
      </c>
      <c r="I50" s="66">
        <v>0</v>
      </c>
    </row>
    <row r="51" spans="1:9" ht="13.9" customHeight="1" x14ac:dyDescent="0.2">
      <c r="A51" s="65">
        <v>44408</v>
      </c>
      <c r="B51" s="59"/>
      <c r="C51" s="54"/>
      <c r="D51" s="17"/>
      <c r="E51" s="59"/>
      <c r="F51" s="55"/>
      <c r="G51" s="56"/>
      <c r="H51" s="65">
        <f t="shared" si="2"/>
        <v>44408</v>
      </c>
      <c r="I51" s="66">
        <v>0</v>
      </c>
    </row>
    <row r="52" spans="1:9" ht="13.9" customHeight="1" x14ac:dyDescent="0.2">
      <c r="A52" s="65">
        <v>44439</v>
      </c>
      <c r="B52" s="59"/>
      <c r="C52" s="54"/>
      <c r="D52" s="65"/>
      <c r="E52" s="57"/>
      <c r="F52" s="55"/>
      <c r="G52" s="56"/>
      <c r="H52" s="65">
        <f t="shared" si="2"/>
        <v>44439</v>
      </c>
      <c r="I52" s="66">
        <v>0</v>
      </c>
    </row>
    <row r="53" spans="1:9" ht="13.9" customHeight="1" x14ac:dyDescent="0.2">
      <c r="A53" s="65">
        <v>44469</v>
      </c>
      <c r="B53" s="66"/>
      <c r="C53" s="54"/>
      <c r="D53" s="65"/>
      <c r="E53" s="57"/>
      <c r="F53" s="55"/>
      <c r="G53" s="56"/>
      <c r="H53" s="65">
        <f t="shared" si="2"/>
        <v>44469</v>
      </c>
      <c r="I53" s="66">
        <v>0</v>
      </c>
    </row>
    <row r="54" spans="1:9" ht="13.9" customHeight="1" x14ac:dyDescent="0.2">
      <c r="A54" s="65">
        <v>44500</v>
      </c>
      <c r="B54" s="66">
        <f>+'Fiscal year'!B74</f>
        <v>694395.73</v>
      </c>
      <c r="C54" s="54"/>
      <c r="D54" s="65"/>
      <c r="E54" s="57"/>
      <c r="F54" s="55"/>
      <c r="G54" s="56"/>
      <c r="H54" s="65">
        <v>44470</v>
      </c>
      <c r="I54" s="66">
        <f>+'Fiscal year'!I74</f>
        <v>2995.98</v>
      </c>
    </row>
    <row r="55" spans="1:9" ht="13.9" customHeight="1" x14ac:dyDescent="0.2">
      <c r="A55" s="65">
        <v>44530</v>
      </c>
      <c r="B55" s="66"/>
      <c r="C55" s="54"/>
      <c r="D55" s="65"/>
      <c r="E55" s="57"/>
      <c r="F55" s="55"/>
      <c r="G55" s="56"/>
      <c r="H55" s="65">
        <f t="shared" ref="H55:H57" si="3">A55</f>
        <v>44530</v>
      </c>
      <c r="I55" s="59">
        <v>0</v>
      </c>
    </row>
    <row r="56" spans="1:9" ht="13.9" customHeight="1" x14ac:dyDescent="0.2">
      <c r="A56" s="65">
        <v>44561</v>
      </c>
      <c r="B56" s="66"/>
      <c r="C56" s="54"/>
      <c r="D56" s="65"/>
      <c r="E56" s="57"/>
      <c r="F56" s="55"/>
      <c r="G56" s="56"/>
      <c r="H56" s="65">
        <f t="shared" si="3"/>
        <v>44561</v>
      </c>
      <c r="I56" s="59">
        <v>0</v>
      </c>
    </row>
    <row r="57" spans="1:9" ht="13.9" customHeight="1" x14ac:dyDescent="0.25">
      <c r="A57" s="67" t="s">
        <v>109</v>
      </c>
      <c r="B57" s="60">
        <f>SUM(B45:B56)</f>
        <v>694395.73</v>
      </c>
      <c r="C57" s="54"/>
      <c r="D57" s="67" t="str">
        <f>A57</f>
        <v>TOTAL 2021</v>
      </c>
      <c r="E57" s="60">
        <f>SUM(E45:E56)</f>
        <v>0</v>
      </c>
      <c r="F57" s="55"/>
      <c r="G57" s="56"/>
      <c r="H57" s="67" t="str">
        <f t="shared" si="3"/>
        <v>TOTAL 2021</v>
      </c>
      <c r="I57" s="60">
        <f>SUM(I45:I56)</f>
        <v>2995.98</v>
      </c>
    </row>
    <row r="58" spans="1:9" ht="13.9" customHeight="1" x14ac:dyDescent="0.25">
      <c r="A58" s="78"/>
      <c r="B58" s="62"/>
      <c r="C58" s="25"/>
      <c r="D58" s="78"/>
      <c r="E58" s="62"/>
      <c r="F58" s="25"/>
      <c r="G58" s="25"/>
      <c r="H58" s="78"/>
      <c r="I58" s="62"/>
    </row>
    <row r="59" spans="1:9" ht="54.75" customHeight="1" x14ac:dyDescent="0.2">
      <c r="A59" s="106" t="s">
        <v>113</v>
      </c>
      <c r="B59" s="106"/>
      <c r="C59" s="63"/>
      <c r="D59" s="106" t="s">
        <v>113</v>
      </c>
      <c r="E59" s="106"/>
      <c r="F59" s="63"/>
      <c r="G59" s="63"/>
      <c r="H59" s="106" t="s">
        <v>114</v>
      </c>
      <c r="I59" s="106"/>
    </row>
    <row r="60" spans="1:9" ht="13.9" customHeight="1" x14ac:dyDescent="0.25">
      <c r="A60" s="107"/>
      <c r="B60" s="107"/>
      <c r="C60" s="64"/>
      <c r="D60" s="107"/>
      <c r="E60" s="107"/>
      <c r="F60" s="64"/>
      <c r="G60" s="64"/>
      <c r="H60" s="107"/>
      <c r="I60" s="107"/>
    </row>
    <row r="61" spans="1:9" ht="13.9" customHeight="1" x14ac:dyDescent="0.25">
      <c r="A61" s="52"/>
      <c r="B61" s="53" t="s">
        <v>100</v>
      </c>
      <c r="C61" s="54"/>
      <c r="D61" s="52"/>
      <c r="E61" s="53" t="str">
        <f>B61</f>
        <v>2020 Distributions</v>
      </c>
      <c r="F61" s="55"/>
      <c r="G61" s="56"/>
      <c r="H61" s="52"/>
      <c r="I61" s="53" t="str">
        <f>B61</f>
        <v>2020 Distributions</v>
      </c>
    </row>
    <row r="62" spans="1:9" ht="13.9" customHeight="1" x14ac:dyDescent="0.2">
      <c r="A62" s="65">
        <v>43861</v>
      </c>
      <c r="B62" s="59">
        <f>'Fiscal year'!B111</f>
        <v>3131562.66</v>
      </c>
      <c r="C62" s="54"/>
      <c r="D62" s="65"/>
      <c r="E62" s="57"/>
      <c r="F62" s="55"/>
      <c r="G62" s="56"/>
      <c r="H62" s="65">
        <f t="shared" ref="H62:H70" si="4">A62</f>
        <v>43861</v>
      </c>
      <c r="I62" s="59">
        <v>0</v>
      </c>
    </row>
    <row r="63" spans="1:9" ht="13.9" customHeight="1" x14ac:dyDescent="0.2">
      <c r="A63" s="65">
        <v>43889</v>
      </c>
      <c r="B63" s="59">
        <f>'Fiscal year'!B112</f>
        <v>3042548.41</v>
      </c>
      <c r="C63" s="54"/>
      <c r="D63" s="65"/>
      <c r="E63" s="59"/>
      <c r="F63" s="55"/>
      <c r="G63" s="56"/>
      <c r="H63" s="65">
        <f t="shared" si="4"/>
        <v>43889</v>
      </c>
      <c r="I63" s="59">
        <v>0</v>
      </c>
    </row>
    <row r="64" spans="1:9" ht="13.9" customHeight="1" x14ac:dyDescent="0.2">
      <c r="A64" s="65">
        <v>43919</v>
      </c>
      <c r="B64" s="59">
        <f>'Fiscal year'!B113</f>
        <v>2500062.67</v>
      </c>
      <c r="C64" s="54"/>
      <c r="D64" s="65"/>
      <c r="E64" s="59"/>
      <c r="F64" s="55"/>
      <c r="G64" s="56"/>
      <c r="H64" s="65">
        <f t="shared" si="4"/>
        <v>43919</v>
      </c>
      <c r="I64" s="59">
        <v>0</v>
      </c>
    </row>
    <row r="65" spans="1:9" ht="13.9" customHeight="1" x14ac:dyDescent="0.2">
      <c r="A65" s="65">
        <v>43951</v>
      </c>
      <c r="B65" s="59">
        <f>'Fiscal year'!B114</f>
        <v>1857866.18</v>
      </c>
      <c r="C65" s="54"/>
      <c r="D65" s="65"/>
      <c r="E65" s="59"/>
      <c r="F65" s="55"/>
      <c r="G65" s="56"/>
      <c r="H65" s="65">
        <f t="shared" si="4"/>
        <v>43951</v>
      </c>
      <c r="I65" s="59">
        <v>0</v>
      </c>
    </row>
    <row r="66" spans="1:9" ht="13.9" customHeight="1" x14ac:dyDescent="0.2">
      <c r="A66" s="65">
        <v>43982</v>
      </c>
      <c r="B66" s="59"/>
      <c r="C66" s="54"/>
      <c r="D66" s="65"/>
      <c r="E66" s="59"/>
      <c r="F66" s="55"/>
      <c r="G66" s="56"/>
      <c r="H66" s="65">
        <f t="shared" si="4"/>
        <v>43982</v>
      </c>
      <c r="I66" s="59">
        <v>0</v>
      </c>
    </row>
    <row r="67" spans="1:9" ht="13.9" customHeight="1" x14ac:dyDescent="0.2">
      <c r="A67" s="65">
        <v>44012</v>
      </c>
      <c r="B67" s="66"/>
      <c r="C67" s="54"/>
      <c r="D67" s="65"/>
      <c r="E67" s="57"/>
      <c r="F67" s="55"/>
      <c r="G67" s="56"/>
      <c r="H67" s="65">
        <f t="shared" si="4"/>
        <v>44012</v>
      </c>
      <c r="I67" s="66">
        <v>0</v>
      </c>
    </row>
    <row r="68" spans="1:9" ht="13.9" customHeight="1" x14ac:dyDescent="0.2">
      <c r="A68" s="65">
        <v>44043</v>
      </c>
      <c r="B68" s="59"/>
      <c r="C68" s="54"/>
      <c r="D68" s="17"/>
      <c r="E68" s="59"/>
      <c r="F68" s="55"/>
      <c r="G68" s="56"/>
      <c r="H68" s="65">
        <f t="shared" si="4"/>
        <v>44043</v>
      </c>
      <c r="I68" s="66">
        <v>0</v>
      </c>
    </row>
    <row r="69" spans="1:9" ht="13.9" customHeight="1" x14ac:dyDescent="0.2">
      <c r="A69" s="65">
        <v>44074</v>
      </c>
      <c r="B69" s="59"/>
      <c r="C69" s="54"/>
      <c r="D69" s="65"/>
      <c r="E69" s="57"/>
      <c r="F69" s="55"/>
      <c r="G69" s="56"/>
      <c r="H69" s="65">
        <f t="shared" si="4"/>
        <v>44074</v>
      </c>
      <c r="I69" s="66">
        <v>0</v>
      </c>
    </row>
    <row r="70" spans="1:9" ht="13.9" customHeight="1" x14ac:dyDescent="0.2">
      <c r="A70" s="65">
        <v>44104</v>
      </c>
      <c r="B70" s="66"/>
      <c r="C70" s="54"/>
      <c r="D70" s="65"/>
      <c r="E70" s="57"/>
      <c r="F70" s="55"/>
      <c r="G70" s="56"/>
      <c r="H70" s="65">
        <f t="shared" si="4"/>
        <v>44104</v>
      </c>
      <c r="I70" s="66">
        <v>0</v>
      </c>
    </row>
    <row r="71" spans="1:9" ht="13.9" customHeight="1" x14ac:dyDescent="0.2">
      <c r="A71" s="65">
        <v>44135</v>
      </c>
      <c r="B71" s="66">
        <f>+'Fiscal year'!B91</f>
        <v>5808142.3200000003</v>
      </c>
      <c r="C71" s="54"/>
      <c r="D71" s="65"/>
      <c r="E71" s="57"/>
      <c r="F71" s="55"/>
      <c r="G71" s="56"/>
      <c r="H71" s="65">
        <v>44105</v>
      </c>
      <c r="I71" s="66">
        <f>+'Fiscal year'!I91</f>
        <v>25105.7</v>
      </c>
    </row>
    <row r="72" spans="1:9" ht="13.9" customHeight="1" x14ac:dyDescent="0.2">
      <c r="A72" s="65">
        <v>44165</v>
      </c>
      <c r="B72" s="66"/>
      <c r="C72" s="54"/>
      <c r="D72" s="65"/>
      <c r="E72" s="57"/>
      <c r="F72" s="55"/>
      <c r="G72" s="56"/>
      <c r="H72" s="65">
        <f t="shared" ref="H72:H74" si="5">A72</f>
        <v>44165</v>
      </c>
      <c r="I72" s="59">
        <v>0</v>
      </c>
    </row>
    <row r="73" spans="1:9" ht="13.9" customHeight="1" x14ac:dyDescent="0.2">
      <c r="A73" s="65">
        <v>44196</v>
      </c>
      <c r="B73" s="66"/>
      <c r="C73" s="54"/>
      <c r="D73" s="65"/>
      <c r="E73" s="57"/>
      <c r="F73" s="55"/>
      <c r="G73" s="56"/>
      <c r="H73" s="65">
        <f t="shared" si="5"/>
        <v>44196</v>
      </c>
      <c r="I73" s="59">
        <v>0</v>
      </c>
    </row>
    <row r="74" spans="1:9" ht="13.9" customHeight="1" x14ac:dyDescent="0.25">
      <c r="A74" s="67" t="s">
        <v>101</v>
      </c>
      <c r="B74" s="60">
        <f>SUM(B62:B73)</f>
        <v>16340182.24</v>
      </c>
      <c r="C74" s="54"/>
      <c r="D74" s="67" t="str">
        <f>A74</f>
        <v>TOTAL 2020</v>
      </c>
      <c r="E74" s="60">
        <f>SUM(E62:E73)</f>
        <v>0</v>
      </c>
      <c r="F74" s="55"/>
      <c r="G74" s="56"/>
      <c r="H74" s="67" t="str">
        <f t="shared" si="5"/>
        <v>TOTAL 2020</v>
      </c>
      <c r="I74" s="60">
        <f>SUM(I62:I73)</f>
        <v>25105.7</v>
      </c>
    </row>
    <row r="75" spans="1:9" ht="13.9" customHeight="1" x14ac:dyDescent="0.25">
      <c r="A75" s="78"/>
      <c r="B75" s="62"/>
      <c r="C75" s="25"/>
      <c r="D75" s="78"/>
      <c r="E75" s="62"/>
      <c r="F75" s="25"/>
      <c r="G75" s="25"/>
      <c r="H75" s="78"/>
      <c r="I75" s="62"/>
    </row>
    <row r="76" spans="1:9" ht="45" customHeight="1" x14ac:dyDescent="0.2">
      <c r="A76" s="106" t="s">
        <v>94</v>
      </c>
      <c r="B76" s="106"/>
      <c r="C76" s="63"/>
      <c r="D76" s="106" t="s">
        <v>94</v>
      </c>
      <c r="E76" s="106"/>
      <c r="F76" s="63"/>
      <c r="G76" s="63"/>
      <c r="H76" s="106" t="s">
        <v>95</v>
      </c>
      <c r="I76" s="106"/>
    </row>
    <row r="77" spans="1:9" ht="13.9" customHeight="1" x14ac:dyDescent="0.25">
      <c r="A77" s="107"/>
      <c r="B77" s="107"/>
      <c r="C77" s="64"/>
      <c r="D77" s="107"/>
      <c r="E77" s="107"/>
      <c r="F77" s="64"/>
      <c r="G77" s="64"/>
      <c r="H77" s="107"/>
      <c r="I77" s="107"/>
    </row>
    <row r="78" spans="1:9" ht="13.9" customHeight="1" x14ac:dyDescent="0.25">
      <c r="A78" s="52"/>
      <c r="B78" s="53" t="s">
        <v>96</v>
      </c>
      <c r="C78" s="54"/>
      <c r="D78" s="52"/>
      <c r="E78" s="53" t="str">
        <f>B78</f>
        <v>2019 Distributions</v>
      </c>
      <c r="F78" s="55"/>
      <c r="G78" s="56"/>
      <c r="H78" s="52"/>
      <c r="I78" s="53" t="str">
        <f>B78</f>
        <v>2019 Distributions</v>
      </c>
    </row>
    <row r="79" spans="1:9" ht="13.9" customHeight="1" x14ac:dyDescent="0.2">
      <c r="A79" s="65">
        <v>43496</v>
      </c>
      <c r="B79" s="59">
        <f>'Fiscal year'!B128</f>
        <v>2852118.13</v>
      </c>
      <c r="C79" s="54"/>
      <c r="D79" s="65"/>
      <c r="E79" s="57"/>
      <c r="F79" s="55"/>
      <c r="G79" s="56"/>
      <c r="H79" s="65">
        <f t="shared" ref="H79:H87" si="6">A79</f>
        <v>43496</v>
      </c>
      <c r="I79" s="59">
        <v>0</v>
      </c>
    </row>
    <row r="80" spans="1:9" ht="13.9" customHeight="1" x14ac:dyDescent="0.2">
      <c r="A80" s="65">
        <v>43524</v>
      </c>
      <c r="B80" s="59">
        <f>'Fiscal year'!B129</f>
        <v>3141891.32</v>
      </c>
      <c r="C80" s="54"/>
      <c r="D80" s="65"/>
      <c r="E80" s="59"/>
      <c r="F80" s="55"/>
      <c r="G80" s="56"/>
      <c r="H80" s="65">
        <f t="shared" si="6"/>
        <v>43524</v>
      </c>
      <c r="I80" s="59">
        <v>0</v>
      </c>
    </row>
    <row r="81" spans="1:9" ht="13.9" customHeight="1" x14ac:dyDescent="0.2">
      <c r="A81" s="65">
        <v>43553</v>
      </c>
      <c r="B81" s="59">
        <f>'Fiscal year'!B130</f>
        <v>2307128.38</v>
      </c>
      <c r="C81" s="54"/>
      <c r="D81" s="65"/>
      <c r="E81" s="59"/>
      <c r="F81" s="55"/>
      <c r="G81" s="56"/>
      <c r="H81" s="65">
        <f t="shared" si="6"/>
        <v>43553</v>
      </c>
      <c r="I81" s="59">
        <v>0</v>
      </c>
    </row>
    <row r="82" spans="1:9" ht="13.9" customHeight="1" x14ac:dyDescent="0.2">
      <c r="A82" s="65">
        <v>43585</v>
      </c>
      <c r="B82" s="59">
        <f>'Fiscal year'!B131</f>
        <v>2140579.3199999998</v>
      </c>
      <c r="C82" s="54"/>
      <c r="D82" s="65"/>
      <c r="E82" s="59"/>
      <c r="F82" s="55"/>
      <c r="G82" s="56"/>
      <c r="H82" s="65">
        <f t="shared" si="6"/>
        <v>43585</v>
      </c>
      <c r="I82" s="59">
        <v>0</v>
      </c>
    </row>
    <row r="83" spans="1:9" ht="13.9" customHeight="1" x14ac:dyDescent="0.2">
      <c r="A83" s="65">
        <v>43616</v>
      </c>
      <c r="B83" s="59">
        <f>'Fiscal year'!B132</f>
        <v>3008897.65</v>
      </c>
      <c r="C83" s="54"/>
      <c r="D83" s="65"/>
      <c r="E83" s="59"/>
      <c r="F83" s="55"/>
      <c r="G83" s="56"/>
      <c r="H83" s="65">
        <f t="shared" si="6"/>
        <v>43616</v>
      </c>
      <c r="I83" s="59">
        <v>0</v>
      </c>
    </row>
    <row r="84" spans="1:9" ht="13.9" customHeight="1" x14ac:dyDescent="0.2">
      <c r="A84" s="65">
        <v>43646</v>
      </c>
      <c r="B84" s="66">
        <f>'Fiscal year'!B133</f>
        <v>2500772.35</v>
      </c>
      <c r="C84" s="54"/>
      <c r="D84" s="65"/>
      <c r="E84" s="57"/>
      <c r="F84" s="55"/>
      <c r="G84" s="56"/>
      <c r="H84" s="65">
        <f t="shared" si="6"/>
        <v>43646</v>
      </c>
      <c r="I84" s="66">
        <v>0</v>
      </c>
    </row>
    <row r="85" spans="1:9" ht="13.9" customHeight="1" x14ac:dyDescent="0.2">
      <c r="A85" s="65">
        <v>43677</v>
      </c>
      <c r="B85" s="59">
        <f>'Fiscal year'!B105</f>
        <v>3000200.75</v>
      </c>
      <c r="C85" s="54"/>
      <c r="D85" s="17">
        <v>43677</v>
      </c>
      <c r="E85" s="59">
        <f>268416.5</f>
        <v>268416.5</v>
      </c>
      <c r="F85" s="55"/>
      <c r="G85" s="56"/>
      <c r="H85" s="65">
        <f t="shared" si="6"/>
        <v>43677</v>
      </c>
      <c r="I85" s="66">
        <v>0</v>
      </c>
    </row>
    <row r="86" spans="1:9" ht="13.9" customHeight="1" x14ac:dyDescent="0.2">
      <c r="A86" s="65">
        <v>43708</v>
      </c>
      <c r="B86" s="59">
        <f>'Fiscal year'!B106</f>
        <v>3405140.31</v>
      </c>
      <c r="C86" s="54"/>
      <c r="D86" s="65"/>
      <c r="E86" s="57"/>
      <c r="F86" s="55"/>
      <c r="G86" s="56"/>
      <c r="H86" s="65">
        <f t="shared" si="6"/>
        <v>43708</v>
      </c>
      <c r="I86" s="66">
        <v>0</v>
      </c>
    </row>
    <row r="87" spans="1:9" ht="13.9" customHeight="1" x14ac:dyDescent="0.2">
      <c r="A87" s="65">
        <v>43738</v>
      </c>
      <c r="B87" s="66">
        <f>'Fiscal year'!B107</f>
        <v>2528981.4</v>
      </c>
      <c r="C87" s="54"/>
      <c r="D87" s="65"/>
      <c r="E87" s="57"/>
      <c r="F87" s="55"/>
      <c r="G87" s="56"/>
      <c r="H87" s="65">
        <f t="shared" si="6"/>
        <v>43738</v>
      </c>
      <c r="I87" s="66">
        <v>0</v>
      </c>
    </row>
    <row r="88" spans="1:9" ht="13.9" customHeight="1" x14ac:dyDescent="0.2">
      <c r="A88" s="65">
        <v>43769</v>
      </c>
      <c r="B88" s="66">
        <f>'Fiscal year'!B108</f>
        <v>3382102.54</v>
      </c>
      <c r="C88" s="54"/>
      <c r="D88" s="65"/>
      <c r="E88" s="57"/>
      <c r="F88" s="55"/>
      <c r="G88" s="56"/>
      <c r="H88" s="65">
        <v>43739</v>
      </c>
      <c r="I88" s="66">
        <f>+'Fiscal year'!I108</f>
        <v>113811.93000000001</v>
      </c>
    </row>
    <row r="89" spans="1:9" ht="13.9" customHeight="1" x14ac:dyDescent="0.2">
      <c r="A89" s="65">
        <v>43799</v>
      </c>
      <c r="B89" s="66">
        <f>'Fiscal year'!B109</f>
        <v>3069445.28</v>
      </c>
      <c r="C89" s="54"/>
      <c r="D89" s="65"/>
      <c r="E89" s="57"/>
      <c r="F89" s="55"/>
      <c r="G89" s="56"/>
      <c r="H89" s="65">
        <f t="shared" ref="H89:H91" si="7">A89</f>
        <v>43799</v>
      </c>
      <c r="I89" s="59">
        <v>0</v>
      </c>
    </row>
    <row r="90" spans="1:9" ht="13.9" customHeight="1" x14ac:dyDescent="0.2">
      <c r="A90" s="65">
        <v>43830</v>
      </c>
      <c r="B90" s="66">
        <f>'Fiscal year'!B110</f>
        <v>2242673.35</v>
      </c>
      <c r="C90" s="54"/>
      <c r="D90" s="65"/>
      <c r="E90" s="57"/>
      <c r="F90" s="55"/>
      <c r="G90" s="56"/>
      <c r="H90" s="65">
        <f t="shared" si="7"/>
        <v>43830</v>
      </c>
      <c r="I90" s="59">
        <v>0</v>
      </c>
    </row>
    <row r="91" spans="1:9" ht="13.9" customHeight="1" x14ac:dyDescent="0.25">
      <c r="A91" s="67" t="s">
        <v>97</v>
      </c>
      <c r="B91" s="60">
        <f>SUM(B79:B90)</f>
        <v>33579930.779999994</v>
      </c>
      <c r="C91" s="54"/>
      <c r="D91" s="67" t="str">
        <f>A91</f>
        <v>TOTAL 2019</v>
      </c>
      <c r="E91" s="60">
        <f>SUM(E79:E90)</f>
        <v>268416.5</v>
      </c>
      <c r="F91" s="55"/>
      <c r="G91" s="56"/>
      <c r="H91" s="67" t="str">
        <f t="shared" si="7"/>
        <v>TOTAL 2019</v>
      </c>
      <c r="I91" s="60">
        <f>SUM(I79:I90)</f>
        <v>113811.93000000001</v>
      </c>
    </row>
    <row r="92" spans="1:9" ht="13.9" customHeight="1" x14ac:dyDescent="0.25">
      <c r="A92" s="78"/>
      <c r="B92" s="62"/>
      <c r="C92" s="25"/>
      <c r="D92" s="78"/>
      <c r="E92" s="62"/>
      <c r="F92" s="25"/>
      <c r="G92" s="25"/>
      <c r="H92" s="78"/>
      <c r="I92" s="62"/>
    </row>
    <row r="93" spans="1:9" ht="45" customHeight="1" x14ac:dyDescent="0.2">
      <c r="A93" s="106" t="s">
        <v>87</v>
      </c>
      <c r="B93" s="106"/>
      <c r="C93" s="63"/>
      <c r="D93" s="106" t="s">
        <v>87</v>
      </c>
      <c r="E93" s="106"/>
      <c r="F93" s="63"/>
      <c r="G93" s="63"/>
      <c r="H93" s="106" t="s">
        <v>88</v>
      </c>
      <c r="I93" s="106"/>
    </row>
    <row r="94" spans="1:9" ht="13.9" customHeight="1" x14ac:dyDescent="0.25">
      <c r="A94" s="107"/>
      <c r="B94" s="107"/>
      <c r="C94" s="64"/>
      <c r="D94" s="107"/>
      <c r="E94" s="107"/>
      <c r="F94" s="64"/>
      <c r="G94" s="64"/>
      <c r="H94" s="107"/>
      <c r="I94" s="107"/>
    </row>
    <row r="95" spans="1:9" ht="13.9" customHeight="1" x14ac:dyDescent="0.25">
      <c r="A95" s="52"/>
      <c r="B95" s="53" t="s">
        <v>85</v>
      </c>
      <c r="C95" s="54"/>
      <c r="D95" s="52"/>
      <c r="E95" s="53" t="str">
        <f>B95</f>
        <v>2018 Distributions</v>
      </c>
      <c r="F95" s="55"/>
      <c r="G95" s="56"/>
      <c r="H95" s="52"/>
      <c r="I95" s="53" t="str">
        <f>B95</f>
        <v>2018 Distributions</v>
      </c>
    </row>
    <row r="96" spans="1:9" ht="13.9" customHeight="1" x14ac:dyDescent="0.2">
      <c r="A96" s="65">
        <v>43131</v>
      </c>
      <c r="B96" s="59">
        <f>'Fiscal year'!B145</f>
        <v>1985803.5</v>
      </c>
      <c r="C96" s="54"/>
      <c r="D96" s="65"/>
      <c r="E96" s="57"/>
      <c r="F96" s="55"/>
      <c r="G96" s="56"/>
      <c r="H96" s="65">
        <f t="shared" ref="H96:H108" si="8">A96</f>
        <v>43131</v>
      </c>
      <c r="I96" s="59">
        <v>0</v>
      </c>
    </row>
    <row r="97" spans="1:9" ht="13.9" customHeight="1" x14ac:dyDescent="0.2">
      <c r="A97" s="65">
        <v>43159</v>
      </c>
      <c r="B97" s="59">
        <f>'Fiscal year'!B146</f>
        <v>3279145.4</v>
      </c>
      <c r="C97" s="54"/>
      <c r="D97" s="65"/>
      <c r="E97" s="59"/>
      <c r="F97" s="55"/>
      <c r="G97" s="56"/>
      <c r="H97" s="65">
        <f t="shared" si="8"/>
        <v>43159</v>
      </c>
      <c r="I97" s="59">
        <v>0</v>
      </c>
    </row>
    <row r="98" spans="1:9" ht="13.9" customHeight="1" x14ac:dyDescent="0.2">
      <c r="A98" s="65">
        <v>43190</v>
      </c>
      <c r="B98" s="59">
        <f>2171715.45</f>
        <v>2171715.4500000002</v>
      </c>
      <c r="C98" s="54"/>
      <c r="D98" s="65"/>
      <c r="E98" s="59"/>
      <c r="F98" s="55"/>
      <c r="G98" s="56"/>
      <c r="H98" s="65">
        <f t="shared" si="8"/>
        <v>43190</v>
      </c>
      <c r="I98" s="59">
        <v>0</v>
      </c>
    </row>
    <row r="99" spans="1:9" ht="13.9" customHeight="1" x14ac:dyDescent="0.2">
      <c r="A99" s="65">
        <v>43220</v>
      </c>
      <c r="B99" s="59">
        <f>'Fiscal year'!B148</f>
        <v>1833821.19</v>
      </c>
      <c r="C99" s="54"/>
      <c r="D99" s="65"/>
      <c r="E99" s="59"/>
      <c r="F99" s="55"/>
      <c r="G99" s="56"/>
      <c r="H99" s="65">
        <f t="shared" si="8"/>
        <v>43220</v>
      </c>
      <c r="I99" s="59">
        <v>0</v>
      </c>
    </row>
    <row r="100" spans="1:9" ht="13.9" customHeight="1" x14ac:dyDescent="0.2">
      <c r="A100" s="65">
        <v>43251</v>
      </c>
      <c r="B100" s="59">
        <f>'Fiscal year'!B149</f>
        <v>2800173.94</v>
      </c>
      <c r="C100" s="54"/>
      <c r="D100" s="65"/>
      <c r="E100" s="59"/>
      <c r="F100" s="55"/>
      <c r="G100" s="56"/>
      <c r="H100" s="65">
        <f t="shared" si="8"/>
        <v>43251</v>
      </c>
      <c r="I100" s="59">
        <v>0</v>
      </c>
    </row>
    <row r="101" spans="1:9" ht="13.9" customHeight="1" x14ac:dyDescent="0.2">
      <c r="A101" s="65">
        <v>43281</v>
      </c>
      <c r="B101" s="66">
        <f>'Fiscal year'!B150</f>
        <v>2792287.65</v>
      </c>
      <c r="C101" s="54"/>
      <c r="D101" s="65"/>
      <c r="E101" s="57"/>
      <c r="F101" s="55"/>
      <c r="G101" s="56"/>
      <c r="H101" s="65">
        <f t="shared" si="8"/>
        <v>43281</v>
      </c>
      <c r="I101" s="66">
        <v>0</v>
      </c>
    </row>
    <row r="102" spans="1:9" ht="13.9" customHeight="1" x14ac:dyDescent="0.2">
      <c r="A102" s="65">
        <v>43312</v>
      </c>
      <c r="B102" s="59">
        <f>'Fiscal year'!B122</f>
        <v>2552789.5499999998</v>
      </c>
      <c r="C102" s="54"/>
      <c r="D102" s="17">
        <f>A102</f>
        <v>43312</v>
      </c>
      <c r="E102" s="59">
        <f>'Fiscal year'!E122</f>
        <v>248216.5</v>
      </c>
      <c r="F102" s="55"/>
      <c r="G102" s="56"/>
      <c r="H102" s="65">
        <f t="shared" si="8"/>
        <v>43312</v>
      </c>
      <c r="I102" s="66">
        <v>0</v>
      </c>
    </row>
    <row r="103" spans="1:9" ht="13.9" customHeight="1" x14ac:dyDescent="0.2">
      <c r="A103" s="65">
        <v>43343</v>
      </c>
      <c r="B103" s="59">
        <f>'Fiscal year'!B123</f>
        <v>3568539.47</v>
      </c>
      <c r="C103" s="54"/>
      <c r="D103" s="65"/>
      <c r="E103" s="57"/>
      <c r="F103" s="55"/>
      <c r="G103" s="56"/>
      <c r="H103" s="65">
        <f t="shared" si="8"/>
        <v>43343</v>
      </c>
      <c r="I103" s="66">
        <v>0</v>
      </c>
    </row>
    <row r="104" spans="1:9" ht="13.9" customHeight="1" x14ac:dyDescent="0.2">
      <c r="A104" s="65">
        <v>43373</v>
      </c>
      <c r="B104" s="66">
        <f>'Fiscal year'!B124</f>
        <v>2368772.2000000002</v>
      </c>
      <c r="C104" s="54"/>
      <c r="D104" s="65"/>
      <c r="E104" s="57"/>
      <c r="F104" s="55"/>
      <c r="G104" s="56"/>
      <c r="H104" s="65">
        <f t="shared" si="8"/>
        <v>43373</v>
      </c>
      <c r="I104" s="66">
        <v>0</v>
      </c>
    </row>
    <row r="105" spans="1:9" ht="13.9" customHeight="1" x14ac:dyDescent="0.2">
      <c r="A105" s="65">
        <v>43404</v>
      </c>
      <c r="B105" s="66">
        <f>'Fiscal year'!B125</f>
        <v>2852981.32</v>
      </c>
      <c r="C105" s="54"/>
      <c r="D105" s="65"/>
      <c r="E105" s="57"/>
      <c r="F105" s="55"/>
      <c r="G105" s="56"/>
      <c r="H105" s="65">
        <v>43374</v>
      </c>
      <c r="I105" s="66">
        <v>309862.96999999997</v>
      </c>
    </row>
    <row r="106" spans="1:9" ht="13.9" customHeight="1" x14ac:dyDescent="0.2">
      <c r="A106" s="65">
        <v>43434</v>
      </c>
      <c r="B106" s="59">
        <f>'Fiscal year'!B126</f>
        <v>3330477.65</v>
      </c>
      <c r="C106" s="54"/>
      <c r="D106" s="65"/>
      <c r="E106" s="57"/>
      <c r="F106" s="55"/>
      <c r="G106" s="56"/>
      <c r="H106" s="65">
        <f t="shared" si="8"/>
        <v>43434</v>
      </c>
      <c r="I106" s="59">
        <v>0</v>
      </c>
    </row>
    <row r="107" spans="1:9" ht="13.9" customHeight="1" x14ac:dyDescent="0.2">
      <c r="A107" s="65">
        <v>43465</v>
      </c>
      <c r="B107" s="59">
        <f>'Fiscal year'!B127</f>
        <v>2414530.0099999998</v>
      </c>
      <c r="C107" s="54"/>
      <c r="D107" s="65"/>
      <c r="E107" s="57"/>
      <c r="F107" s="55"/>
      <c r="G107" s="56"/>
      <c r="H107" s="65">
        <f t="shared" si="8"/>
        <v>43465</v>
      </c>
      <c r="I107" s="59">
        <v>0</v>
      </c>
    </row>
    <row r="108" spans="1:9" ht="13.9" customHeight="1" x14ac:dyDescent="0.25">
      <c r="A108" s="67" t="s">
        <v>86</v>
      </c>
      <c r="B108" s="60">
        <f>SUM(B96:B107)</f>
        <v>31951037.329999998</v>
      </c>
      <c r="C108" s="54"/>
      <c r="D108" s="67" t="str">
        <f>A108</f>
        <v>TOTAL 2018</v>
      </c>
      <c r="E108" s="60">
        <f>SUM(E96:E107)</f>
        <v>248216.5</v>
      </c>
      <c r="F108" s="55"/>
      <c r="G108" s="56"/>
      <c r="H108" s="67" t="str">
        <f t="shared" si="8"/>
        <v>TOTAL 2018</v>
      </c>
      <c r="I108" s="60">
        <f>SUM(I96:I107)</f>
        <v>309862.96999999997</v>
      </c>
    </row>
    <row r="109" spans="1:9" ht="13.9" customHeight="1" x14ac:dyDescent="0.25">
      <c r="A109" s="61"/>
      <c r="B109" s="62"/>
      <c r="C109" s="25"/>
      <c r="D109" s="61"/>
      <c r="E109" s="62"/>
      <c r="F109" s="25"/>
      <c r="G109" s="25"/>
      <c r="H109" s="61"/>
      <c r="I109" s="62"/>
    </row>
    <row r="110" spans="1:9" s="41" customFormat="1" ht="37.9" customHeight="1" x14ac:dyDescent="0.2">
      <c r="A110" s="106" t="s">
        <v>70</v>
      </c>
      <c r="B110" s="106"/>
      <c r="C110" s="63"/>
      <c r="D110" s="106" t="s">
        <v>70</v>
      </c>
      <c r="E110" s="106"/>
      <c r="F110" s="63"/>
      <c r="G110" s="63"/>
      <c r="H110" s="106" t="s">
        <v>75</v>
      </c>
      <c r="I110" s="106"/>
    </row>
    <row r="111" spans="1:9" ht="13.9" customHeight="1" x14ac:dyDescent="0.25">
      <c r="A111" s="107"/>
      <c r="B111" s="107"/>
      <c r="C111" s="64"/>
      <c r="D111" s="107"/>
      <c r="E111" s="107"/>
      <c r="F111" s="64"/>
      <c r="G111" s="64"/>
      <c r="H111" s="107"/>
      <c r="I111" s="107"/>
    </row>
    <row r="112" spans="1:9" ht="13.9" customHeight="1" x14ac:dyDescent="0.25">
      <c r="A112" s="52"/>
      <c r="B112" s="53" t="s">
        <v>76</v>
      </c>
      <c r="C112" s="54"/>
      <c r="D112" s="52"/>
      <c r="E112" s="53" t="str">
        <f>B112</f>
        <v>2017 Distributions</v>
      </c>
      <c r="F112" s="55"/>
      <c r="G112" s="56"/>
      <c r="H112" s="52"/>
      <c r="I112" s="53" t="str">
        <f>B112</f>
        <v>2017 Distributions</v>
      </c>
    </row>
    <row r="113" spans="1:9" ht="13.9" customHeight="1" x14ac:dyDescent="0.2">
      <c r="A113" s="65">
        <v>42766</v>
      </c>
      <c r="B113" s="59">
        <v>2145611.9900000002</v>
      </c>
      <c r="C113" s="54"/>
      <c r="D113" s="65"/>
      <c r="E113" s="57"/>
      <c r="F113" s="55"/>
      <c r="G113" s="56"/>
      <c r="H113" s="65">
        <f t="shared" ref="H113:H125" si="9">A113</f>
        <v>42766</v>
      </c>
      <c r="I113" s="59">
        <v>0</v>
      </c>
    </row>
    <row r="114" spans="1:9" ht="13.9" customHeight="1" x14ac:dyDescent="0.2">
      <c r="A114" s="65">
        <v>42794</v>
      </c>
      <c r="B114" s="59">
        <v>3029989.07</v>
      </c>
      <c r="C114" s="54"/>
      <c r="D114" s="65"/>
      <c r="E114" s="59"/>
      <c r="F114" s="55"/>
      <c r="G114" s="56"/>
      <c r="H114" s="65">
        <f t="shared" si="9"/>
        <v>42794</v>
      </c>
      <c r="I114" s="59">
        <v>0</v>
      </c>
    </row>
    <row r="115" spans="1:9" ht="13.9" customHeight="1" x14ac:dyDescent="0.2">
      <c r="A115" s="65">
        <v>42825</v>
      </c>
      <c r="B115" s="59">
        <v>2157250.64</v>
      </c>
      <c r="C115" s="54"/>
      <c r="D115" s="65"/>
      <c r="E115" s="59"/>
      <c r="F115" s="55"/>
      <c r="G115" s="56"/>
      <c r="H115" s="65">
        <f t="shared" si="9"/>
        <v>42825</v>
      </c>
      <c r="I115" s="59">
        <v>0</v>
      </c>
    </row>
    <row r="116" spans="1:9" ht="13.9" customHeight="1" x14ac:dyDescent="0.2">
      <c r="A116" s="65">
        <v>42855</v>
      </c>
      <c r="B116" s="59">
        <v>2167181.64</v>
      </c>
      <c r="C116" s="54"/>
      <c r="D116" s="65"/>
      <c r="E116" s="59"/>
      <c r="F116" s="55"/>
      <c r="G116" s="56"/>
      <c r="H116" s="65">
        <f t="shared" si="9"/>
        <v>42855</v>
      </c>
      <c r="I116" s="59">
        <v>0</v>
      </c>
    </row>
    <row r="117" spans="1:9" ht="13.9" customHeight="1" x14ac:dyDescent="0.2">
      <c r="A117" s="65">
        <v>42886</v>
      </c>
      <c r="B117" s="59">
        <v>2486677.4500000002</v>
      </c>
      <c r="C117" s="54"/>
      <c r="D117" s="65"/>
      <c r="E117" s="59"/>
      <c r="F117" s="55"/>
      <c r="G117" s="56"/>
      <c r="H117" s="65">
        <f t="shared" si="9"/>
        <v>42886</v>
      </c>
      <c r="I117" s="59">
        <v>0</v>
      </c>
    </row>
    <row r="118" spans="1:9" ht="13.9" customHeight="1" x14ac:dyDescent="0.2">
      <c r="A118" s="65">
        <v>42916</v>
      </c>
      <c r="B118" s="66">
        <v>2862472.48</v>
      </c>
      <c r="C118" s="54"/>
      <c r="D118" s="65"/>
      <c r="E118" s="57"/>
      <c r="F118" s="55"/>
      <c r="G118" s="56"/>
      <c r="H118" s="65">
        <f t="shared" si="9"/>
        <v>42916</v>
      </c>
      <c r="I118" s="66">
        <v>0</v>
      </c>
    </row>
    <row r="119" spans="1:9" ht="13.9" customHeight="1" x14ac:dyDescent="0.2">
      <c r="A119" s="65">
        <v>42947</v>
      </c>
      <c r="B119" s="59">
        <v>2224432.38</v>
      </c>
      <c r="C119" s="54"/>
      <c r="D119" s="17">
        <f>A119</f>
        <v>42947</v>
      </c>
      <c r="E119" s="59">
        <v>241256</v>
      </c>
      <c r="F119" s="55"/>
      <c r="G119" s="56"/>
      <c r="H119" s="65">
        <f t="shared" si="9"/>
        <v>42947</v>
      </c>
      <c r="I119" s="66">
        <v>0</v>
      </c>
    </row>
    <row r="120" spans="1:9" ht="13.9" customHeight="1" x14ac:dyDescent="0.2">
      <c r="A120" s="65">
        <v>42978</v>
      </c>
      <c r="B120" s="66">
        <v>2880522.88</v>
      </c>
      <c r="C120" s="54"/>
      <c r="D120" s="65"/>
      <c r="E120" s="57"/>
      <c r="F120" s="55"/>
      <c r="G120" s="56"/>
      <c r="H120" s="65">
        <f t="shared" si="9"/>
        <v>42978</v>
      </c>
      <c r="I120" s="66">
        <v>0</v>
      </c>
    </row>
    <row r="121" spans="1:9" ht="13.9" customHeight="1" x14ac:dyDescent="0.2">
      <c r="A121" s="65">
        <v>43008</v>
      </c>
      <c r="B121" s="66">
        <f>2793514.18</f>
        <v>2793514.18</v>
      </c>
      <c r="C121" s="54"/>
      <c r="D121" s="65"/>
      <c r="E121" s="57"/>
      <c r="F121" s="55"/>
      <c r="G121" s="56"/>
      <c r="H121" s="65">
        <f t="shared" si="9"/>
        <v>43008</v>
      </c>
      <c r="I121" s="66">
        <f>509289.53</f>
        <v>509289.53</v>
      </c>
    </row>
    <row r="122" spans="1:9" ht="13.9" customHeight="1" x14ac:dyDescent="0.2">
      <c r="A122" s="65">
        <v>43039</v>
      </c>
      <c r="B122" s="66">
        <f>2521832.52</f>
        <v>2521832.52</v>
      </c>
      <c r="C122" s="54"/>
      <c r="D122" s="65"/>
      <c r="E122" s="57"/>
      <c r="F122" s="55"/>
      <c r="G122" s="56"/>
      <c r="H122" s="65">
        <f t="shared" si="9"/>
        <v>43039</v>
      </c>
      <c r="I122" s="66">
        <v>0</v>
      </c>
    </row>
    <row r="123" spans="1:9" ht="13.9" customHeight="1" x14ac:dyDescent="0.2">
      <c r="A123" s="65">
        <v>43069</v>
      </c>
      <c r="B123" s="59">
        <f>3048626.19</f>
        <v>3048626.19</v>
      </c>
      <c r="C123" s="54"/>
      <c r="D123" s="65"/>
      <c r="E123" s="57"/>
      <c r="F123" s="55"/>
      <c r="G123" s="56"/>
      <c r="H123" s="65">
        <f t="shared" si="9"/>
        <v>43069</v>
      </c>
      <c r="I123" s="59">
        <v>0</v>
      </c>
    </row>
    <row r="124" spans="1:9" ht="13.9" customHeight="1" x14ac:dyDescent="0.2">
      <c r="A124" s="65">
        <v>43100</v>
      </c>
      <c r="B124" s="59">
        <f>2642675.47</f>
        <v>2642675.4700000002</v>
      </c>
      <c r="C124" s="54"/>
      <c r="D124" s="65"/>
      <c r="E124" s="57"/>
      <c r="F124" s="55"/>
      <c r="G124" s="56"/>
      <c r="H124" s="65">
        <f t="shared" si="9"/>
        <v>43100</v>
      </c>
      <c r="I124" s="59">
        <v>0</v>
      </c>
    </row>
    <row r="125" spans="1:9" ht="13.9" customHeight="1" x14ac:dyDescent="0.25">
      <c r="A125" s="67" t="s">
        <v>77</v>
      </c>
      <c r="B125" s="60">
        <f>SUM(B113:B124)</f>
        <v>30960786.890000001</v>
      </c>
      <c r="C125" s="54"/>
      <c r="D125" s="67" t="str">
        <f>A125</f>
        <v>TOTAL 2017</v>
      </c>
      <c r="E125" s="60">
        <f>SUM(E113:E124)</f>
        <v>241256</v>
      </c>
      <c r="F125" s="55"/>
      <c r="G125" s="56"/>
      <c r="H125" s="67" t="str">
        <f t="shared" si="9"/>
        <v>TOTAL 2017</v>
      </c>
      <c r="I125" s="60">
        <f>SUM(I113:I124)</f>
        <v>509289.53</v>
      </c>
    </row>
    <row r="126" spans="1:9" ht="13.9" customHeight="1" x14ac:dyDescent="0.25">
      <c r="A126" s="70"/>
      <c r="B126" s="62"/>
      <c r="C126" s="25"/>
      <c r="D126" s="70"/>
      <c r="E126" s="62"/>
      <c r="F126" s="25"/>
      <c r="G126" s="25"/>
      <c r="H126" s="70"/>
      <c r="I126" s="62"/>
    </row>
    <row r="127" spans="1:9" s="41" customFormat="1" ht="37.9" customHeight="1" x14ac:dyDescent="0.2">
      <c r="A127" s="106" t="s">
        <v>68</v>
      </c>
      <c r="B127" s="106"/>
      <c r="C127" s="63"/>
      <c r="D127" s="106" t="s">
        <v>68</v>
      </c>
      <c r="E127" s="106"/>
      <c r="F127" s="63"/>
      <c r="G127" s="63"/>
      <c r="H127" s="106" t="s">
        <v>69</v>
      </c>
      <c r="I127" s="106"/>
    </row>
    <row r="128" spans="1:9" ht="13.9" customHeight="1" x14ac:dyDescent="0.25">
      <c r="A128" s="107"/>
      <c r="B128" s="107"/>
      <c r="C128" s="64"/>
      <c r="D128" s="107"/>
      <c r="E128" s="107"/>
      <c r="F128" s="64"/>
      <c r="G128" s="64"/>
      <c r="H128" s="107"/>
      <c r="I128" s="107"/>
    </row>
    <row r="129" spans="1:9" ht="13.9" customHeight="1" x14ac:dyDescent="0.25">
      <c r="A129" s="52"/>
      <c r="B129" s="53" t="s">
        <v>59</v>
      </c>
      <c r="C129" s="54"/>
      <c r="D129" s="52"/>
      <c r="E129" s="53" t="str">
        <f>B129</f>
        <v>2016 Distributions</v>
      </c>
      <c r="F129" s="55"/>
      <c r="G129" s="56"/>
      <c r="H129" s="52"/>
      <c r="I129" s="53" t="str">
        <f>B129</f>
        <v>2016 Distributions</v>
      </c>
    </row>
    <row r="130" spans="1:9" ht="13.9" customHeight="1" x14ac:dyDescent="0.2">
      <c r="A130" s="65">
        <v>42400</v>
      </c>
      <c r="B130" s="59">
        <v>2628310.3199999998</v>
      </c>
      <c r="C130" s="54"/>
      <c r="D130" s="65"/>
      <c r="E130" s="57"/>
      <c r="F130" s="55"/>
      <c r="G130" s="56"/>
      <c r="H130" s="65">
        <f t="shared" ref="H130:H142" si="10">A130</f>
        <v>42400</v>
      </c>
      <c r="I130" s="59">
        <v>0</v>
      </c>
    </row>
    <row r="131" spans="1:9" ht="13.9" customHeight="1" x14ac:dyDescent="0.2">
      <c r="A131" s="65">
        <v>42428</v>
      </c>
      <c r="B131" s="59">
        <v>2246854.5699999998</v>
      </c>
      <c r="C131" s="54"/>
      <c r="D131" s="65"/>
      <c r="E131" s="59"/>
      <c r="F131" s="55"/>
      <c r="G131" s="56"/>
      <c r="H131" s="65">
        <f t="shared" si="10"/>
        <v>42428</v>
      </c>
      <c r="I131" s="59">
        <v>0</v>
      </c>
    </row>
    <row r="132" spans="1:9" ht="13.9" customHeight="1" x14ac:dyDescent="0.2">
      <c r="A132" s="65">
        <v>42460</v>
      </c>
      <c r="B132" s="59">
        <v>2154094.2200000002</v>
      </c>
      <c r="C132" s="54"/>
      <c r="D132" s="65"/>
      <c r="E132" s="59"/>
      <c r="F132" s="55"/>
      <c r="G132" s="56"/>
      <c r="H132" s="65">
        <f t="shared" si="10"/>
        <v>42460</v>
      </c>
      <c r="I132" s="59">
        <v>0</v>
      </c>
    </row>
    <row r="133" spans="1:9" ht="13.9" customHeight="1" x14ac:dyDescent="0.2">
      <c r="A133" s="65">
        <v>42490</v>
      </c>
      <c r="B133" s="59">
        <v>2380761.6</v>
      </c>
      <c r="C133" s="54"/>
      <c r="D133" s="65"/>
      <c r="E133" s="59"/>
      <c r="F133" s="55"/>
      <c r="G133" s="56"/>
      <c r="H133" s="65">
        <f t="shared" si="10"/>
        <v>42490</v>
      </c>
      <c r="I133" s="59">
        <v>0</v>
      </c>
    </row>
    <row r="134" spans="1:9" ht="13.9" customHeight="1" x14ac:dyDescent="0.2">
      <c r="A134" s="65">
        <v>42521</v>
      </c>
      <c r="B134" s="59">
        <v>2204557.71</v>
      </c>
      <c r="C134" s="54"/>
      <c r="D134" s="65"/>
      <c r="E134" s="59"/>
      <c r="F134" s="55"/>
      <c r="G134" s="56"/>
      <c r="H134" s="65">
        <f t="shared" si="10"/>
        <v>42521</v>
      </c>
      <c r="I134" s="59">
        <v>0</v>
      </c>
    </row>
    <row r="135" spans="1:9" ht="13.9" customHeight="1" x14ac:dyDescent="0.2">
      <c r="A135" s="65">
        <v>42551</v>
      </c>
      <c r="B135" s="66">
        <v>2756656.43</v>
      </c>
      <c r="C135" s="54"/>
      <c r="D135" s="65"/>
      <c r="E135" s="57"/>
      <c r="F135" s="55"/>
      <c r="G135" s="56"/>
      <c r="H135" s="65">
        <f t="shared" si="10"/>
        <v>42551</v>
      </c>
      <c r="I135" s="66">
        <v>0</v>
      </c>
    </row>
    <row r="136" spans="1:9" ht="13.9" customHeight="1" x14ac:dyDescent="0.2">
      <c r="A136" s="65">
        <v>42582</v>
      </c>
      <c r="B136" s="59">
        <v>2697999.32</v>
      </c>
      <c r="C136" s="54"/>
      <c r="D136" s="17">
        <f>A136</f>
        <v>42582</v>
      </c>
      <c r="E136" s="59">
        <v>239923.5</v>
      </c>
      <c r="F136" s="55"/>
      <c r="G136" s="56"/>
      <c r="H136" s="65">
        <f t="shared" si="10"/>
        <v>42582</v>
      </c>
      <c r="I136" s="66">
        <v>0</v>
      </c>
    </row>
    <row r="137" spans="1:9" ht="13.9" customHeight="1" x14ac:dyDescent="0.2">
      <c r="A137" s="65">
        <v>42613</v>
      </c>
      <c r="B137" s="66">
        <v>2478895.9900000002</v>
      </c>
      <c r="C137" s="54"/>
      <c r="D137" s="65"/>
      <c r="E137" s="57"/>
      <c r="F137" s="55"/>
      <c r="G137" s="56"/>
      <c r="H137" s="65">
        <f t="shared" si="10"/>
        <v>42613</v>
      </c>
      <c r="I137" s="66">
        <v>0</v>
      </c>
    </row>
    <row r="138" spans="1:9" ht="13.9" customHeight="1" x14ac:dyDescent="0.2">
      <c r="A138" s="65">
        <v>42643</v>
      </c>
      <c r="B138" s="66">
        <v>2782922.84</v>
      </c>
      <c r="C138" s="54"/>
      <c r="D138" s="65"/>
      <c r="E138" s="57"/>
      <c r="F138" s="55"/>
      <c r="G138" s="56"/>
      <c r="H138" s="65">
        <f t="shared" si="10"/>
        <v>42643</v>
      </c>
      <c r="I138" s="66">
        <f>558020.3</f>
        <v>558020.30000000005</v>
      </c>
    </row>
    <row r="139" spans="1:9" ht="13.9" customHeight="1" x14ac:dyDescent="0.2">
      <c r="A139" s="65">
        <v>42674</v>
      </c>
      <c r="B139" s="66">
        <v>2574439.13</v>
      </c>
      <c r="C139" s="54"/>
      <c r="D139" s="65"/>
      <c r="E139" s="57"/>
      <c r="F139" s="55"/>
      <c r="G139" s="56"/>
      <c r="H139" s="65">
        <f t="shared" si="10"/>
        <v>42674</v>
      </c>
      <c r="I139" s="66">
        <v>0</v>
      </c>
    </row>
    <row r="140" spans="1:9" ht="13.9" customHeight="1" x14ac:dyDescent="0.2">
      <c r="A140" s="65">
        <v>42704</v>
      </c>
      <c r="B140" s="59">
        <v>2449293.04</v>
      </c>
      <c r="C140" s="54"/>
      <c r="D140" s="65"/>
      <c r="E140" s="57"/>
      <c r="F140" s="55"/>
      <c r="G140" s="56"/>
      <c r="H140" s="65">
        <f t="shared" si="10"/>
        <v>42704</v>
      </c>
      <c r="I140" s="59">
        <v>0</v>
      </c>
    </row>
    <row r="141" spans="1:9" ht="13.9" customHeight="1" x14ac:dyDescent="0.2">
      <c r="A141" s="65">
        <v>42735</v>
      </c>
      <c r="B141" s="59">
        <v>2663428.0299999998</v>
      </c>
      <c r="C141" s="54"/>
      <c r="D141" s="65"/>
      <c r="E141" s="57"/>
      <c r="F141" s="55"/>
      <c r="G141" s="56"/>
      <c r="H141" s="65">
        <f t="shared" si="10"/>
        <v>42735</v>
      </c>
      <c r="I141" s="59">
        <v>0</v>
      </c>
    </row>
    <row r="142" spans="1:9" ht="13.9" customHeight="1" x14ac:dyDescent="0.25">
      <c r="A142" s="67" t="s">
        <v>58</v>
      </c>
      <c r="B142" s="60">
        <f>SUM(B130:B141)</f>
        <v>30018213.199999996</v>
      </c>
      <c r="C142" s="54"/>
      <c r="D142" s="67" t="str">
        <f>A142</f>
        <v>TOTAL 2016</v>
      </c>
      <c r="E142" s="60">
        <f>SUM(E130:E141)</f>
        <v>239923.5</v>
      </c>
      <c r="F142" s="55"/>
      <c r="G142" s="56"/>
      <c r="H142" s="67" t="str">
        <f t="shared" si="10"/>
        <v>TOTAL 2016</v>
      </c>
      <c r="I142" s="60">
        <f>SUM(I130:I141)</f>
        <v>558020.30000000005</v>
      </c>
    </row>
    <row r="143" spans="1:9" ht="13.9" customHeight="1" x14ac:dyDescent="0.25">
      <c r="A143" s="61"/>
      <c r="B143" s="62"/>
      <c r="C143" s="25"/>
      <c r="D143" s="61"/>
      <c r="E143" s="62"/>
      <c r="F143" s="25"/>
      <c r="G143" s="25"/>
      <c r="H143" s="61"/>
      <c r="I143" s="62"/>
    </row>
    <row r="144" spans="1:9" s="41" customFormat="1" ht="37.9" customHeight="1" x14ac:dyDescent="0.2">
      <c r="A144" s="106" t="s">
        <v>60</v>
      </c>
      <c r="B144" s="106"/>
      <c r="C144" s="63"/>
      <c r="D144" s="106" t="s">
        <v>60</v>
      </c>
      <c r="E144" s="106"/>
      <c r="F144" s="63"/>
      <c r="G144" s="63"/>
      <c r="H144" s="106" t="s">
        <v>61</v>
      </c>
      <c r="I144" s="106"/>
    </row>
    <row r="145" spans="1:9" s="29" customFormat="1" ht="13.9" customHeight="1" x14ac:dyDescent="0.25">
      <c r="A145" s="107"/>
      <c r="B145" s="107"/>
      <c r="C145" s="64"/>
      <c r="D145" s="107"/>
      <c r="E145" s="107"/>
      <c r="F145" s="64"/>
      <c r="G145" s="64"/>
      <c r="H145" s="107"/>
      <c r="I145" s="107"/>
    </row>
    <row r="146" spans="1:9" ht="13.9" customHeight="1" x14ac:dyDescent="0.25">
      <c r="A146" s="68"/>
      <c r="B146" s="69" t="s">
        <v>52</v>
      </c>
      <c r="C146" s="54"/>
      <c r="D146" s="68"/>
      <c r="E146" s="69" t="str">
        <f>B146</f>
        <v>2015 Distributions</v>
      </c>
      <c r="F146" s="55"/>
      <c r="G146" s="56"/>
      <c r="H146" s="68"/>
      <c r="I146" s="69" t="str">
        <f>B146</f>
        <v>2015 Distributions</v>
      </c>
    </row>
    <row r="147" spans="1:9" ht="13.9" customHeight="1" x14ac:dyDescent="0.2">
      <c r="A147" s="65">
        <v>42035</v>
      </c>
      <c r="B147" s="59">
        <v>2689755.54</v>
      </c>
      <c r="C147" s="54"/>
      <c r="D147" s="65"/>
      <c r="E147" s="57"/>
      <c r="F147" s="55"/>
      <c r="G147" s="56"/>
      <c r="H147" s="65">
        <v>42035</v>
      </c>
      <c r="I147" s="59">
        <v>2424163.23</v>
      </c>
    </row>
    <row r="148" spans="1:9" ht="13.9" customHeight="1" x14ac:dyDescent="0.2">
      <c r="A148" s="65">
        <v>42063</v>
      </c>
      <c r="B148" s="59">
        <v>2046480.32</v>
      </c>
      <c r="C148" s="54"/>
      <c r="D148" s="65"/>
      <c r="E148" s="59"/>
      <c r="F148" s="55"/>
      <c r="G148" s="56"/>
      <c r="H148" s="65">
        <v>42063</v>
      </c>
      <c r="I148" s="59">
        <v>1705833.22</v>
      </c>
    </row>
    <row r="149" spans="1:9" ht="13.9" customHeight="1" x14ac:dyDescent="0.2">
      <c r="A149" s="65">
        <v>42094</v>
      </c>
      <c r="B149" s="59">
        <v>2057284.49</v>
      </c>
      <c r="C149" s="54"/>
      <c r="D149" s="65"/>
      <c r="E149" s="59"/>
      <c r="F149" s="55"/>
      <c r="G149" s="56"/>
      <c r="H149" s="65">
        <v>42094</v>
      </c>
      <c r="I149" s="59">
        <v>1731337.61</v>
      </c>
    </row>
    <row r="150" spans="1:9" ht="13.9" customHeight="1" x14ac:dyDescent="0.2">
      <c r="A150" s="65">
        <v>42124</v>
      </c>
      <c r="B150" s="59">
        <v>2392733.16</v>
      </c>
      <c r="C150" s="54"/>
      <c r="D150" s="65"/>
      <c r="E150" s="59"/>
      <c r="F150" s="55"/>
      <c r="G150" s="56"/>
      <c r="H150" s="65">
        <v>42124</v>
      </c>
      <c r="I150" s="59">
        <v>2144885.59</v>
      </c>
    </row>
    <row r="151" spans="1:9" ht="13.9" customHeight="1" x14ac:dyDescent="0.2">
      <c r="A151" s="65">
        <v>42155</v>
      </c>
      <c r="B151" s="59">
        <v>2581062.8199999998</v>
      </c>
      <c r="C151" s="54"/>
      <c r="D151" s="65"/>
      <c r="E151" s="59"/>
      <c r="F151" s="55"/>
      <c r="G151" s="56"/>
      <c r="H151" s="65">
        <v>42155</v>
      </c>
      <c r="I151" s="59">
        <v>2344525.41</v>
      </c>
    </row>
    <row r="152" spans="1:9" ht="13.9" customHeight="1" x14ac:dyDescent="0.2">
      <c r="A152" s="65">
        <v>42185</v>
      </c>
      <c r="B152" s="66">
        <v>2057213.59</v>
      </c>
      <c r="C152" s="54"/>
      <c r="D152" s="65"/>
      <c r="E152" s="57"/>
      <c r="F152" s="55"/>
      <c r="G152" s="56"/>
      <c r="H152" s="65">
        <v>42185</v>
      </c>
      <c r="I152" s="66">
        <v>1833161.08</v>
      </c>
    </row>
    <row r="153" spans="1:9" ht="13.9" customHeight="1" x14ac:dyDescent="0.2">
      <c r="A153" s="65">
        <v>42216</v>
      </c>
      <c r="B153" s="59">
        <v>2685304.15</v>
      </c>
      <c r="C153" s="54"/>
      <c r="D153" s="17">
        <v>42216</v>
      </c>
      <c r="E153" s="59">
        <v>239487.5</v>
      </c>
      <c r="F153" s="55"/>
      <c r="G153" s="56"/>
      <c r="H153" s="65">
        <v>42216</v>
      </c>
      <c r="I153" s="66">
        <v>2394176.16</v>
      </c>
    </row>
    <row r="154" spans="1:9" ht="13.9" customHeight="1" x14ac:dyDescent="0.2">
      <c r="A154" s="65">
        <v>42247</v>
      </c>
      <c r="B154" s="66">
        <v>2551480.69</v>
      </c>
      <c r="C154" s="54"/>
      <c r="D154" s="65"/>
      <c r="E154" s="57"/>
      <c r="F154" s="55"/>
      <c r="G154" s="56"/>
      <c r="H154" s="65">
        <v>42247</v>
      </c>
      <c r="I154" s="66">
        <v>2099367.6800000002</v>
      </c>
    </row>
    <row r="155" spans="1:9" ht="13.9" customHeight="1" x14ac:dyDescent="0.2">
      <c r="A155" s="65">
        <v>42277</v>
      </c>
      <c r="B155" s="66">
        <v>2285887.2799999998</v>
      </c>
      <c r="C155" s="54"/>
      <c r="D155" s="65"/>
      <c r="E155" s="57"/>
      <c r="F155" s="55"/>
      <c r="G155" s="56"/>
      <c r="H155" s="65">
        <v>42277</v>
      </c>
      <c r="I155" s="66">
        <v>2328894.5699999998</v>
      </c>
    </row>
    <row r="156" spans="1:9" ht="13.9" customHeight="1" x14ac:dyDescent="0.2">
      <c r="A156" s="65">
        <v>42308</v>
      </c>
      <c r="B156" s="66">
        <v>2909177.72</v>
      </c>
      <c r="C156" s="54"/>
      <c r="D156" s="65"/>
      <c r="E156" s="57"/>
      <c r="F156" s="55"/>
      <c r="G156" s="56"/>
      <c r="H156" s="65">
        <v>42308</v>
      </c>
      <c r="I156" s="66">
        <v>2314691.44</v>
      </c>
    </row>
    <row r="157" spans="1:9" ht="13.9" customHeight="1" x14ac:dyDescent="0.2">
      <c r="A157" s="65">
        <v>42338</v>
      </c>
      <c r="B157" s="59">
        <v>2100831.84</v>
      </c>
      <c r="C157" s="54"/>
      <c r="D157" s="65"/>
      <c r="E157" s="57"/>
      <c r="F157" s="55"/>
      <c r="G157" s="56"/>
      <c r="H157" s="65">
        <v>42338</v>
      </c>
      <c r="I157" s="59">
        <v>0</v>
      </c>
    </row>
    <row r="158" spans="1:9" ht="13.9" customHeight="1" x14ac:dyDescent="0.2">
      <c r="A158" s="65">
        <v>42369</v>
      </c>
      <c r="B158" s="59">
        <v>2729546.26</v>
      </c>
      <c r="C158" s="54"/>
      <c r="D158" s="65"/>
      <c r="E158" s="57"/>
      <c r="F158" s="55"/>
      <c r="G158" s="56"/>
      <c r="H158" s="65">
        <v>42369</v>
      </c>
      <c r="I158" s="59">
        <v>0</v>
      </c>
    </row>
    <row r="159" spans="1:9" ht="13.9" customHeight="1" x14ac:dyDescent="0.25">
      <c r="A159" s="67" t="s">
        <v>53</v>
      </c>
      <c r="B159" s="60">
        <f>SUM(B147:B158)</f>
        <v>29086757.859999999</v>
      </c>
      <c r="C159" s="54"/>
      <c r="D159" s="67" t="str">
        <f>A159</f>
        <v>TOTAL 2015</v>
      </c>
      <c r="E159" s="60">
        <f>SUM(E147:E158)</f>
        <v>239487.5</v>
      </c>
      <c r="F159" s="55"/>
      <c r="G159" s="56"/>
      <c r="H159" s="67" t="str">
        <f>A159</f>
        <v>TOTAL 2015</v>
      </c>
      <c r="I159" s="60">
        <f>SUM(I147:I158)</f>
        <v>21321035.990000002</v>
      </c>
    </row>
    <row r="160" spans="1:9" ht="13.9" customHeight="1" x14ac:dyDescent="0.25">
      <c r="A160" s="70"/>
      <c r="B160" s="62"/>
      <c r="C160" s="25"/>
      <c r="D160" s="70"/>
      <c r="E160" s="62"/>
      <c r="F160" s="25"/>
      <c r="G160" s="25"/>
      <c r="H160" s="70"/>
      <c r="I160" s="62"/>
    </row>
    <row r="161" spans="1:9" s="41" customFormat="1" ht="37.9" customHeight="1" x14ac:dyDescent="0.2">
      <c r="A161" s="106" t="s">
        <v>62</v>
      </c>
      <c r="B161" s="106"/>
      <c r="C161" s="63"/>
      <c r="D161" s="106" t="s">
        <v>62</v>
      </c>
      <c r="E161" s="106"/>
      <c r="F161" s="63"/>
      <c r="G161" s="63"/>
      <c r="H161" s="106" t="s">
        <v>63</v>
      </c>
      <c r="I161" s="106"/>
    </row>
    <row r="162" spans="1:9" s="29" customFormat="1" ht="13.9" customHeight="1" x14ac:dyDescent="0.25">
      <c r="A162" s="107"/>
      <c r="B162" s="107"/>
      <c r="C162" s="64"/>
      <c r="D162" s="107"/>
      <c r="E162" s="107"/>
      <c r="F162" s="64"/>
      <c r="G162" s="64"/>
      <c r="H162" s="107"/>
      <c r="I162" s="107"/>
    </row>
    <row r="163" spans="1:9" ht="13.9" customHeight="1" x14ac:dyDescent="0.25">
      <c r="A163" s="52"/>
      <c r="B163" s="53" t="s">
        <v>45</v>
      </c>
      <c r="C163" s="54"/>
      <c r="D163" s="52"/>
      <c r="E163" s="53" t="str">
        <f>B163</f>
        <v>2014 Distributions</v>
      </c>
      <c r="F163" s="55"/>
      <c r="G163" s="56"/>
      <c r="H163" s="52"/>
      <c r="I163" s="53" t="str">
        <f>B163</f>
        <v>2014 Distributions</v>
      </c>
    </row>
    <row r="164" spans="1:9" ht="13.9" customHeight="1" x14ac:dyDescent="0.2">
      <c r="A164" s="65">
        <v>41670</v>
      </c>
      <c r="B164" s="59">
        <v>2664331.12</v>
      </c>
      <c r="C164" s="54"/>
      <c r="D164" s="65"/>
      <c r="E164" s="57"/>
      <c r="F164" s="55"/>
      <c r="G164" s="56"/>
      <c r="H164" s="65">
        <v>41670</v>
      </c>
      <c r="I164" s="59">
        <v>2273357.87</v>
      </c>
    </row>
    <row r="165" spans="1:9" ht="13.9" customHeight="1" x14ac:dyDescent="0.2">
      <c r="A165" s="65">
        <v>41698</v>
      </c>
      <c r="B165" s="59">
        <v>2151439.31</v>
      </c>
      <c r="C165" s="54"/>
      <c r="D165" s="65"/>
      <c r="E165" s="59"/>
      <c r="F165" s="55"/>
      <c r="G165" s="56"/>
      <c r="H165" s="65">
        <v>41698</v>
      </c>
      <c r="I165" s="59">
        <v>2008448.4</v>
      </c>
    </row>
    <row r="166" spans="1:9" ht="13.9" customHeight="1" x14ac:dyDescent="0.2">
      <c r="A166" s="65">
        <v>41729</v>
      </c>
      <c r="B166" s="59">
        <v>1898658.83</v>
      </c>
      <c r="C166" s="54"/>
      <c r="D166" s="65"/>
      <c r="E166" s="59"/>
      <c r="F166" s="55"/>
      <c r="G166" s="56"/>
      <c r="H166" s="65">
        <v>41729</v>
      </c>
      <c r="I166" s="59">
        <v>1597804.9</v>
      </c>
    </row>
    <row r="167" spans="1:9" ht="13.9" customHeight="1" x14ac:dyDescent="0.2">
      <c r="A167" s="65">
        <v>41759</v>
      </c>
      <c r="B167" s="59">
        <v>2170901.02</v>
      </c>
      <c r="C167" s="54"/>
      <c r="D167" s="65"/>
      <c r="E167" s="59"/>
      <c r="F167" s="55"/>
      <c r="G167" s="56"/>
      <c r="H167" s="65">
        <v>41759</v>
      </c>
      <c r="I167" s="59">
        <v>1966621.65</v>
      </c>
    </row>
    <row r="168" spans="1:9" ht="13.9" customHeight="1" x14ac:dyDescent="0.2">
      <c r="A168" s="65">
        <v>41790</v>
      </c>
      <c r="B168" s="59">
        <v>2581299.2400000002</v>
      </c>
      <c r="C168" s="54"/>
      <c r="D168" s="65"/>
      <c r="E168" s="59"/>
      <c r="F168" s="55"/>
      <c r="G168" s="56"/>
      <c r="H168" s="65">
        <v>41790</v>
      </c>
      <c r="I168" s="59">
        <v>2245232.36</v>
      </c>
    </row>
    <row r="169" spans="1:9" ht="13.9" customHeight="1" x14ac:dyDescent="0.2">
      <c r="A169" s="65">
        <v>41820</v>
      </c>
      <c r="B169" s="66">
        <v>1885227.07</v>
      </c>
      <c r="C169" s="54"/>
      <c r="D169" s="65"/>
      <c r="E169" s="57"/>
      <c r="F169" s="55"/>
      <c r="G169" s="56"/>
      <c r="H169" s="65">
        <v>41820</v>
      </c>
      <c r="I169" s="66">
        <v>1657476.06</v>
      </c>
    </row>
    <row r="170" spans="1:9" ht="13.9" customHeight="1" x14ac:dyDescent="0.2">
      <c r="A170" s="65">
        <v>41851</v>
      </c>
      <c r="B170" s="59">
        <v>2620707.87</v>
      </c>
      <c r="C170" s="54"/>
      <c r="D170" s="65">
        <v>41851</v>
      </c>
      <c r="E170" s="59">
        <v>225865.5</v>
      </c>
      <c r="F170" s="55"/>
      <c r="G170" s="56"/>
      <c r="H170" s="65">
        <v>41851</v>
      </c>
      <c r="I170" s="66">
        <v>2043030.07</v>
      </c>
    </row>
    <row r="171" spans="1:9" ht="13.9" customHeight="1" x14ac:dyDescent="0.2">
      <c r="A171" s="65">
        <v>41882</v>
      </c>
      <c r="B171" s="66">
        <v>2902530.49</v>
      </c>
      <c r="C171" s="54"/>
      <c r="D171" s="65"/>
      <c r="E171" s="57"/>
      <c r="F171" s="55"/>
      <c r="G171" s="56"/>
      <c r="H171" s="65">
        <v>41882</v>
      </c>
      <c r="I171" s="66">
        <v>2543020.83</v>
      </c>
    </row>
    <row r="172" spans="1:9" ht="13.9" customHeight="1" x14ac:dyDescent="0.2">
      <c r="A172" s="65">
        <v>41912</v>
      </c>
      <c r="B172" s="66">
        <v>2168487.81</v>
      </c>
      <c r="C172" s="54"/>
      <c r="D172" s="65"/>
      <c r="E172" s="57"/>
      <c r="F172" s="55"/>
      <c r="G172" s="56"/>
      <c r="H172" s="65">
        <v>41912</v>
      </c>
      <c r="I172" s="66">
        <v>1936602.85</v>
      </c>
    </row>
    <row r="173" spans="1:9" ht="13.9" customHeight="1" x14ac:dyDescent="0.2">
      <c r="A173" s="65">
        <v>41943</v>
      </c>
      <c r="B173" s="66">
        <v>2704781.06</v>
      </c>
      <c r="C173" s="54"/>
      <c r="D173" s="65"/>
      <c r="E173" s="57"/>
      <c r="F173" s="55"/>
      <c r="G173" s="56"/>
      <c r="H173" s="65">
        <v>41943</v>
      </c>
      <c r="I173" s="66">
        <v>2320716.2000000002</v>
      </c>
    </row>
    <row r="174" spans="1:9" ht="13.9" customHeight="1" x14ac:dyDescent="0.2">
      <c r="A174" s="65">
        <v>41973</v>
      </c>
      <c r="B174" s="59">
        <v>2307511.71</v>
      </c>
      <c r="C174" s="54"/>
      <c r="D174" s="65"/>
      <c r="E174" s="57"/>
      <c r="F174" s="55"/>
      <c r="G174" s="56"/>
      <c r="H174" s="65">
        <v>41973</v>
      </c>
      <c r="I174" s="59">
        <v>2078403.54</v>
      </c>
    </row>
    <row r="175" spans="1:9" ht="13.9" customHeight="1" x14ac:dyDescent="0.2">
      <c r="A175" s="65">
        <v>42004</v>
      </c>
      <c r="B175" s="59">
        <v>2414201.7599999998</v>
      </c>
      <c r="C175" s="54"/>
      <c r="D175" s="65"/>
      <c r="E175" s="57"/>
      <c r="F175" s="55"/>
      <c r="G175" s="56"/>
      <c r="H175" s="65">
        <v>42004</v>
      </c>
      <c r="I175" s="59">
        <v>1999359.53</v>
      </c>
    </row>
    <row r="176" spans="1:9" ht="13.9" customHeight="1" x14ac:dyDescent="0.25">
      <c r="A176" s="67" t="s">
        <v>46</v>
      </c>
      <c r="B176" s="60">
        <f>SUM(B164:B175)</f>
        <v>28470077.289999999</v>
      </c>
      <c r="C176" s="54"/>
      <c r="D176" s="67" t="str">
        <f>A176</f>
        <v>TOTAL 2014</v>
      </c>
      <c r="E176" s="60">
        <f>SUM(E164:E175)</f>
        <v>225865.5</v>
      </c>
      <c r="F176" s="55"/>
      <c r="G176" s="56"/>
      <c r="H176" s="67" t="str">
        <f>A176</f>
        <v>TOTAL 2014</v>
      </c>
      <c r="I176" s="60">
        <f>SUM(I164:I175)</f>
        <v>24670074.260000002</v>
      </c>
    </row>
    <row r="177" spans="1:9" ht="13.9" customHeight="1" x14ac:dyDescent="0.25">
      <c r="A177" s="70"/>
      <c r="B177" s="62"/>
      <c r="C177" s="25"/>
      <c r="D177" s="70"/>
      <c r="E177" s="62"/>
      <c r="F177" s="25"/>
      <c r="G177" s="25"/>
      <c r="H177" s="70"/>
      <c r="I177" s="62"/>
    </row>
    <row r="178" spans="1:9" s="41" customFormat="1" ht="37.9" customHeight="1" x14ac:dyDescent="0.2">
      <c r="A178" s="106" t="s">
        <v>64</v>
      </c>
      <c r="B178" s="106"/>
      <c r="C178" s="63"/>
      <c r="D178" s="106" t="s">
        <v>64</v>
      </c>
      <c r="E178" s="106"/>
      <c r="F178" s="63"/>
      <c r="G178" s="63"/>
      <c r="H178" s="106" t="s">
        <v>65</v>
      </c>
      <c r="I178" s="106"/>
    </row>
    <row r="179" spans="1:9" ht="13.9" customHeight="1" x14ac:dyDescent="0.25">
      <c r="A179" s="107"/>
      <c r="B179" s="107"/>
      <c r="C179" s="64"/>
      <c r="D179" s="107"/>
      <c r="E179" s="107"/>
      <c r="F179" s="64"/>
      <c r="G179" s="64"/>
      <c r="H179" s="107"/>
      <c r="I179" s="107"/>
    </row>
    <row r="180" spans="1:9" ht="13.9" customHeight="1" x14ac:dyDescent="0.25">
      <c r="A180" s="52"/>
      <c r="B180" s="53" t="s">
        <v>36</v>
      </c>
      <c r="C180" s="54"/>
      <c r="D180" s="52"/>
      <c r="E180" s="53" t="s">
        <v>36</v>
      </c>
      <c r="F180" s="55"/>
      <c r="G180" s="56"/>
      <c r="H180" s="52"/>
      <c r="I180" s="53" t="s">
        <v>36</v>
      </c>
    </row>
    <row r="181" spans="1:9" ht="13.9" customHeight="1" x14ac:dyDescent="0.2">
      <c r="A181" s="65">
        <v>41305</v>
      </c>
      <c r="B181" s="59">
        <v>2120376.42</v>
      </c>
      <c r="C181" s="54"/>
      <c r="D181" s="65"/>
      <c r="E181" s="57"/>
      <c r="F181" s="55"/>
      <c r="G181" s="56"/>
      <c r="H181" s="65">
        <v>41305</v>
      </c>
      <c r="I181" s="59">
        <v>1828495.43</v>
      </c>
    </row>
    <row r="182" spans="1:9" ht="13.9" customHeight="1" x14ac:dyDescent="0.2">
      <c r="A182" s="65">
        <v>41333</v>
      </c>
      <c r="B182" s="59">
        <v>2517404.7400000002</v>
      </c>
      <c r="C182" s="54"/>
      <c r="D182" s="65"/>
      <c r="E182" s="59"/>
      <c r="F182" s="55"/>
      <c r="G182" s="56"/>
      <c r="H182" s="65">
        <v>41333</v>
      </c>
      <c r="I182" s="59">
        <v>2142871.3199999998</v>
      </c>
    </row>
    <row r="183" spans="1:9" ht="13.9" customHeight="1" x14ac:dyDescent="0.2">
      <c r="A183" s="65">
        <v>41364</v>
      </c>
      <c r="B183" s="59">
        <v>1846944.02</v>
      </c>
      <c r="C183" s="54"/>
      <c r="D183" s="65"/>
      <c r="E183" s="59"/>
      <c r="F183" s="55"/>
      <c r="G183" s="56"/>
      <c r="H183" s="65">
        <v>41364</v>
      </c>
      <c r="I183" s="59">
        <v>1603241.45</v>
      </c>
    </row>
    <row r="184" spans="1:9" ht="13.9" customHeight="1" x14ac:dyDescent="0.2">
      <c r="A184" s="65">
        <v>41394</v>
      </c>
      <c r="B184" s="59">
        <v>1724674.87</v>
      </c>
      <c r="C184" s="54"/>
      <c r="D184" s="65"/>
      <c r="E184" s="59"/>
      <c r="F184" s="55"/>
      <c r="G184" s="56"/>
      <c r="H184" s="65">
        <v>41394</v>
      </c>
      <c r="I184" s="59">
        <v>1429796.16</v>
      </c>
    </row>
    <row r="185" spans="1:9" ht="13.9" customHeight="1" x14ac:dyDescent="0.2">
      <c r="A185" s="65">
        <v>41425</v>
      </c>
      <c r="B185" s="59">
        <v>2513787.71</v>
      </c>
      <c r="C185" s="54"/>
      <c r="D185" s="65"/>
      <c r="E185" s="59"/>
      <c r="F185" s="55"/>
      <c r="G185" s="56"/>
      <c r="H185" s="65">
        <v>41425</v>
      </c>
      <c r="I185" s="59">
        <v>2336735.89</v>
      </c>
    </row>
    <row r="186" spans="1:9" ht="13.9" customHeight="1" x14ac:dyDescent="0.2">
      <c r="A186" s="65">
        <v>41455</v>
      </c>
      <c r="B186" s="66">
        <v>1738472.98</v>
      </c>
      <c r="C186" s="54"/>
      <c r="D186" s="65"/>
      <c r="E186" s="57"/>
      <c r="F186" s="55"/>
      <c r="G186" s="56"/>
      <c r="H186" s="65">
        <v>41455</v>
      </c>
      <c r="I186" s="66">
        <v>1700754.49</v>
      </c>
    </row>
    <row r="187" spans="1:9" ht="13.9" customHeight="1" x14ac:dyDescent="0.2">
      <c r="A187" s="65">
        <v>41486</v>
      </c>
      <c r="B187" s="59">
        <v>2295558.9500000002</v>
      </c>
      <c r="C187" s="54"/>
      <c r="D187" s="65">
        <v>41486</v>
      </c>
      <c r="E187" s="59">
        <v>213909.5</v>
      </c>
      <c r="F187" s="55"/>
      <c r="G187" s="56"/>
      <c r="H187" s="65">
        <v>41486</v>
      </c>
      <c r="I187" s="66">
        <v>2040105.37</v>
      </c>
    </row>
    <row r="188" spans="1:9" ht="13.9" customHeight="1" x14ac:dyDescent="0.2">
      <c r="A188" s="65">
        <v>41517</v>
      </c>
      <c r="B188" s="66">
        <v>2544342.2799999998</v>
      </c>
      <c r="C188" s="54"/>
      <c r="D188" s="65"/>
      <c r="E188" s="57"/>
      <c r="F188" s="55"/>
      <c r="G188" s="56"/>
      <c r="H188" s="65">
        <v>41517</v>
      </c>
      <c r="I188" s="66">
        <v>2189059.2599999998</v>
      </c>
    </row>
    <row r="189" spans="1:9" ht="13.9" customHeight="1" x14ac:dyDescent="0.2">
      <c r="A189" s="65">
        <v>41547</v>
      </c>
      <c r="B189" s="66">
        <v>2057200.6399999999</v>
      </c>
      <c r="C189" s="54"/>
      <c r="D189" s="65"/>
      <c r="E189" s="57"/>
      <c r="F189" s="55"/>
      <c r="G189" s="56"/>
      <c r="H189" s="65">
        <v>41547</v>
      </c>
      <c r="I189" s="66">
        <v>1811245.69</v>
      </c>
    </row>
    <row r="190" spans="1:9" ht="13.9" customHeight="1" x14ac:dyDescent="0.2">
      <c r="A190" s="65">
        <v>41578</v>
      </c>
      <c r="B190" s="66">
        <v>2481272.29</v>
      </c>
      <c r="C190" s="54"/>
      <c r="D190" s="65"/>
      <c r="E190" s="57"/>
      <c r="F190" s="55"/>
      <c r="G190" s="56"/>
      <c r="H190" s="65">
        <v>41578</v>
      </c>
      <c r="I190" s="66">
        <v>2024284.15</v>
      </c>
    </row>
    <row r="191" spans="1:9" ht="13.9" customHeight="1" x14ac:dyDescent="0.2">
      <c r="A191" s="65">
        <v>41608</v>
      </c>
      <c r="B191" s="59">
        <v>2587863.7000000002</v>
      </c>
      <c r="C191" s="54"/>
      <c r="D191" s="65"/>
      <c r="E191" s="57"/>
      <c r="F191" s="55"/>
      <c r="G191" s="56"/>
      <c r="H191" s="65">
        <v>41608</v>
      </c>
      <c r="I191" s="59">
        <v>2075680.38</v>
      </c>
    </row>
    <row r="192" spans="1:9" ht="13.9" customHeight="1" x14ac:dyDescent="0.2">
      <c r="A192" s="65">
        <v>41639</v>
      </c>
      <c r="B192" s="59">
        <v>1745310.9</v>
      </c>
      <c r="C192" s="54"/>
      <c r="D192" s="65"/>
      <c r="E192" s="57"/>
      <c r="F192" s="55"/>
      <c r="G192" s="56"/>
      <c r="H192" s="65">
        <v>41639</v>
      </c>
      <c r="I192" s="59">
        <v>1744772.73</v>
      </c>
    </row>
    <row r="193" spans="1:9" ht="13.9" customHeight="1" x14ac:dyDescent="0.25">
      <c r="A193" s="67" t="s">
        <v>37</v>
      </c>
      <c r="B193" s="60">
        <f>SUM(B181:B192)</f>
        <v>26173209.5</v>
      </c>
      <c r="C193" s="54"/>
      <c r="D193" s="67" t="s">
        <v>37</v>
      </c>
      <c r="E193" s="60">
        <f>SUM(E181:E192)</f>
        <v>213909.5</v>
      </c>
      <c r="F193" s="55"/>
      <c r="G193" s="56"/>
      <c r="H193" s="67" t="s">
        <v>37</v>
      </c>
      <c r="I193" s="60">
        <f>SUM(I181:I192)</f>
        <v>22927042.319999997</v>
      </c>
    </row>
    <row r="194" spans="1:9" ht="13.9" customHeight="1" x14ac:dyDescent="0.25">
      <c r="A194" s="70"/>
      <c r="B194" s="62"/>
      <c r="C194" s="25"/>
      <c r="D194" s="70"/>
      <c r="E194" s="62"/>
      <c r="F194" s="25"/>
      <c r="G194" s="25"/>
      <c r="H194" s="70"/>
      <c r="I194" s="62"/>
    </row>
    <row r="195" spans="1:9" s="41" customFormat="1" ht="37.9" customHeight="1" x14ac:dyDescent="0.2">
      <c r="A195" s="106" t="s">
        <v>66</v>
      </c>
      <c r="B195" s="106"/>
      <c r="C195" s="63"/>
      <c r="D195" s="106" t="s">
        <v>66</v>
      </c>
      <c r="E195" s="106"/>
      <c r="F195" s="63"/>
      <c r="G195" s="63"/>
      <c r="H195" s="106" t="s">
        <v>67</v>
      </c>
      <c r="I195" s="106"/>
    </row>
    <row r="196" spans="1:9" ht="13.9" customHeight="1" x14ac:dyDescent="0.25">
      <c r="A196" s="107"/>
      <c r="B196" s="107"/>
      <c r="C196" s="64"/>
      <c r="D196" s="107"/>
      <c r="E196" s="107"/>
      <c r="F196" s="64"/>
      <c r="G196" s="64"/>
      <c r="H196" s="107"/>
      <c r="I196" s="107"/>
    </row>
    <row r="197" spans="1:9" ht="13.9" customHeight="1" x14ac:dyDescent="0.25">
      <c r="A197" s="52"/>
      <c r="B197" s="53" t="s">
        <v>29</v>
      </c>
      <c r="C197" s="54"/>
      <c r="D197" s="52"/>
      <c r="E197" s="53" t="s">
        <v>29</v>
      </c>
      <c r="F197" s="55"/>
      <c r="G197" s="56"/>
      <c r="H197" s="52"/>
      <c r="I197" s="53" t="s">
        <v>29</v>
      </c>
    </row>
    <row r="198" spans="1:9" ht="13.9" customHeight="1" x14ac:dyDescent="0.2">
      <c r="A198" s="65">
        <v>40939</v>
      </c>
      <c r="B198" s="59">
        <v>1679766.47</v>
      </c>
      <c r="C198" s="54"/>
      <c r="D198" s="65"/>
      <c r="E198" s="57"/>
      <c r="F198" s="55"/>
      <c r="G198" s="56"/>
      <c r="H198" s="65">
        <v>40939</v>
      </c>
      <c r="I198" s="59">
        <v>1365937.38</v>
      </c>
    </row>
    <row r="199" spans="1:9" ht="13.9" customHeight="1" x14ac:dyDescent="0.2">
      <c r="A199" s="65">
        <v>40967</v>
      </c>
      <c r="B199" s="59">
        <v>2716708.29</v>
      </c>
      <c r="C199" s="54"/>
      <c r="D199" s="65"/>
      <c r="E199" s="59"/>
      <c r="F199" s="55"/>
      <c r="G199" s="56"/>
      <c r="H199" s="65">
        <v>40967</v>
      </c>
      <c r="I199" s="59">
        <v>2232415.94</v>
      </c>
    </row>
    <row r="200" spans="1:9" ht="13.9" customHeight="1" x14ac:dyDescent="0.2">
      <c r="A200" s="65">
        <v>40999</v>
      </c>
      <c r="B200" s="59">
        <v>1845768.16</v>
      </c>
      <c r="C200" s="54"/>
      <c r="D200" s="65"/>
      <c r="E200" s="59"/>
      <c r="F200" s="55"/>
      <c r="G200" s="56"/>
      <c r="H200" s="65">
        <v>40999</v>
      </c>
      <c r="I200" s="59">
        <v>1511251.51</v>
      </c>
    </row>
    <row r="201" spans="1:9" ht="13.9" customHeight="1" x14ac:dyDescent="0.2">
      <c r="A201" s="65">
        <v>41029</v>
      </c>
      <c r="B201" s="59">
        <v>1686396.9</v>
      </c>
      <c r="C201" s="54"/>
      <c r="D201" s="65"/>
      <c r="E201" s="59"/>
      <c r="F201" s="55"/>
      <c r="G201" s="56"/>
      <c r="H201" s="65">
        <v>41029</v>
      </c>
      <c r="I201" s="59">
        <v>1442713.55</v>
      </c>
    </row>
    <row r="202" spans="1:9" ht="13.9" customHeight="1" x14ac:dyDescent="0.2">
      <c r="A202" s="65">
        <v>41060</v>
      </c>
      <c r="B202" s="59">
        <v>2477438.92</v>
      </c>
      <c r="C202" s="54"/>
      <c r="D202" s="65"/>
      <c r="E202" s="59"/>
      <c r="F202" s="55"/>
      <c r="G202" s="56"/>
      <c r="H202" s="65">
        <v>41060</v>
      </c>
      <c r="I202" s="59">
        <v>2142846.4300000002</v>
      </c>
    </row>
    <row r="203" spans="1:9" ht="13.9" customHeight="1" x14ac:dyDescent="0.2">
      <c r="A203" s="65">
        <v>41090</v>
      </c>
      <c r="B203" s="66">
        <v>2276107.9500000002</v>
      </c>
      <c r="C203" s="54"/>
      <c r="D203" s="65"/>
      <c r="E203" s="57"/>
      <c r="F203" s="55"/>
      <c r="G203" s="56"/>
      <c r="H203" s="65">
        <v>41090</v>
      </c>
      <c r="I203" s="66">
        <v>1899015.97</v>
      </c>
    </row>
    <row r="204" spans="1:9" ht="13.9" customHeight="1" x14ac:dyDescent="0.2">
      <c r="A204" s="65">
        <v>41121</v>
      </c>
      <c r="B204" s="59">
        <v>1782327.99</v>
      </c>
      <c r="C204" s="54"/>
      <c r="D204" s="17">
        <v>41121</v>
      </c>
      <c r="E204" s="59">
        <v>186910.5</v>
      </c>
      <c r="F204" s="55"/>
      <c r="G204" s="56"/>
      <c r="H204" s="65">
        <v>41121</v>
      </c>
      <c r="I204" s="66">
        <v>1466181.86</v>
      </c>
    </row>
    <row r="205" spans="1:9" ht="13.9" customHeight="1" x14ac:dyDescent="0.2">
      <c r="A205" s="65">
        <v>41152</v>
      </c>
      <c r="B205" s="66">
        <v>2731417.39</v>
      </c>
      <c r="C205" s="54"/>
      <c r="D205" s="65"/>
      <c r="E205" s="57"/>
      <c r="F205" s="55"/>
      <c r="G205" s="56"/>
      <c r="H205" s="65">
        <v>41152</v>
      </c>
      <c r="I205" s="66">
        <v>1465033.05</v>
      </c>
    </row>
    <row r="206" spans="1:9" ht="13.9" customHeight="1" x14ac:dyDescent="0.2">
      <c r="A206" s="65">
        <v>41182</v>
      </c>
      <c r="B206" s="66">
        <v>2017213.02</v>
      </c>
      <c r="C206" s="54"/>
      <c r="D206" s="65"/>
      <c r="E206" s="57"/>
      <c r="F206" s="55"/>
      <c r="G206" s="56"/>
      <c r="H206" s="65">
        <v>41182</v>
      </c>
      <c r="I206" s="66">
        <v>1903602.6</v>
      </c>
    </row>
    <row r="207" spans="1:9" ht="13.9" customHeight="1" x14ac:dyDescent="0.2">
      <c r="A207" s="65">
        <v>41213</v>
      </c>
      <c r="B207" s="66">
        <v>2236212.2200000002</v>
      </c>
      <c r="C207" s="54"/>
      <c r="D207" s="65"/>
      <c r="E207" s="57"/>
      <c r="F207" s="55"/>
      <c r="G207" s="56"/>
      <c r="H207" s="65">
        <v>41213</v>
      </c>
      <c r="I207" s="66">
        <v>1961461.96</v>
      </c>
    </row>
    <row r="208" spans="1:9" ht="13.9" customHeight="1" x14ac:dyDescent="0.2">
      <c r="A208" s="65">
        <v>41243</v>
      </c>
      <c r="B208" s="59">
        <v>2405903.79</v>
      </c>
      <c r="C208" s="54"/>
      <c r="D208" s="65"/>
      <c r="E208" s="57"/>
      <c r="F208" s="55"/>
      <c r="G208" s="56"/>
      <c r="H208" s="65">
        <v>41243</v>
      </c>
      <c r="I208" s="59">
        <v>2052394.21</v>
      </c>
    </row>
    <row r="209" spans="1:9" ht="13.9" customHeight="1" x14ac:dyDescent="0.2">
      <c r="A209" s="65">
        <v>41274</v>
      </c>
      <c r="B209" s="59">
        <v>1960268.28</v>
      </c>
      <c r="C209" s="54"/>
      <c r="D209" s="65"/>
      <c r="E209" s="57"/>
      <c r="F209" s="55"/>
      <c r="G209" s="56"/>
      <c r="H209" s="65">
        <v>41274</v>
      </c>
      <c r="I209" s="59">
        <v>1648760.57</v>
      </c>
    </row>
    <row r="210" spans="1:9" ht="13.9" customHeight="1" x14ac:dyDescent="0.25">
      <c r="A210" s="67" t="s">
        <v>30</v>
      </c>
      <c r="B210" s="60">
        <f>SUM(B198:B209)</f>
        <v>25815529.379999999</v>
      </c>
      <c r="C210" s="54"/>
      <c r="D210" s="67" t="s">
        <v>30</v>
      </c>
      <c r="E210" s="60">
        <f>SUM(E198:E209)</f>
        <v>186910.5</v>
      </c>
      <c r="F210" s="55"/>
      <c r="G210" s="56"/>
      <c r="H210" s="67" t="s">
        <v>30</v>
      </c>
      <c r="I210" s="60">
        <f>SUM(I198:I209)</f>
        <v>21091615.030000001</v>
      </c>
    </row>
    <row r="211" spans="1:9" x14ac:dyDescent="0.2">
      <c r="A211" s="109" t="s">
        <v>18</v>
      </c>
      <c r="B211" s="109"/>
      <c r="C211" s="44"/>
      <c r="D211" s="109" t="s">
        <v>17</v>
      </c>
      <c r="E211" s="109"/>
      <c r="F211" s="44"/>
      <c r="G211" s="44"/>
      <c r="H211" s="108" t="s">
        <v>19</v>
      </c>
      <c r="I211" s="108"/>
    </row>
    <row r="212" spans="1:9" x14ac:dyDescent="0.2">
      <c r="A212" s="50"/>
      <c r="B212" s="14" t="s">
        <v>14</v>
      </c>
      <c r="C212" s="49"/>
      <c r="D212" s="50"/>
      <c r="E212" s="14" t="s">
        <v>14</v>
      </c>
      <c r="F212" s="48"/>
      <c r="G212" s="47"/>
      <c r="H212" s="50"/>
      <c r="I212" s="14" t="s">
        <v>14</v>
      </c>
    </row>
    <row r="213" spans="1:9" x14ac:dyDescent="0.2">
      <c r="A213" s="46">
        <v>40574</v>
      </c>
      <c r="B213" s="21">
        <v>2111770.84</v>
      </c>
      <c r="C213" s="49"/>
      <c r="D213" s="46"/>
      <c r="E213" s="18"/>
      <c r="F213" s="48"/>
      <c r="G213" s="47"/>
      <c r="H213" s="46">
        <v>40574</v>
      </c>
      <c r="I213" s="21">
        <v>1588327.2</v>
      </c>
    </row>
    <row r="214" spans="1:9" x14ac:dyDescent="0.2">
      <c r="A214" s="46">
        <v>40602</v>
      </c>
      <c r="B214" s="21">
        <v>2451543.14</v>
      </c>
      <c r="C214" s="49"/>
      <c r="D214" s="46"/>
      <c r="E214" s="21"/>
      <c r="F214" s="48"/>
      <c r="G214" s="47"/>
      <c r="H214" s="46">
        <v>40602</v>
      </c>
      <c r="I214" s="21">
        <v>2044739.33</v>
      </c>
    </row>
    <row r="215" spans="1:9" x14ac:dyDescent="0.2">
      <c r="A215" s="46">
        <v>40633</v>
      </c>
      <c r="B215" s="21">
        <v>1868324.15</v>
      </c>
      <c r="C215" s="49"/>
      <c r="D215" s="46"/>
      <c r="E215" s="21"/>
      <c r="F215" s="48"/>
      <c r="G215" s="47"/>
      <c r="H215" s="46">
        <v>40633</v>
      </c>
      <c r="I215" s="21">
        <v>1510238.57</v>
      </c>
    </row>
    <row r="216" spans="1:9" x14ac:dyDescent="0.2">
      <c r="A216" s="46">
        <v>40663</v>
      </c>
      <c r="B216" s="21">
        <v>1979996.85</v>
      </c>
      <c r="C216" s="49"/>
      <c r="D216" s="46"/>
      <c r="E216" s="21"/>
      <c r="F216" s="48"/>
      <c r="G216" s="47"/>
      <c r="H216" s="46">
        <v>40663</v>
      </c>
      <c r="I216" s="21">
        <v>1473523.62</v>
      </c>
    </row>
    <row r="217" spans="1:9" x14ac:dyDescent="0.2">
      <c r="A217" s="46">
        <v>40694</v>
      </c>
      <c r="B217" s="21">
        <v>1794941.46</v>
      </c>
      <c r="C217" s="49"/>
      <c r="D217" s="46"/>
      <c r="E217" s="21"/>
      <c r="F217" s="48"/>
      <c r="G217" s="47"/>
      <c r="H217" s="46">
        <v>40694</v>
      </c>
      <c r="I217" s="21">
        <v>1640639.1</v>
      </c>
    </row>
    <row r="218" spans="1:9" x14ac:dyDescent="0.2">
      <c r="A218" s="46">
        <v>40724</v>
      </c>
      <c r="B218" s="21">
        <v>2483084.96</v>
      </c>
      <c r="C218" s="49"/>
      <c r="D218" s="46"/>
      <c r="E218" s="18"/>
      <c r="F218" s="48"/>
      <c r="G218" s="47"/>
      <c r="H218" s="46">
        <v>40724</v>
      </c>
      <c r="I218" s="21">
        <v>1832093.03</v>
      </c>
    </row>
    <row r="219" spans="1:9" x14ac:dyDescent="0.2">
      <c r="A219" s="46">
        <v>40755</v>
      </c>
      <c r="B219" s="21">
        <v>1907382.21</v>
      </c>
      <c r="C219" s="49"/>
      <c r="D219" s="17">
        <v>40755</v>
      </c>
      <c r="E219" s="21">
        <v>132251.5</v>
      </c>
      <c r="F219" s="48"/>
      <c r="G219" s="47"/>
      <c r="H219" s="46">
        <v>40755</v>
      </c>
      <c r="I219" s="21">
        <v>1707252.73</v>
      </c>
    </row>
    <row r="220" spans="1:9" x14ac:dyDescent="0.2">
      <c r="A220" s="46">
        <v>40786</v>
      </c>
      <c r="B220" s="21">
        <v>2132109.75</v>
      </c>
      <c r="C220" s="49"/>
      <c r="D220" s="46"/>
      <c r="E220" s="18"/>
      <c r="F220" s="48"/>
      <c r="G220" s="47"/>
      <c r="H220" s="46">
        <v>40786</v>
      </c>
      <c r="I220" s="21">
        <v>1657437.79</v>
      </c>
    </row>
    <row r="221" spans="1:9" x14ac:dyDescent="0.2">
      <c r="A221" s="46">
        <v>40816</v>
      </c>
      <c r="B221" s="21">
        <v>2309685.08</v>
      </c>
      <c r="C221" s="49"/>
      <c r="D221" s="46"/>
      <c r="E221" s="18"/>
      <c r="F221" s="48"/>
      <c r="G221" s="47"/>
      <c r="H221" s="46">
        <v>40816</v>
      </c>
      <c r="I221" s="21">
        <v>1937565.94</v>
      </c>
    </row>
    <row r="222" spans="1:9" x14ac:dyDescent="0.2">
      <c r="A222" s="46">
        <v>40847</v>
      </c>
      <c r="B222" s="21">
        <v>2146500.0499999998</v>
      </c>
      <c r="C222" s="49"/>
      <c r="D222" s="46"/>
      <c r="E222" s="18"/>
      <c r="F222" s="48"/>
      <c r="G222" s="47"/>
      <c r="H222" s="46">
        <v>40847</v>
      </c>
      <c r="I222" s="21">
        <v>1759559.84</v>
      </c>
    </row>
    <row r="223" spans="1:9" x14ac:dyDescent="0.2">
      <c r="A223" s="46">
        <v>40877</v>
      </c>
      <c r="B223" s="21">
        <v>2411135.41</v>
      </c>
      <c r="C223" s="49"/>
      <c r="D223" s="46"/>
      <c r="E223" s="18"/>
      <c r="F223" s="48"/>
      <c r="G223" s="47"/>
      <c r="H223" s="46">
        <v>40877</v>
      </c>
      <c r="I223" s="21">
        <v>1857178.68</v>
      </c>
    </row>
    <row r="224" spans="1:9" x14ac:dyDescent="0.2">
      <c r="A224" s="46">
        <v>40908</v>
      </c>
      <c r="B224" s="21">
        <v>2315211.33</v>
      </c>
      <c r="C224" s="49"/>
      <c r="D224" s="46"/>
      <c r="E224" s="18"/>
      <c r="F224" s="48"/>
      <c r="G224" s="47"/>
      <c r="H224" s="46">
        <v>40908</v>
      </c>
      <c r="I224" s="21">
        <v>1947484.6</v>
      </c>
    </row>
    <row r="225" spans="1:12" x14ac:dyDescent="0.2">
      <c r="A225" s="24" t="s">
        <v>15</v>
      </c>
      <c r="B225" s="20">
        <f>SUM(B213:B224)</f>
        <v>25911685.230000004</v>
      </c>
      <c r="C225" s="49"/>
      <c r="D225" s="24" t="s">
        <v>15</v>
      </c>
      <c r="E225" s="20">
        <f>SUM(E213:E224)</f>
        <v>132251.5</v>
      </c>
      <c r="F225" s="48"/>
      <c r="G225" s="47"/>
      <c r="H225" s="24" t="s">
        <v>15</v>
      </c>
      <c r="I225" s="20">
        <f>SUM(I213:I224)</f>
        <v>20956040.430000003</v>
      </c>
    </row>
    <row r="226" spans="1:12" x14ac:dyDescent="0.2">
      <c r="A226" s="5"/>
      <c r="B226" s="5"/>
      <c r="C226" s="5"/>
      <c r="D226" s="5"/>
      <c r="E226" s="5"/>
      <c r="F226" s="44"/>
      <c r="G226" s="44"/>
      <c r="H226" s="45"/>
      <c r="I226" s="45"/>
      <c r="K226" s="5"/>
      <c r="L226" s="5"/>
    </row>
    <row r="227" spans="1:12" x14ac:dyDescent="0.2">
      <c r="F227" s="44"/>
      <c r="G227" s="44"/>
      <c r="H227" s="45"/>
      <c r="I227" s="45"/>
    </row>
    <row r="228" spans="1:12" x14ac:dyDescent="0.2">
      <c r="F228" s="44"/>
      <c r="G228" s="44"/>
      <c r="H228" s="45"/>
      <c r="I228" s="45"/>
    </row>
    <row r="229" spans="1:12" x14ac:dyDescent="0.2">
      <c r="F229" s="44"/>
      <c r="G229" s="44"/>
      <c r="H229" s="45"/>
      <c r="I229" s="45"/>
    </row>
    <row r="230" spans="1:12" x14ac:dyDescent="0.2">
      <c r="A230" s="11"/>
      <c r="B230" s="44"/>
      <c r="C230" s="42"/>
      <c r="D230" s="42"/>
      <c r="E230" s="42"/>
      <c r="F230" s="44"/>
      <c r="G230" s="44"/>
      <c r="H230" s="45"/>
      <c r="I230" s="45"/>
    </row>
    <row r="231" spans="1:12" x14ac:dyDescent="0.2">
      <c r="D231" s="42"/>
      <c r="E231" s="42"/>
      <c r="F231" s="44"/>
      <c r="G231" s="44"/>
      <c r="H231" s="45"/>
      <c r="I231" s="45"/>
    </row>
    <row r="232" spans="1:12" x14ac:dyDescent="0.2">
      <c r="D232" s="42"/>
      <c r="E232" s="42"/>
      <c r="F232" s="44"/>
      <c r="G232" s="44"/>
      <c r="H232" s="45"/>
      <c r="I232" s="45"/>
    </row>
    <row r="233" spans="1:12" x14ac:dyDescent="0.2">
      <c r="D233" s="42"/>
      <c r="E233" s="42"/>
      <c r="F233" s="44"/>
      <c r="G233" s="44"/>
      <c r="H233" s="45"/>
      <c r="I233" s="45"/>
    </row>
    <row r="234" spans="1:12" x14ac:dyDescent="0.2">
      <c r="D234" s="42"/>
      <c r="E234" s="42"/>
      <c r="F234" s="44"/>
      <c r="G234" s="44"/>
      <c r="H234" s="45"/>
      <c r="I234" s="45"/>
    </row>
    <row r="235" spans="1:12" x14ac:dyDescent="0.2">
      <c r="D235" s="42"/>
      <c r="E235" s="42"/>
      <c r="F235" s="44"/>
      <c r="G235" s="44"/>
      <c r="H235" s="45"/>
      <c r="I235" s="45"/>
    </row>
    <row r="236" spans="1:12" x14ac:dyDescent="0.2">
      <c r="D236" s="42"/>
      <c r="E236" s="42"/>
      <c r="F236" s="44"/>
      <c r="G236" s="44"/>
      <c r="H236" s="45"/>
      <c r="I236" s="45"/>
    </row>
    <row r="237" spans="1:12" x14ac:dyDescent="0.2">
      <c r="D237" s="42"/>
      <c r="E237" s="42"/>
      <c r="F237" s="44"/>
      <c r="G237" s="44"/>
      <c r="H237" s="43"/>
      <c r="I237" s="42"/>
    </row>
    <row r="238" spans="1:12" x14ac:dyDescent="0.2">
      <c r="D238" s="42"/>
      <c r="E238" s="42"/>
      <c r="F238" s="44"/>
      <c r="G238" s="44"/>
      <c r="H238" s="43"/>
      <c r="I238" s="42"/>
    </row>
    <row r="239" spans="1:12" x14ac:dyDescent="0.2">
      <c r="D239" s="42"/>
      <c r="E239" s="42"/>
      <c r="F239" s="44"/>
      <c r="G239" s="44"/>
      <c r="H239" s="43"/>
      <c r="I239" s="42"/>
    </row>
    <row r="240" spans="1:12" x14ac:dyDescent="0.2">
      <c r="D240" s="42"/>
      <c r="E240" s="42"/>
      <c r="F240" s="44"/>
      <c r="G240" s="44"/>
      <c r="H240" s="43"/>
      <c r="I240" s="42"/>
    </row>
    <row r="241" spans="1:9" x14ac:dyDescent="0.2">
      <c r="D241" s="42"/>
      <c r="E241" s="42"/>
      <c r="F241" s="44"/>
      <c r="G241" s="44"/>
      <c r="H241" s="43"/>
      <c r="I241" s="42"/>
    </row>
    <row r="242" spans="1:9" x14ac:dyDescent="0.2">
      <c r="D242" s="42"/>
      <c r="E242" s="42"/>
      <c r="F242" s="44"/>
      <c r="G242" s="44"/>
      <c r="H242" s="43"/>
      <c r="I242" s="42"/>
    </row>
    <row r="243" spans="1:9" x14ac:dyDescent="0.2">
      <c r="D243" s="42"/>
      <c r="E243" s="42"/>
      <c r="F243" s="44"/>
      <c r="G243" s="44"/>
      <c r="H243" s="43"/>
      <c r="I243" s="42"/>
    </row>
    <row r="244" spans="1:9" x14ac:dyDescent="0.2">
      <c r="A244" s="43"/>
      <c r="B244" s="42"/>
      <c r="C244" s="42"/>
      <c r="D244" s="42"/>
      <c r="E244" s="42"/>
      <c r="F244" s="44"/>
      <c r="G244" s="44"/>
      <c r="H244" s="43"/>
      <c r="I244" s="42"/>
    </row>
    <row r="245" spans="1:9" x14ac:dyDescent="0.2">
      <c r="A245" s="43"/>
      <c r="B245" s="42"/>
      <c r="C245" s="42"/>
      <c r="D245" s="42"/>
      <c r="E245" s="42"/>
      <c r="F245" s="44"/>
      <c r="G245" s="44"/>
      <c r="H245" s="43"/>
      <c r="I245" s="42"/>
    </row>
    <row r="246" spans="1:9" x14ac:dyDescent="0.2">
      <c r="A246" s="43"/>
      <c r="B246" s="42"/>
      <c r="C246" s="42"/>
      <c r="D246" s="42"/>
      <c r="E246" s="42"/>
      <c r="F246" s="44"/>
      <c r="G246" s="44"/>
      <c r="H246" s="43"/>
      <c r="I246" s="42"/>
    </row>
    <row r="247" spans="1:9" x14ac:dyDescent="0.2">
      <c r="A247" s="43"/>
      <c r="B247" s="42"/>
      <c r="C247" s="42"/>
      <c r="D247" s="42"/>
      <c r="E247" s="42"/>
      <c r="F247" s="44"/>
      <c r="G247" s="44"/>
      <c r="H247" s="43"/>
      <c r="I247" s="42"/>
    </row>
    <row r="248" spans="1:9" x14ac:dyDescent="0.2">
      <c r="A248" s="43"/>
      <c r="B248" s="42"/>
      <c r="C248" s="42"/>
      <c r="D248" s="42"/>
      <c r="E248" s="42"/>
      <c r="F248" s="44"/>
      <c r="G248" s="44"/>
      <c r="H248" s="43"/>
      <c r="I248" s="42"/>
    </row>
    <row r="249" spans="1:9" x14ac:dyDescent="0.2">
      <c r="A249" s="43"/>
      <c r="B249" s="42"/>
      <c r="C249" s="42"/>
      <c r="D249" s="42"/>
      <c r="E249" s="42"/>
      <c r="F249" s="44"/>
      <c r="G249" s="44"/>
      <c r="H249" s="43"/>
      <c r="I249" s="42"/>
    </row>
    <row r="250" spans="1:9" x14ac:dyDescent="0.2">
      <c r="A250" s="43"/>
      <c r="B250" s="42"/>
      <c r="C250" s="42"/>
      <c r="D250" s="42"/>
      <c r="E250" s="42"/>
      <c r="F250" s="44"/>
      <c r="G250" s="44"/>
      <c r="H250" s="43"/>
      <c r="I250" s="42"/>
    </row>
    <row r="251" spans="1:9" x14ac:dyDescent="0.2">
      <c r="A251" s="43"/>
      <c r="B251" s="42"/>
      <c r="C251" s="42"/>
      <c r="D251" s="42"/>
      <c r="E251" s="42"/>
      <c r="F251" s="44"/>
      <c r="G251" s="44"/>
      <c r="H251" s="43"/>
      <c r="I251" s="42"/>
    </row>
    <row r="252" spans="1:9" x14ac:dyDescent="0.2">
      <c r="A252" s="43"/>
      <c r="B252" s="42"/>
      <c r="C252" s="42"/>
      <c r="D252" s="42"/>
      <c r="E252" s="42"/>
      <c r="F252" s="44"/>
      <c r="G252" s="44"/>
      <c r="H252" s="43"/>
      <c r="I252" s="42"/>
    </row>
    <row r="253" spans="1:9" x14ac:dyDescent="0.2">
      <c r="A253" s="43"/>
      <c r="B253" s="42"/>
      <c r="C253" s="42"/>
      <c r="D253" s="42"/>
      <c r="E253" s="42"/>
      <c r="F253" s="44"/>
      <c r="G253" s="44"/>
      <c r="H253" s="43"/>
      <c r="I253" s="42"/>
    </row>
    <row r="254" spans="1:9" x14ac:dyDescent="0.2">
      <c r="A254" s="43"/>
      <c r="B254" s="42"/>
      <c r="C254" s="42"/>
      <c r="D254" s="42"/>
      <c r="E254" s="42"/>
      <c r="F254" s="44"/>
      <c r="G254" s="44"/>
      <c r="H254" s="43"/>
      <c r="I254" s="42"/>
    </row>
    <row r="255" spans="1:9" x14ac:dyDescent="0.2">
      <c r="A255" s="43"/>
      <c r="B255" s="42"/>
      <c r="C255" s="42"/>
      <c r="D255" s="42"/>
      <c r="E255" s="42"/>
      <c r="F255" s="44"/>
      <c r="G255" s="44"/>
      <c r="H255" s="43"/>
      <c r="I255" s="42"/>
    </row>
    <row r="256" spans="1:9" x14ac:dyDescent="0.2">
      <c r="A256" s="43"/>
      <c r="B256" s="42"/>
      <c r="C256" s="42"/>
      <c r="D256" s="42"/>
      <c r="E256" s="42"/>
      <c r="F256" s="44"/>
      <c r="G256" s="44"/>
      <c r="H256" s="43"/>
      <c r="I256" s="42"/>
    </row>
    <row r="257" spans="1:9" x14ac:dyDescent="0.2">
      <c r="A257" s="43"/>
      <c r="B257" s="42"/>
      <c r="C257" s="42"/>
      <c r="D257" s="42"/>
      <c r="E257" s="42"/>
      <c r="F257" s="44"/>
      <c r="G257" s="44"/>
      <c r="H257" s="43"/>
      <c r="I257" s="42"/>
    </row>
    <row r="258" spans="1:9" x14ac:dyDescent="0.2">
      <c r="A258" s="43"/>
      <c r="B258" s="42"/>
      <c r="C258" s="42"/>
      <c r="D258" s="42"/>
      <c r="E258" s="42"/>
      <c r="F258" s="44"/>
      <c r="G258" s="44"/>
      <c r="H258" s="43"/>
      <c r="I258" s="42"/>
    </row>
    <row r="259" spans="1:9" x14ac:dyDescent="0.2">
      <c r="A259" s="43"/>
      <c r="B259" s="42"/>
      <c r="C259" s="42"/>
      <c r="D259" s="42"/>
      <c r="E259" s="42"/>
      <c r="F259" s="44"/>
      <c r="G259" s="44"/>
      <c r="H259" s="43"/>
      <c r="I259" s="42"/>
    </row>
    <row r="260" spans="1:9" x14ac:dyDescent="0.2">
      <c r="A260" s="43"/>
      <c r="B260" s="42"/>
      <c r="C260" s="42"/>
      <c r="D260" s="42"/>
      <c r="E260" s="42"/>
      <c r="F260" s="44"/>
      <c r="G260" s="44"/>
      <c r="H260" s="43"/>
      <c r="I260" s="42"/>
    </row>
    <row r="261" spans="1:9" x14ac:dyDescent="0.2">
      <c r="A261" s="43"/>
      <c r="B261" s="42"/>
      <c r="C261" s="42"/>
      <c r="D261" s="42"/>
      <c r="E261" s="42"/>
      <c r="F261" s="44"/>
      <c r="G261" s="44"/>
      <c r="H261" s="43"/>
      <c r="I261" s="42"/>
    </row>
    <row r="262" spans="1:9" x14ac:dyDescent="0.2">
      <c r="A262" s="43"/>
      <c r="B262" s="42"/>
      <c r="C262" s="42"/>
      <c r="D262" s="42"/>
      <c r="E262" s="42"/>
      <c r="F262" s="44"/>
      <c r="G262" s="44"/>
      <c r="H262" s="43"/>
      <c r="I262" s="42"/>
    </row>
    <row r="263" spans="1:9" x14ac:dyDescent="0.2">
      <c r="A263" s="43"/>
      <c r="B263" s="42"/>
      <c r="C263" s="42"/>
      <c r="D263" s="42"/>
      <c r="E263" s="42"/>
      <c r="F263" s="44"/>
      <c r="G263" s="44"/>
      <c r="H263" s="43"/>
      <c r="I263" s="42"/>
    </row>
    <row r="264" spans="1:9" x14ac:dyDescent="0.2">
      <c r="A264" s="43"/>
      <c r="B264" s="42"/>
      <c r="C264" s="42"/>
      <c r="D264" s="42"/>
      <c r="E264" s="42"/>
      <c r="F264" s="44"/>
      <c r="G264" s="44"/>
      <c r="H264" s="43"/>
      <c r="I264" s="42"/>
    </row>
    <row r="265" spans="1:9" x14ac:dyDescent="0.2">
      <c r="A265" s="43"/>
      <c r="B265" s="42"/>
      <c r="C265" s="42"/>
      <c r="D265" s="42"/>
      <c r="E265" s="42"/>
      <c r="F265" s="44"/>
      <c r="G265" s="44"/>
      <c r="H265" s="43"/>
      <c r="I265" s="42"/>
    </row>
    <row r="266" spans="1:9" x14ac:dyDescent="0.2">
      <c r="A266" s="43"/>
      <c r="B266" s="42"/>
      <c r="C266" s="42"/>
      <c r="D266" s="42"/>
      <c r="E266" s="42"/>
      <c r="F266" s="44"/>
      <c r="G266" s="44"/>
      <c r="H266" s="43"/>
      <c r="I266" s="42"/>
    </row>
    <row r="267" spans="1:9" x14ac:dyDescent="0.2">
      <c r="A267" s="43"/>
      <c r="B267" s="42"/>
      <c r="C267" s="42"/>
      <c r="D267" s="42"/>
      <c r="E267" s="42"/>
      <c r="F267" s="44"/>
      <c r="G267" s="44"/>
      <c r="H267" s="43"/>
      <c r="I267" s="42"/>
    </row>
    <row r="268" spans="1:9" x14ac:dyDescent="0.2">
      <c r="A268" s="43"/>
      <c r="B268" s="42"/>
      <c r="C268" s="42"/>
      <c r="D268" s="42"/>
      <c r="E268" s="42"/>
      <c r="F268" s="44"/>
      <c r="G268" s="44"/>
      <c r="H268" s="43"/>
      <c r="I268" s="42"/>
    </row>
    <row r="269" spans="1:9" x14ac:dyDescent="0.2">
      <c r="A269" s="43"/>
      <c r="B269" s="42"/>
      <c r="C269" s="42"/>
      <c r="D269" s="42"/>
      <c r="E269" s="42"/>
      <c r="F269" s="44"/>
      <c r="G269" s="44"/>
      <c r="H269" s="43"/>
      <c r="I269" s="42"/>
    </row>
    <row r="270" spans="1:9" x14ac:dyDescent="0.2">
      <c r="A270" s="43"/>
      <c r="B270" s="42"/>
      <c r="C270" s="42"/>
      <c r="D270" s="42"/>
      <c r="E270" s="42"/>
      <c r="F270" s="44"/>
      <c r="G270" s="44"/>
      <c r="H270" s="43"/>
      <c r="I270" s="42"/>
    </row>
    <row r="271" spans="1:9" x14ac:dyDescent="0.2">
      <c r="A271" s="43"/>
      <c r="B271" s="42"/>
      <c r="C271" s="42"/>
      <c r="D271" s="42"/>
      <c r="E271" s="42"/>
      <c r="F271" s="44"/>
      <c r="G271" s="44"/>
      <c r="H271" s="43"/>
      <c r="I271" s="42"/>
    </row>
    <row r="272" spans="1:9" x14ac:dyDescent="0.2">
      <c r="A272" s="43"/>
      <c r="B272" s="42"/>
      <c r="C272" s="42"/>
      <c r="D272" s="42"/>
      <c r="E272" s="42"/>
      <c r="F272" s="44"/>
      <c r="G272" s="44"/>
      <c r="H272" s="43"/>
      <c r="I272" s="42"/>
    </row>
    <row r="273" spans="1:9" x14ac:dyDescent="0.2">
      <c r="A273" s="43"/>
      <c r="B273" s="42"/>
      <c r="C273" s="42"/>
      <c r="D273" s="42"/>
      <c r="E273" s="42"/>
      <c r="F273" s="44"/>
      <c r="G273" s="44"/>
      <c r="H273" s="43"/>
      <c r="I273" s="42"/>
    </row>
    <row r="274" spans="1:9" x14ac:dyDescent="0.2">
      <c r="A274" s="43"/>
      <c r="B274" s="42"/>
      <c r="C274" s="42"/>
      <c r="D274" s="42"/>
      <c r="E274" s="42"/>
      <c r="F274" s="44"/>
      <c r="G274" s="44"/>
      <c r="H274" s="43"/>
      <c r="I274" s="42"/>
    </row>
    <row r="275" spans="1:9" x14ac:dyDescent="0.2">
      <c r="A275" s="43"/>
      <c r="B275" s="42"/>
      <c r="C275" s="42"/>
      <c r="D275" s="42"/>
      <c r="E275" s="42"/>
      <c r="F275" s="44"/>
      <c r="G275" s="44"/>
      <c r="H275" s="43"/>
      <c r="I275" s="42"/>
    </row>
    <row r="276" spans="1:9" x14ac:dyDescent="0.2">
      <c r="A276" s="43"/>
      <c r="B276" s="42"/>
      <c r="C276" s="42"/>
      <c r="D276" s="42"/>
      <c r="E276" s="42"/>
      <c r="F276" s="44"/>
      <c r="G276" s="44"/>
      <c r="H276" s="43"/>
      <c r="I276" s="42"/>
    </row>
    <row r="277" spans="1:9" x14ac:dyDescent="0.2">
      <c r="A277" s="43"/>
      <c r="B277" s="42"/>
      <c r="C277" s="42"/>
      <c r="D277" s="42"/>
      <c r="E277" s="42"/>
      <c r="F277" s="44"/>
      <c r="G277" s="44"/>
      <c r="H277" s="43"/>
      <c r="I277" s="42"/>
    </row>
    <row r="278" spans="1:9" x14ac:dyDescent="0.2">
      <c r="A278" s="43"/>
      <c r="B278" s="42"/>
      <c r="C278" s="42"/>
      <c r="D278" s="42"/>
      <c r="E278" s="42"/>
      <c r="F278" s="44"/>
      <c r="G278" s="44"/>
      <c r="H278" s="43"/>
      <c r="I278" s="42"/>
    </row>
    <row r="279" spans="1:9" x14ac:dyDescent="0.2">
      <c r="A279" s="43"/>
      <c r="B279" s="42"/>
      <c r="C279" s="42"/>
      <c r="D279" s="42"/>
      <c r="E279" s="42"/>
      <c r="F279" s="44"/>
      <c r="G279" s="44"/>
      <c r="H279" s="43"/>
      <c r="I279" s="42"/>
    </row>
    <row r="280" spans="1:9" x14ac:dyDescent="0.2">
      <c r="A280" s="43"/>
      <c r="B280" s="42"/>
      <c r="C280" s="42"/>
      <c r="D280" s="42"/>
      <c r="E280" s="42"/>
      <c r="F280" s="44"/>
      <c r="G280" s="44"/>
      <c r="H280" s="43"/>
      <c r="I280" s="42"/>
    </row>
    <row r="281" spans="1:9" x14ac:dyDescent="0.2">
      <c r="F281" s="25"/>
      <c r="G281" s="25"/>
    </row>
    <row r="282" spans="1:9" x14ac:dyDescent="0.2">
      <c r="F282" s="25"/>
      <c r="G282" s="25"/>
    </row>
    <row r="283" spans="1:9" x14ac:dyDescent="0.2">
      <c r="F283" s="25"/>
      <c r="G283" s="25"/>
    </row>
    <row r="284" spans="1:9" x14ac:dyDescent="0.2">
      <c r="F284" s="25"/>
      <c r="G284" s="25"/>
    </row>
    <row r="285" spans="1:9" x14ac:dyDescent="0.2">
      <c r="F285" s="25"/>
      <c r="G285" s="25"/>
    </row>
    <row r="286" spans="1:9" x14ac:dyDescent="0.2">
      <c r="F286" s="25"/>
      <c r="G286" s="25"/>
    </row>
    <row r="287" spans="1:9" x14ac:dyDescent="0.2">
      <c r="F287" s="25"/>
      <c r="G287" s="25"/>
    </row>
    <row r="288" spans="1:9" x14ac:dyDescent="0.2">
      <c r="F288" s="25"/>
      <c r="G288" s="25"/>
    </row>
    <row r="289" spans="6:7" x14ac:dyDescent="0.2">
      <c r="F289" s="25"/>
      <c r="G289" s="25"/>
    </row>
    <row r="290" spans="6:7" x14ac:dyDescent="0.2">
      <c r="F290" s="25"/>
      <c r="G290" s="25"/>
    </row>
    <row r="291" spans="6:7" x14ac:dyDescent="0.2">
      <c r="F291" s="25"/>
      <c r="G291" s="25"/>
    </row>
    <row r="292" spans="6:7" x14ac:dyDescent="0.2">
      <c r="F292" s="25"/>
      <c r="G292" s="25"/>
    </row>
    <row r="293" spans="6:7" x14ac:dyDescent="0.2">
      <c r="F293" s="25"/>
      <c r="G293" s="25"/>
    </row>
    <row r="294" spans="6:7" x14ac:dyDescent="0.2">
      <c r="F294" s="25"/>
      <c r="G294" s="25"/>
    </row>
    <row r="295" spans="6:7" x14ac:dyDescent="0.2">
      <c r="F295" s="25"/>
      <c r="G295" s="25"/>
    </row>
    <row r="296" spans="6:7" x14ac:dyDescent="0.2">
      <c r="F296" s="25"/>
      <c r="G296" s="25"/>
    </row>
    <row r="297" spans="6:7" x14ac:dyDescent="0.2">
      <c r="F297" s="25"/>
      <c r="G297" s="25"/>
    </row>
    <row r="298" spans="6:7" x14ac:dyDescent="0.2">
      <c r="F298" s="25"/>
      <c r="G298" s="25"/>
    </row>
    <row r="299" spans="6:7" x14ac:dyDescent="0.2">
      <c r="F299" s="25"/>
      <c r="G299" s="25"/>
    </row>
    <row r="300" spans="6:7" x14ac:dyDescent="0.2">
      <c r="F300" s="25"/>
    </row>
    <row r="301" spans="6:7" x14ac:dyDescent="0.2">
      <c r="F301" s="25"/>
    </row>
    <row r="302" spans="6:7" x14ac:dyDescent="0.2">
      <c r="F302" s="25"/>
    </row>
    <row r="303" spans="6:7" x14ac:dyDescent="0.2">
      <c r="F303" s="25"/>
    </row>
    <row r="304" spans="6:7" x14ac:dyDescent="0.2">
      <c r="F304" s="25"/>
    </row>
    <row r="305" spans="6:6" x14ac:dyDescent="0.2">
      <c r="F305" s="25"/>
    </row>
    <row r="306" spans="6:6" x14ac:dyDescent="0.2">
      <c r="F306" s="25"/>
    </row>
    <row r="307" spans="6:6" x14ac:dyDescent="0.2">
      <c r="F307" s="25"/>
    </row>
    <row r="308" spans="6:6" x14ac:dyDescent="0.2">
      <c r="F308" s="25"/>
    </row>
    <row r="309" spans="6:6" x14ac:dyDescent="0.2">
      <c r="F309" s="25"/>
    </row>
    <row r="310" spans="6:6" x14ac:dyDescent="0.2">
      <c r="F310" s="25"/>
    </row>
    <row r="311" spans="6:6" x14ac:dyDescent="0.2">
      <c r="F311" s="25"/>
    </row>
    <row r="312" spans="6:6" x14ac:dyDescent="0.2">
      <c r="F312" s="25"/>
    </row>
    <row r="313" spans="6:6" x14ac:dyDescent="0.2">
      <c r="F313" s="25"/>
    </row>
    <row r="314" spans="6:6" x14ac:dyDescent="0.2">
      <c r="F314" s="25"/>
    </row>
    <row r="315" spans="6:6" x14ac:dyDescent="0.2">
      <c r="F315" s="25"/>
    </row>
    <row r="316" spans="6:6" x14ac:dyDescent="0.2">
      <c r="F316" s="25"/>
    </row>
    <row r="317" spans="6:6" x14ac:dyDescent="0.2">
      <c r="F317" s="25"/>
    </row>
    <row r="318" spans="6:6" x14ac:dyDescent="0.2">
      <c r="F318" s="25"/>
    </row>
    <row r="319" spans="6:6" x14ac:dyDescent="0.2">
      <c r="F319" s="25"/>
    </row>
    <row r="320" spans="6:6" x14ac:dyDescent="0.2">
      <c r="F320" s="25"/>
    </row>
    <row r="321" spans="6:6" x14ac:dyDescent="0.2">
      <c r="F321" s="25"/>
    </row>
    <row r="322" spans="6:6" x14ac:dyDescent="0.2">
      <c r="F322" s="25"/>
    </row>
    <row r="323" spans="6:6" x14ac:dyDescent="0.2">
      <c r="F323" s="25"/>
    </row>
    <row r="324" spans="6:6" x14ac:dyDescent="0.2">
      <c r="F324" s="25"/>
    </row>
    <row r="325" spans="6:6" x14ac:dyDescent="0.2">
      <c r="F325" s="25"/>
    </row>
    <row r="326" spans="6:6" x14ac:dyDescent="0.2">
      <c r="F326" s="25"/>
    </row>
    <row r="327" spans="6:6" x14ac:dyDescent="0.2">
      <c r="F327" s="25"/>
    </row>
    <row r="328" spans="6:6" x14ac:dyDescent="0.2">
      <c r="F328" s="25"/>
    </row>
    <row r="329" spans="6:6" x14ac:dyDescent="0.2">
      <c r="F329" s="25"/>
    </row>
    <row r="330" spans="6:6" x14ac:dyDescent="0.2">
      <c r="F330" s="25"/>
    </row>
    <row r="331" spans="6:6" x14ac:dyDescent="0.2">
      <c r="F331" s="25"/>
    </row>
    <row r="332" spans="6:6" x14ac:dyDescent="0.2">
      <c r="F332" s="25"/>
    </row>
    <row r="333" spans="6:6" x14ac:dyDescent="0.2">
      <c r="F333" s="25"/>
    </row>
    <row r="334" spans="6:6" x14ac:dyDescent="0.2">
      <c r="F334" s="25"/>
    </row>
    <row r="335" spans="6:6" x14ac:dyDescent="0.2">
      <c r="F335" s="25"/>
    </row>
    <row r="336" spans="6:6" x14ac:dyDescent="0.2">
      <c r="F336" s="25"/>
    </row>
    <row r="337" spans="6:6" x14ac:dyDescent="0.2">
      <c r="F337" s="25"/>
    </row>
    <row r="338" spans="6:6" x14ac:dyDescent="0.2">
      <c r="F338" s="25"/>
    </row>
    <row r="339" spans="6:6" x14ac:dyDescent="0.2">
      <c r="F339" s="25"/>
    </row>
    <row r="340" spans="6:6" x14ac:dyDescent="0.2">
      <c r="F340" s="25"/>
    </row>
    <row r="341" spans="6:6" x14ac:dyDescent="0.2">
      <c r="F341" s="25"/>
    </row>
    <row r="342" spans="6:6" x14ac:dyDescent="0.2">
      <c r="F342" s="25"/>
    </row>
    <row r="343" spans="6:6" x14ac:dyDescent="0.2">
      <c r="F343" s="25"/>
    </row>
    <row r="344" spans="6:6" x14ac:dyDescent="0.2">
      <c r="F344" s="25"/>
    </row>
    <row r="345" spans="6:6" x14ac:dyDescent="0.2">
      <c r="F345" s="25"/>
    </row>
    <row r="346" spans="6:6" x14ac:dyDescent="0.2">
      <c r="F346" s="25"/>
    </row>
    <row r="347" spans="6:6" x14ac:dyDescent="0.2">
      <c r="F347" s="25"/>
    </row>
    <row r="348" spans="6:6" x14ac:dyDescent="0.2">
      <c r="F348" s="25"/>
    </row>
    <row r="349" spans="6:6" x14ac:dyDescent="0.2">
      <c r="F349" s="25"/>
    </row>
    <row r="350" spans="6:6" x14ac:dyDescent="0.2">
      <c r="F350" s="25"/>
    </row>
    <row r="351" spans="6:6" x14ac:dyDescent="0.2">
      <c r="F351" s="25"/>
    </row>
    <row r="352" spans="6:6" x14ac:dyDescent="0.2">
      <c r="F352" s="25"/>
    </row>
    <row r="353" spans="6:6" x14ac:dyDescent="0.2">
      <c r="F353" s="25"/>
    </row>
    <row r="354" spans="6:6" x14ac:dyDescent="0.2">
      <c r="F354" s="25"/>
    </row>
    <row r="355" spans="6:6" x14ac:dyDescent="0.2">
      <c r="F355" s="25"/>
    </row>
    <row r="356" spans="6:6" x14ac:dyDescent="0.2">
      <c r="F356" s="25"/>
    </row>
    <row r="357" spans="6:6" x14ac:dyDescent="0.2">
      <c r="F357" s="25"/>
    </row>
    <row r="358" spans="6:6" x14ac:dyDescent="0.2">
      <c r="F358" s="25"/>
    </row>
  </sheetData>
  <mergeCells count="75">
    <mergeCell ref="A25:B25"/>
    <mergeCell ref="D25:E25"/>
    <mergeCell ref="H25:I25"/>
    <mergeCell ref="A26:B26"/>
    <mergeCell ref="D26:E26"/>
    <mergeCell ref="H26:I26"/>
    <mergeCell ref="A42:B42"/>
    <mergeCell ref="D42:E42"/>
    <mergeCell ref="H42:I42"/>
    <mergeCell ref="A43:B43"/>
    <mergeCell ref="D43:E43"/>
    <mergeCell ref="H43:I43"/>
    <mergeCell ref="A76:B76"/>
    <mergeCell ref="D76:E76"/>
    <mergeCell ref="H76:I76"/>
    <mergeCell ref="A77:B77"/>
    <mergeCell ref="D77:E77"/>
    <mergeCell ref="H77:I77"/>
    <mergeCell ref="A93:B93"/>
    <mergeCell ref="D93:E93"/>
    <mergeCell ref="H93:I93"/>
    <mergeCell ref="A94:B94"/>
    <mergeCell ref="D94:E94"/>
    <mergeCell ref="H94:I94"/>
    <mergeCell ref="A2:I2"/>
    <mergeCell ref="A1:I1"/>
    <mergeCell ref="A4:I4"/>
    <mergeCell ref="D128:E128"/>
    <mergeCell ref="H128:I128"/>
    <mergeCell ref="D6:E6"/>
    <mergeCell ref="H6:I6"/>
    <mergeCell ref="D127:E127"/>
    <mergeCell ref="H127:I127"/>
    <mergeCell ref="A6:B6"/>
    <mergeCell ref="A110:B110"/>
    <mergeCell ref="D110:E110"/>
    <mergeCell ref="H110:I110"/>
    <mergeCell ref="A111:B111"/>
    <mergeCell ref="D111:E111"/>
    <mergeCell ref="H111:I111"/>
    <mergeCell ref="A161:B161"/>
    <mergeCell ref="A127:B127"/>
    <mergeCell ref="A128:B128"/>
    <mergeCell ref="D211:E211"/>
    <mergeCell ref="D178:E178"/>
    <mergeCell ref="A162:B162"/>
    <mergeCell ref="D144:E144"/>
    <mergeCell ref="A211:B211"/>
    <mergeCell ref="A196:B196"/>
    <mergeCell ref="A195:B195"/>
    <mergeCell ref="A178:B178"/>
    <mergeCell ref="A179:B179"/>
    <mergeCell ref="H211:I211"/>
    <mergeCell ref="D196:E196"/>
    <mergeCell ref="H196:I196"/>
    <mergeCell ref="D195:E195"/>
    <mergeCell ref="H195:I195"/>
    <mergeCell ref="H178:I178"/>
    <mergeCell ref="D179:E179"/>
    <mergeCell ref="H179:I179"/>
    <mergeCell ref="D161:E161"/>
    <mergeCell ref="H161:I161"/>
    <mergeCell ref="D162:E162"/>
    <mergeCell ref="H162:I162"/>
    <mergeCell ref="H144:I144"/>
    <mergeCell ref="A145:B145"/>
    <mergeCell ref="D145:E145"/>
    <mergeCell ref="H145:I145"/>
    <mergeCell ref="A144:B144"/>
    <mergeCell ref="A59:B59"/>
    <mergeCell ref="D59:E59"/>
    <mergeCell ref="H59:I59"/>
    <mergeCell ref="A60:B60"/>
    <mergeCell ref="D60:E60"/>
    <mergeCell ref="H60:I60"/>
  </mergeCells>
  <printOptions horizontalCentered="1"/>
  <pageMargins left="0.75" right="0.75" top="0.5" bottom="0.25" header="0.25" footer="0.1"/>
  <pageSetup scale="63" fitToHeight="0" orientation="portrait" r:id="rId1"/>
  <headerFooter alignWithMargins="0">
    <oddHeader xml:space="preserve">&amp;CDepartment of Revenue
Division of Enterprise Services
</oddHeader>
    <oddFooter>&amp;C&amp;P</oddFooter>
  </headerFooter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7b1f4bc1-1c69-4382-97c7-524a76d943bf" xsi:nil="true"/>
    <_x002e_DocumentYear xmlns="9e30f06f-ad7a-453a-8e08-8a8878e30bd1">multi-year</_x002e_DocumentYear>
    <_x002e_DocumentType xmlns="9e30f06f-ad7a-453a-8e08-8a8878e30bd1">
      <Value>123</Value>
    </_x002e_DocumentType>
    <_dlc_DocId xmlns="bb65cc95-6d4e-4879-a879-9838761499af">33E6D4FPPFNA-16-4732</_dlc_DocId>
    <_x002e_Owner xmlns="9e30f06f-ad7a-453a-8e08-8a8878e30bd1">
      <Value>47</Value>
    </_x002e_Owner>
    <_dlc_DocIdUrl xmlns="bb65cc95-6d4e-4879-a879-9838761499af">
      <Url>https://revenue2016-auth-prod.wi.gov/_layouts/15/DocIdRedir.aspx?ID=33E6D4FPPFNA-16-4732</Url>
      <Description>33E6D4FPPFNA-16-4732</Description>
    </_dlc_DocIdUrl>
    <County xmlns="7b1f4bc1-1c69-4382-97c7-524a76d943b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606A71-3C6A-4420-9D00-F653D03C70E2}">
  <ds:schemaRefs>
    <ds:schemaRef ds:uri="bb65cc95-6d4e-4879-a879-9838761499af"/>
    <ds:schemaRef ds:uri="http://purl.org/dc/terms/"/>
    <ds:schemaRef ds:uri="http://purl.org/dc/elements/1.1/"/>
    <ds:schemaRef ds:uri="9e30f06f-ad7a-453a-8e08-8a8878e30bd1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b1f4bc1-1c69-4382-97c7-524a76d943b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39A9C81-B97B-48E8-A6DF-56BF1A43FD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D0491B-FF41-4808-A9F0-411E6BF2B28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B618F39-1633-4725-BE2B-877C3048B0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65cc95-6d4e-4879-a879-9838761499af"/>
    <ds:schemaRef ds:uri="9e30f06f-ad7a-453a-8e08-8a8878e30bd1"/>
    <ds:schemaRef ds:uri="7b1f4bc1-1c69-4382-97c7-524a76d943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Fiscal year</vt:lpstr>
      <vt:lpstr>Calendar year</vt:lpstr>
      <vt:lpstr>'Fiscal year'!Print_Area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Stadium Tax Distributions by Fiscal Year</dc:title>
  <dc:creator>Nilles</dc:creator>
  <cp:lastModifiedBy>Hampton, Michael F - DOR</cp:lastModifiedBy>
  <cp:lastPrinted>2024-10-03T09:22:33Z</cp:lastPrinted>
  <dcterms:created xsi:type="dcterms:W3CDTF">2003-02-26T20:40:28Z</dcterms:created>
  <dcterms:modified xsi:type="dcterms:W3CDTF">2025-01-29T22:42:38Z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8f751331-2dbb-40d3-b915-f03f408cc4ff</vt:lpwstr>
  </property>
  <property fmtid="{D5CDD505-2E9C-101B-9397-08002B2CF9AE}" pid="3" name="ContentTypeId">
    <vt:lpwstr>0x010100324BF8B79AF6B84B9E84ABAAC1B3A307</vt:lpwstr>
  </property>
  <property fmtid="{D5CDD505-2E9C-101B-9397-08002B2CF9AE}" pid="4" name="ReportGroupHeadingLookup">
    <vt:lpwstr>63</vt:lpwstr>
  </property>
</Properties>
</file>