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amptmfzww\Downloads\"/>
    </mc:Choice>
  </mc:AlternateContent>
  <xr:revisionPtr revIDLastSave="0" documentId="8_{D8F1208F-9B3E-40E8-8846-5C2AA5A122D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remier Resort" sheetId="1" r:id="rId1"/>
    <sheet name="Sheet1" sheetId="3" r:id="rId2"/>
    <sheet name="May 2016" sheetId="2" state="hidden" r:id="rId3"/>
  </sheets>
  <definedNames>
    <definedName name="_xlnm._FilterDatabase" localSheetId="2" hidden="1">'May 2016'!$1:$1</definedName>
    <definedName name="_xlnm.Print_Area" localSheetId="0">'Premier Resort'!$A$1:$J$61</definedName>
    <definedName name="_xlnm.Print_Area" localSheetId="1">Sheet1!$A$1:$J$54</definedName>
    <definedName name="_xlnm.Print_Titles" localSheetId="2">'May 2016'!$1:$1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8" i="1" l="1"/>
  <c r="I12" i="1" s="1"/>
  <c r="H8" i="1"/>
  <c r="H12" i="1" s="1"/>
  <c r="G8" i="1"/>
  <c r="G12" i="1" s="1"/>
  <c r="F8" i="1"/>
  <c r="E8" i="1"/>
  <c r="D8" i="1"/>
  <c r="D12" i="1" s="1"/>
  <c r="C8" i="1"/>
  <c r="C12" i="1" s="1"/>
  <c r="B8" i="1"/>
  <c r="B12" i="1" s="1"/>
  <c r="J11" i="1"/>
  <c r="J10" i="1"/>
  <c r="J9" i="1"/>
  <c r="F12" i="1"/>
  <c r="E12" i="1"/>
  <c r="E12" i="3"/>
  <c r="I11" i="3"/>
  <c r="H11" i="3"/>
  <c r="G11" i="3"/>
  <c r="F11" i="3"/>
  <c r="E11" i="3"/>
  <c r="D11" i="3"/>
  <c r="C11" i="3"/>
  <c r="B11" i="3"/>
  <c r="J10" i="3"/>
  <c r="I9" i="3"/>
  <c r="H9" i="3"/>
  <c r="G9" i="3"/>
  <c r="F9" i="3"/>
  <c r="J9" i="3" s="1"/>
  <c r="I8" i="3"/>
  <c r="I12" i="3" s="1"/>
  <c r="H8" i="3"/>
  <c r="H12" i="3" s="1"/>
  <c r="G8" i="3"/>
  <c r="G12" i="3" s="1"/>
  <c r="F8" i="3"/>
  <c r="E8" i="3"/>
  <c r="D8" i="3"/>
  <c r="D12" i="3" s="1"/>
  <c r="C8" i="3"/>
  <c r="C12" i="3" s="1"/>
  <c r="B8" i="3"/>
  <c r="B12" i="3" s="1"/>
  <c r="I18" i="3"/>
  <c r="H18" i="3"/>
  <c r="G18" i="3"/>
  <c r="F18" i="3"/>
  <c r="E18" i="3"/>
  <c r="D18" i="3"/>
  <c r="C18" i="3"/>
  <c r="B18" i="3"/>
  <c r="I17" i="3"/>
  <c r="H17" i="3"/>
  <c r="G17" i="3"/>
  <c r="F17" i="3"/>
  <c r="E17" i="3"/>
  <c r="D17" i="3"/>
  <c r="C17" i="3"/>
  <c r="B17" i="3"/>
  <c r="I18" i="1"/>
  <c r="H18" i="1"/>
  <c r="G18" i="1"/>
  <c r="F18" i="1"/>
  <c r="E18" i="1"/>
  <c r="D18" i="1"/>
  <c r="C18" i="1"/>
  <c r="B18" i="1"/>
  <c r="I16" i="1"/>
  <c r="H16" i="1"/>
  <c r="G16" i="1"/>
  <c r="F16" i="1"/>
  <c r="J12" i="1" l="1"/>
  <c r="J8" i="1"/>
  <c r="J11" i="3"/>
  <c r="J18" i="3"/>
  <c r="J17" i="3"/>
  <c r="F12" i="3"/>
  <c r="J12" i="3"/>
  <c r="J8" i="3"/>
  <c r="I15" i="1"/>
  <c r="I19" i="1" s="1"/>
  <c r="H15" i="1"/>
  <c r="H19" i="1" s="1"/>
  <c r="G15" i="1"/>
  <c r="G19" i="1" s="1"/>
  <c r="F15" i="1"/>
  <c r="F19" i="1" s="1"/>
  <c r="E15" i="1"/>
  <c r="E19" i="1" s="1"/>
  <c r="D15" i="1"/>
  <c r="D19" i="1" s="1"/>
  <c r="C15" i="1"/>
  <c r="C19" i="1" s="1"/>
  <c r="B15" i="1"/>
  <c r="J18" i="1"/>
  <c r="J17" i="1"/>
  <c r="J16" i="1"/>
  <c r="I25" i="1"/>
  <c r="H25" i="1"/>
  <c r="G25" i="1"/>
  <c r="F25" i="1"/>
  <c r="E25" i="1"/>
  <c r="D25" i="1"/>
  <c r="C25" i="1"/>
  <c r="B25" i="1"/>
  <c r="B24" i="1"/>
  <c r="I24" i="1"/>
  <c r="H24" i="1"/>
  <c r="G24" i="1"/>
  <c r="F24" i="1"/>
  <c r="E24" i="1"/>
  <c r="D24" i="1"/>
  <c r="C24" i="1"/>
  <c r="I23" i="1"/>
  <c r="H23" i="1"/>
  <c r="G23" i="1"/>
  <c r="F23" i="1"/>
  <c r="E23" i="1"/>
  <c r="D23" i="1"/>
  <c r="C23" i="1"/>
  <c r="B23" i="1"/>
  <c r="I16" i="3"/>
  <c r="H16" i="3"/>
  <c r="G16" i="3"/>
  <c r="F16" i="3"/>
  <c r="E16" i="3"/>
  <c r="D16" i="3"/>
  <c r="C16" i="3"/>
  <c r="B16" i="3"/>
  <c r="E136" i="3"/>
  <c r="D136" i="3"/>
  <c r="C136" i="3"/>
  <c r="B136" i="3"/>
  <c r="F135" i="3"/>
  <c r="F134" i="3"/>
  <c r="F133" i="3"/>
  <c r="F132" i="3"/>
  <c r="F131" i="3"/>
  <c r="F136" i="3" s="1"/>
  <c r="E129" i="3"/>
  <c r="D129" i="3"/>
  <c r="C129" i="3"/>
  <c r="B129" i="3"/>
  <c r="F128" i="3"/>
  <c r="F127" i="3"/>
  <c r="F126" i="3"/>
  <c r="F125" i="3"/>
  <c r="E123" i="3"/>
  <c r="D123" i="3"/>
  <c r="C123" i="3"/>
  <c r="B123" i="3"/>
  <c r="F122" i="3"/>
  <c r="F121" i="3"/>
  <c r="F120" i="3"/>
  <c r="F119" i="3"/>
  <c r="E117" i="3"/>
  <c r="D117" i="3"/>
  <c r="C117" i="3"/>
  <c r="B117" i="3"/>
  <c r="F116" i="3"/>
  <c r="F115" i="3"/>
  <c r="F114" i="3"/>
  <c r="F113" i="3"/>
  <c r="E109" i="3"/>
  <c r="D109" i="3"/>
  <c r="C109" i="3"/>
  <c r="B109" i="3"/>
  <c r="F108" i="3"/>
  <c r="F107" i="3"/>
  <c r="F106" i="3"/>
  <c r="F105" i="3"/>
  <c r="E101" i="3"/>
  <c r="D101" i="3"/>
  <c r="C101" i="3"/>
  <c r="B101" i="3"/>
  <c r="F100" i="3"/>
  <c r="F99" i="3"/>
  <c r="F98" i="3"/>
  <c r="F97" i="3"/>
  <c r="E93" i="3"/>
  <c r="D93" i="3"/>
  <c r="C93" i="3"/>
  <c r="B93" i="3"/>
  <c r="F92" i="3"/>
  <c r="F91" i="3"/>
  <c r="F90" i="3"/>
  <c r="F89" i="3"/>
  <c r="E85" i="3"/>
  <c r="D85" i="3"/>
  <c r="C85" i="3"/>
  <c r="B85" i="3"/>
  <c r="F84" i="3"/>
  <c r="F83" i="3"/>
  <c r="F82" i="3"/>
  <c r="F81" i="3"/>
  <c r="F77" i="3"/>
  <c r="E77" i="3"/>
  <c r="D77" i="3"/>
  <c r="C77" i="3"/>
  <c r="B77" i="3"/>
  <c r="G76" i="3"/>
  <c r="G75" i="3"/>
  <c r="G74" i="3"/>
  <c r="G73" i="3"/>
  <c r="F69" i="3"/>
  <c r="E69" i="3"/>
  <c r="D69" i="3"/>
  <c r="C69" i="3"/>
  <c r="B69" i="3"/>
  <c r="G68" i="3"/>
  <c r="G67" i="3"/>
  <c r="G66" i="3"/>
  <c r="G65" i="3"/>
  <c r="F61" i="3"/>
  <c r="G60" i="3"/>
  <c r="G61" i="3" s="1"/>
  <c r="F60" i="3"/>
  <c r="E60" i="3"/>
  <c r="E61" i="3" s="1"/>
  <c r="D60" i="3"/>
  <c r="D61" i="3" s="1"/>
  <c r="C60" i="3"/>
  <c r="C61" i="3" s="1"/>
  <c r="B60" i="3"/>
  <c r="B61" i="3" s="1"/>
  <c r="H59" i="3"/>
  <c r="H58" i="3"/>
  <c r="H57" i="3"/>
  <c r="H53" i="3"/>
  <c r="G53" i="3"/>
  <c r="F53" i="3"/>
  <c r="E53" i="3"/>
  <c r="D53" i="3"/>
  <c r="C53" i="3"/>
  <c r="B53" i="3"/>
  <c r="H52" i="3"/>
  <c r="G52" i="3"/>
  <c r="F52" i="3"/>
  <c r="E52" i="3"/>
  <c r="D52" i="3"/>
  <c r="C52" i="3"/>
  <c r="B52" i="3"/>
  <c r="H51" i="3"/>
  <c r="G51" i="3"/>
  <c r="F51" i="3"/>
  <c r="E51" i="3"/>
  <c r="D51" i="3"/>
  <c r="C51" i="3"/>
  <c r="B51" i="3"/>
  <c r="I51" i="3" s="1"/>
  <c r="H50" i="3"/>
  <c r="H54" i="3" s="1"/>
  <c r="G50" i="3"/>
  <c r="F50" i="3"/>
  <c r="E50" i="3"/>
  <c r="D50" i="3"/>
  <c r="C50" i="3"/>
  <c r="B50" i="3"/>
  <c r="H46" i="3"/>
  <c r="G46" i="3"/>
  <c r="F46" i="3"/>
  <c r="E46" i="3"/>
  <c r="D46" i="3"/>
  <c r="C46" i="3"/>
  <c r="B46" i="3"/>
  <c r="H45" i="3"/>
  <c r="G45" i="3"/>
  <c r="F45" i="3"/>
  <c r="E45" i="3"/>
  <c r="D45" i="3"/>
  <c r="C45" i="3"/>
  <c r="B45" i="3"/>
  <c r="H44" i="3"/>
  <c r="G44" i="3"/>
  <c r="F44" i="3"/>
  <c r="E44" i="3"/>
  <c r="D44" i="3"/>
  <c r="C44" i="3"/>
  <c r="B44" i="3"/>
  <c r="H43" i="3"/>
  <c r="G43" i="3"/>
  <c r="F43" i="3"/>
  <c r="E43" i="3"/>
  <c r="D43" i="3"/>
  <c r="D47" i="3" s="1"/>
  <c r="C43" i="3"/>
  <c r="B43" i="3"/>
  <c r="H39" i="3"/>
  <c r="G39" i="3"/>
  <c r="F39" i="3"/>
  <c r="E39" i="3"/>
  <c r="D39" i="3"/>
  <c r="C39" i="3"/>
  <c r="B39" i="3"/>
  <c r="I38" i="3"/>
  <c r="H37" i="3"/>
  <c r="G37" i="3"/>
  <c r="F37" i="3"/>
  <c r="E37" i="3"/>
  <c r="D37" i="3"/>
  <c r="C37" i="3"/>
  <c r="B37" i="3"/>
  <c r="H36" i="3"/>
  <c r="G36" i="3"/>
  <c r="F36" i="3"/>
  <c r="E36" i="3"/>
  <c r="D36" i="3"/>
  <c r="C36" i="3"/>
  <c r="C40" i="3" s="1"/>
  <c r="B36" i="3"/>
  <c r="H32" i="3"/>
  <c r="G32" i="3"/>
  <c r="F32" i="3"/>
  <c r="E32" i="3"/>
  <c r="D32" i="3"/>
  <c r="C32" i="3"/>
  <c r="B32" i="3"/>
  <c r="H31" i="3"/>
  <c r="G31" i="3"/>
  <c r="F31" i="3"/>
  <c r="E31" i="3"/>
  <c r="D31" i="3"/>
  <c r="C31" i="3"/>
  <c r="B31" i="3"/>
  <c r="H30" i="3"/>
  <c r="G30" i="3"/>
  <c r="F30" i="3"/>
  <c r="E30" i="3"/>
  <c r="D30" i="3"/>
  <c r="C30" i="3"/>
  <c r="B30" i="3"/>
  <c r="H29" i="3"/>
  <c r="G29" i="3"/>
  <c r="F29" i="3"/>
  <c r="F33" i="3" s="1"/>
  <c r="E29" i="3"/>
  <c r="D29" i="3"/>
  <c r="C29" i="3"/>
  <c r="B29" i="3"/>
  <c r="J25" i="3"/>
  <c r="I24" i="3"/>
  <c r="H24" i="3"/>
  <c r="G24" i="3"/>
  <c r="F24" i="3"/>
  <c r="E24" i="3"/>
  <c r="D24" i="3"/>
  <c r="C24" i="3"/>
  <c r="B24" i="3"/>
  <c r="I23" i="3"/>
  <c r="H23" i="3"/>
  <c r="G23" i="3"/>
  <c r="F23" i="3"/>
  <c r="E23" i="3"/>
  <c r="D23" i="3"/>
  <c r="C23" i="3"/>
  <c r="B23" i="3"/>
  <c r="I22" i="3"/>
  <c r="I26" i="3" s="1"/>
  <c r="H22" i="3"/>
  <c r="H26" i="3" s="1"/>
  <c r="G22" i="3"/>
  <c r="G26" i="3" s="1"/>
  <c r="F22" i="3"/>
  <c r="F26" i="3" s="1"/>
  <c r="E22" i="3"/>
  <c r="E26" i="3" s="1"/>
  <c r="D22" i="3"/>
  <c r="C22" i="3"/>
  <c r="C26" i="3" s="1"/>
  <c r="B22" i="3"/>
  <c r="B26" i="3" s="1"/>
  <c r="I19" i="3"/>
  <c r="I15" i="3"/>
  <c r="H15" i="3"/>
  <c r="G15" i="3"/>
  <c r="G19" i="3" s="1"/>
  <c r="F15" i="3"/>
  <c r="E15" i="3"/>
  <c r="E19" i="3" s="1"/>
  <c r="D15" i="3"/>
  <c r="C15" i="3"/>
  <c r="C19" i="3" s="1"/>
  <c r="B15" i="3"/>
  <c r="I22" i="1"/>
  <c r="H22" i="1"/>
  <c r="G22" i="1"/>
  <c r="F22" i="1"/>
  <c r="E22" i="1"/>
  <c r="D22" i="1"/>
  <c r="C22" i="1"/>
  <c r="B22" i="1"/>
  <c r="J32" i="1"/>
  <c r="G40" i="3" l="1"/>
  <c r="E54" i="3"/>
  <c r="D40" i="3"/>
  <c r="H19" i="3"/>
  <c r="B47" i="3"/>
  <c r="F54" i="3"/>
  <c r="I29" i="3"/>
  <c r="E33" i="3"/>
  <c r="F19" i="3"/>
  <c r="I52" i="3"/>
  <c r="I31" i="3"/>
  <c r="G69" i="3"/>
  <c r="J22" i="3"/>
  <c r="J23" i="3"/>
  <c r="J24" i="3"/>
  <c r="G33" i="3"/>
  <c r="I30" i="3"/>
  <c r="C47" i="3"/>
  <c r="G54" i="3"/>
  <c r="I53" i="3"/>
  <c r="G77" i="3"/>
  <c r="B33" i="3"/>
  <c r="F40" i="3"/>
  <c r="F47" i="3"/>
  <c r="B54" i="3"/>
  <c r="E40" i="3"/>
  <c r="E47" i="3"/>
  <c r="C33" i="3"/>
  <c r="I37" i="3"/>
  <c r="G47" i="3"/>
  <c r="I46" i="3"/>
  <c r="C54" i="3"/>
  <c r="D26" i="3"/>
  <c r="J26" i="3" s="1"/>
  <c r="B19" i="3"/>
  <c r="D33" i="3"/>
  <c r="I36" i="3"/>
  <c r="H47" i="3"/>
  <c r="I45" i="3"/>
  <c r="D54" i="3"/>
  <c r="F85" i="3"/>
  <c r="F93" i="3"/>
  <c r="F101" i="3"/>
  <c r="F109" i="3"/>
  <c r="F117" i="3"/>
  <c r="F123" i="3"/>
  <c r="F129" i="3"/>
  <c r="I32" i="3"/>
  <c r="B40" i="3"/>
  <c r="I44" i="3"/>
  <c r="J15" i="1"/>
  <c r="B19" i="1"/>
  <c r="J19" i="1" s="1"/>
  <c r="I26" i="1"/>
  <c r="D26" i="1"/>
  <c r="E26" i="1"/>
  <c r="J23" i="1"/>
  <c r="H26" i="1"/>
  <c r="J25" i="1"/>
  <c r="G26" i="1"/>
  <c r="J24" i="1"/>
  <c r="F26" i="1"/>
  <c r="C26" i="1"/>
  <c r="J22" i="1"/>
  <c r="J16" i="3"/>
  <c r="D19" i="3"/>
  <c r="H61" i="3"/>
  <c r="J15" i="3"/>
  <c r="H33" i="3"/>
  <c r="H40" i="3"/>
  <c r="I39" i="3"/>
  <c r="I43" i="3"/>
  <c r="I50" i="3"/>
  <c r="H60" i="3"/>
  <c r="B26" i="1"/>
  <c r="I31" i="1"/>
  <c r="H31" i="1"/>
  <c r="G31" i="1"/>
  <c r="F31" i="1"/>
  <c r="E31" i="1"/>
  <c r="D31" i="1"/>
  <c r="C31" i="1"/>
  <c r="B31" i="1"/>
  <c r="I47" i="3" l="1"/>
  <c r="I54" i="3"/>
  <c r="I40" i="3"/>
  <c r="J19" i="3"/>
  <c r="I33" i="3"/>
  <c r="J26" i="1"/>
  <c r="J31" i="1"/>
  <c r="I30" i="1"/>
  <c r="H30" i="1"/>
  <c r="G30" i="1"/>
  <c r="F30" i="1"/>
  <c r="E30" i="1"/>
  <c r="D30" i="1"/>
  <c r="C30" i="1"/>
  <c r="B30" i="1"/>
  <c r="I29" i="1"/>
  <c r="H29" i="1"/>
  <c r="G29" i="1"/>
  <c r="G33" i="1" s="1"/>
  <c r="F29" i="1"/>
  <c r="E29" i="1"/>
  <c r="D29" i="1"/>
  <c r="C29" i="1"/>
  <c r="B29" i="1"/>
  <c r="H39" i="1"/>
  <c r="G39" i="1"/>
  <c r="F39" i="1"/>
  <c r="E39" i="1"/>
  <c r="D39" i="1"/>
  <c r="C39" i="1"/>
  <c r="B39" i="1"/>
  <c r="H38" i="1"/>
  <c r="G38" i="1"/>
  <c r="F38" i="1"/>
  <c r="E38" i="1"/>
  <c r="D38" i="1"/>
  <c r="C38" i="1"/>
  <c r="B38" i="1"/>
  <c r="I33" i="1" l="1"/>
  <c r="C33" i="1"/>
  <c r="F33" i="1"/>
  <c r="E33" i="1"/>
  <c r="D33" i="1"/>
  <c r="J29" i="1"/>
  <c r="J30" i="1"/>
  <c r="H33" i="1"/>
  <c r="B33" i="1"/>
  <c r="H37" i="1"/>
  <c r="G37" i="1"/>
  <c r="F37" i="1"/>
  <c r="E37" i="1"/>
  <c r="D37" i="1"/>
  <c r="C37" i="1"/>
  <c r="B37" i="1"/>
  <c r="J33" i="1" l="1"/>
  <c r="H36" i="1"/>
  <c r="H40" i="1" s="1"/>
  <c r="G36" i="1"/>
  <c r="F36" i="1"/>
  <c r="F40" i="1" s="1"/>
  <c r="E36" i="1"/>
  <c r="E40" i="1" s="1"/>
  <c r="D36" i="1"/>
  <c r="D40" i="1" s="1"/>
  <c r="C36" i="1"/>
  <c r="C40" i="1" s="1"/>
  <c r="B36" i="1"/>
  <c r="B40" i="1" s="1"/>
  <c r="I39" i="1"/>
  <c r="I38" i="1"/>
  <c r="I37" i="1"/>
  <c r="G40" i="1" l="1"/>
  <c r="I40" i="1" s="1"/>
  <c r="I36" i="1"/>
  <c r="H46" i="1"/>
  <c r="G46" i="1"/>
  <c r="F46" i="1"/>
  <c r="E46" i="1"/>
  <c r="D46" i="1"/>
  <c r="C46" i="1"/>
  <c r="B46" i="1"/>
  <c r="H44" i="1" l="1"/>
  <c r="G44" i="1"/>
  <c r="F44" i="1"/>
  <c r="E44" i="1"/>
  <c r="D44" i="1"/>
  <c r="C44" i="1"/>
  <c r="B44" i="1"/>
  <c r="H43" i="1" l="1"/>
  <c r="H47" i="1" s="1"/>
  <c r="G43" i="1"/>
  <c r="G47" i="1" s="1"/>
  <c r="F43" i="1"/>
  <c r="E43" i="1"/>
  <c r="E47" i="1" s="1"/>
  <c r="D43" i="1"/>
  <c r="D47" i="1" s="1"/>
  <c r="C43" i="1"/>
  <c r="C47" i="1" s="1"/>
  <c r="B43" i="1"/>
  <c r="B47" i="1" s="1"/>
  <c r="I46" i="1"/>
  <c r="I45" i="1"/>
  <c r="I44" i="1"/>
  <c r="F47" i="1"/>
  <c r="I47" i="1" l="1"/>
  <c r="I43" i="1"/>
  <c r="H53" i="1"/>
  <c r="G53" i="1"/>
  <c r="F53" i="1"/>
  <c r="E53" i="1"/>
  <c r="D53" i="1"/>
  <c r="C53" i="1"/>
  <c r="B53" i="1"/>
  <c r="H52" i="1" l="1"/>
  <c r="G52" i="1"/>
  <c r="F52" i="1"/>
  <c r="E52" i="1"/>
  <c r="D52" i="1"/>
  <c r="C52" i="1"/>
  <c r="B52" i="1"/>
  <c r="H51" i="1" l="1"/>
  <c r="G51" i="1"/>
  <c r="F51" i="1"/>
  <c r="E51" i="1"/>
  <c r="D51" i="1"/>
  <c r="C51" i="1"/>
  <c r="B51" i="1"/>
  <c r="H50" i="1" l="1"/>
  <c r="H54" i="1" s="1"/>
  <c r="G50" i="1"/>
  <c r="G54" i="1" s="1"/>
  <c r="F50" i="1"/>
  <c r="F54" i="1" s="1"/>
  <c r="E50" i="1"/>
  <c r="E54" i="1" s="1"/>
  <c r="D50" i="1"/>
  <c r="C50" i="1"/>
  <c r="C54" i="1" s="1"/>
  <c r="B50" i="1"/>
  <c r="B54" i="1" s="1"/>
  <c r="I53" i="1"/>
  <c r="I52" i="1"/>
  <c r="I51" i="1"/>
  <c r="I50" i="1" l="1"/>
  <c r="D54" i="1"/>
  <c r="I54" i="1" s="1"/>
  <c r="H60" i="1"/>
  <c r="G60" i="1"/>
  <c r="F60" i="1"/>
  <c r="E60" i="1"/>
  <c r="D60" i="1"/>
  <c r="C60" i="1"/>
  <c r="B60" i="1"/>
  <c r="I60" i="1" l="1"/>
  <c r="H58" i="1"/>
  <c r="H57" i="1"/>
  <c r="H59" i="1"/>
  <c r="G59" i="1"/>
  <c r="F59" i="1"/>
  <c r="E59" i="1"/>
  <c r="D59" i="1"/>
  <c r="C59" i="1"/>
  <c r="B59" i="1"/>
  <c r="H61" i="1" l="1"/>
  <c r="I59" i="1"/>
  <c r="G58" i="1"/>
  <c r="F58" i="1"/>
  <c r="E58" i="1"/>
  <c r="D58" i="1"/>
  <c r="C58" i="1"/>
  <c r="B58" i="1"/>
  <c r="I58" i="1" l="1"/>
  <c r="G57" i="1"/>
  <c r="F57" i="1"/>
  <c r="E57" i="1"/>
  <c r="D57" i="1"/>
  <c r="C57" i="1"/>
  <c r="B57" i="1"/>
  <c r="I57" i="1" l="1"/>
  <c r="G61" i="1"/>
  <c r="D61" i="1"/>
  <c r="F61" i="1"/>
  <c r="E61" i="1"/>
  <c r="C61" i="1"/>
  <c r="B61" i="1"/>
  <c r="I61" i="1" l="1"/>
  <c r="G67" i="1"/>
  <c r="F67" i="1"/>
  <c r="E67" i="1"/>
  <c r="D67" i="1"/>
  <c r="C67" i="1"/>
  <c r="B67" i="1"/>
  <c r="H65" i="1" l="1"/>
  <c r="F68" i="1" l="1"/>
  <c r="E68" i="1"/>
  <c r="D68" i="1"/>
  <c r="C68" i="1"/>
  <c r="B68" i="1"/>
  <c r="G68" i="1"/>
  <c r="H67" i="1"/>
  <c r="H66" i="1"/>
  <c r="H64" i="1"/>
  <c r="H68" i="1" l="1"/>
  <c r="C8" i="2"/>
  <c r="D8" i="2"/>
  <c r="F8" i="2"/>
  <c r="G8" i="2"/>
  <c r="F76" i="1" l="1"/>
  <c r="E76" i="1"/>
  <c r="D76" i="1"/>
  <c r="C76" i="1"/>
  <c r="B76" i="1"/>
  <c r="G75" i="1"/>
  <c r="G74" i="1"/>
  <c r="G73" i="1"/>
  <c r="G72" i="1"/>
  <c r="G76" i="1" l="1"/>
  <c r="G83" i="1"/>
  <c r="F84" i="1" l="1"/>
  <c r="G82" i="1"/>
  <c r="G81" i="1"/>
  <c r="G80" i="1"/>
  <c r="E84" i="1"/>
  <c r="D84" i="1"/>
  <c r="C84" i="1"/>
  <c r="B84" i="1"/>
  <c r="G84" i="1" l="1"/>
  <c r="E92" i="1"/>
  <c r="D92" i="1"/>
  <c r="C92" i="1"/>
  <c r="B92" i="1"/>
  <c r="F91" i="1"/>
  <c r="F90" i="1"/>
  <c r="F89" i="1"/>
  <c r="F88" i="1"/>
  <c r="F92" i="1" l="1"/>
  <c r="B100" i="1"/>
  <c r="C100" i="1"/>
  <c r="D100" i="1"/>
  <c r="E100" i="1"/>
  <c r="F99" i="1"/>
  <c r="F98" i="1"/>
  <c r="F97" i="1"/>
  <c r="F96" i="1"/>
  <c r="F100" i="1" l="1"/>
  <c r="F107" i="1"/>
  <c r="F106" i="1"/>
  <c r="F105" i="1"/>
  <c r="F104" i="1"/>
  <c r="E108" i="1"/>
  <c r="D108" i="1"/>
  <c r="C108" i="1"/>
  <c r="B108" i="1"/>
  <c r="F112" i="1"/>
  <c r="F113" i="1"/>
  <c r="F114" i="1"/>
  <c r="F115" i="1"/>
  <c r="E116" i="1"/>
  <c r="D116" i="1"/>
  <c r="C116" i="1"/>
  <c r="B116" i="1"/>
  <c r="F123" i="1"/>
  <c r="F122" i="1"/>
  <c r="F121" i="1"/>
  <c r="F120" i="1"/>
  <c r="E124" i="1"/>
  <c r="D124" i="1"/>
  <c r="C124" i="1"/>
  <c r="B124" i="1"/>
  <c r="F129" i="1"/>
  <c r="E136" i="1"/>
  <c r="D136" i="1"/>
  <c r="C136" i="1"/>
  <c r="B136" i="1"/>
  <c r="F128" i="1"/>
  <c r="F127" i="1"/>
  <c r="F126" i="1"/>
  <c r="E130" i="1"/>
  <c r="D130" i="1"/>
  <c r="C130" i="1"/>
  <c r="B130" i="1"/>
  <c r="F132" i="1"/>
  <c r="F133" i="1"/>
  <c r="F134" i="1"/>
  <c r="F135" i="1"/>
  <c r="F138" i="1"/>
  <c r="F139" i="1"/>
  <c r="F140" i="1"/>
  <c r="F141" i="1"/>
  <c r="F142" i="1"/>
  <c r="E143" i="1"/>
  <c r="D143" i="1"/>
  <c r="C143" i="1"/>
  <c r="B143" i="1"/>
  <c r="F143" i="1" l="1"/>
  <c r="F124" i="1"/>
  <c r="F130" i="1"/>
  <c r="F116" i="1"/>
  <c r="F136" i="1"/>
  <c r="F108" i="1"/>
</calcChain>
</file>

<file path=xl/sharedStrings.xml><?xml version="1.0" encoding="utf-8"?>
<sst xmlns="http://schemas.openxmlformats.org/spreadsheetml/2006/main" count="348" uniqueCount="48">
  <si>
    <t>Wisconsin Department of Revenue</t>
  </si>
  <si>
    <t>Wisconsin</t>
  </si>
  <si>
    <t>Lake</t>
  </si>
  <si>
    <t>Eagle</t>
  </si>
  <si>
    <t>Date</t>
  </si>
  <si>
    <t>Dells</t>
  </si>
  <si>
    <t>Delton</t>
  </si>
  <si>
    <t>Bayfield</t>
  </si>
  <si>
    <t>River</t>
  </si>
  <si>
    <t>Totals</t>
  </si>
  <si>
    <t>Total 2007</t>
  </si>
  <si>
    <t>Total 2008</t>
  </si>
  <si>
    <t>Total 2009</t>
  </si>
  <si>
    <t>Premier Resort Tax Distributions</t>
  </si>
  <si>
    <t>Enterprise Services Division</t>
  </si>
  <si>
    <t>The following worksheet shows Premier Resort sales tax distributed to the</t>
  </si>
  <si>
    <t>Total 2010</t>
  </si>
  <si>
    <t>Total 2011</t>
  </si>
  <si>
    <t>Total 2012</t>
  </si>
  <si>
    <t>Total 2013</t>
  </si>
  <si>
    <t>Total 2014</t>
  </si>
  <si>
    <t>Total 2015</t>
  </si>
  <si>
    <t>Stockholm</t>
  </si>
  <si>
    <t>Wisconsin Dells</t>
  </si>
  <si>
    <t>Lake Delton</t>
  </si>
  <si>
    <t>Eagle River</t>
  </si>
  <si>
    <t>Admin Fees</t>
  </si>
  <si>
    <t>Admin Fee Total</t>
  </si>
  <si>
    <t>Carryforward Admin Fee</t>
  </si>
  <si>
    <t>Admin Fee JV ID</t>
  </si>
  <si>
    <t>Distribution Total</t>
  </si>
  <si>
    <t>Carryforward Distribution</t>
  </si>
  <si>
    <t>Distribution JV ID</t>
  </si>
  <si>
    <t>Distribution Subgroup</t>
  </si>
  <si>
    <t>Total 2016</t>
  </si>
  <si>
    <t>Rhinelander</t>
  </si>
  <si>
    <t>Total 2017</t>
  </si>
  <si>
    <t>Sister Bay</t>
  </si>
  <si>
    <t>Total 2018</t>
  </si>
  <si>
    <t>Total 2019</t>
  </si>
  <si>
    <t>Total 2020</t>
  </si>
  <si>
    <t>Total 2021</t>
  </si>
  <si>
    <t>Ephraim</t>
  </si>
  <si>
    <t>Total 2022</t>
  </si>
  <si>
    <t xml:space="preserve">eight municipalities that have enacted the local sales tax </t>
  </si>
  <si>
    <t>Total 2023</t>
  </si>
  <si>
    <t>Total 2024</t>
  </si>
  <si>
    <t>Total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</si>
</sst>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/dd/yy;@"/>
    <numFmt numFmtId="165" formatCode=";;"/>
    <numFmt numFmtId="166" formatCode="#,##0.00;\ \(#,##0.00\)"/>
  </numFmts>
  <fonts count="10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.5"/>
      <name val="Arial"/>
      <family val="2"/>
    </font>
    <font>
      <sz val="8.5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sz val="12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rgb="FFA9A9A9"/>
      </top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</borders>
  <cellStyleXfs count="4">
    <xf numFmtId="0" fontId="0" fillId="0" borderId="0"/>
    <xf numFmtId="44" fontId="2" fillId="0" borderId="0" applyFont="0" applyFill="0" applyBorder="0" applyAlignment="0" applyProtection="0"/>
    <xf numFmtId="0" fontId="1" fillId="0" borderId="0"/>
    <xf numFmtId="43" fontId="5" fillId="0" borderId="0" applyFont="0" applyFill="0" applyBorder="0" applyAlignment="0" applyProtection="0"/>
  </cellStyleXfs>
  <cellXfs count="25">
    <xf numFmtId="0" fontId="0" fillId="0" borderId="0" xfId="0"/>
    <xf numFmtId="165" fontId="1" fillId="0" borderId="0" xfId="2" applyNumberFormat="1"/>
    <xf numFmtId="166" fontId="3" fillId="0" borderId="2" xfId="2" applyNumberFormat="1" applyFont="1" applyFill="1" applyBorder="1" applyAlignment="1">
      <alignment horizontal="right"/>
    </xf>
    <xf numFmtId="49" fontId="3" fillId="0" borderId="2" xfId="2" applyNumberFormat="1" applyFont="1" applyFill="1" applyBorder="1" applyAlignment="1">
      <alignment horizontal="left"/>
    </xf>
    <xf numFmtId="166" fontId="4" fillId="0" borderId="3" xfId="2" applyNumberFormat="1" applyFont="1" applyFill="1" applyBorder="1" applyAlignment="1">
      <alignment horizontal="right"/>
    </xf>
    <xf numFmtId="49" fontId="4" fillId="0" borderId="3" xfId="2" applyNumberFormat="1" applyFont="1" applyFill="1" applyBorder="1" applyAlignment="1">
      <alignment horizontal="left"/>
    </xf>
    <xf numFmtId="166" fontId="4" fillId="2" borderId="3" xfId="2" applyNumberFormat="1" applyFont="1" applyFill="1" applyBorder="1" applyAlignment="1">
      <alignment horizontal="left"/>
    </xf>
    <xf numFmtId="49" fontId="4" fillId="2" borderId="3" xfId="2" applyNumberFormat="1" applyFont="1" applyFill="1" applyBorder="1" applyAlignment="1">
      <alignment horizontal="left"/>
    </xf>
    <xf numFmtId="164" fontId="6" fillId="0" borderId="0" xfId="0" applyNumberFormat="1" applyFont="1"/>
    <xf numFmtId="44" fontId="7" fillId="0" borderId="0" xfId="1" applyFont="1"/>
    <xf numFmtId="0" fontId="7" fillId="0" borderId="0" xfId="0" applyFont="1"/>
    <xf numFmtId="43" fontId="7" fillId="0" borderId="0" xfId="3" applyFont="1"/>
    <xf numFmtId="49" fontId="7" fillId="0" borderId="0" xfId="0" applyNumberFormat="1" applyFont="1" applyBorder="1"/>
    <xf numFmtId="164" fontId="8" fillId="0" borderId="0" xfId="0" applyNumberFormat="1" applyFont="1"/>
    <xf numFmtId="44" fontId="8" fillId="0" borderId="0" xfId="1" applyFont="1" applyAlignment="1">
      <alignment horizontal="center"/>
    </xf>
    <xf numFmtId="43" fontId="8" fillId="0" borderId="0" xfId="3" applyFont="1" applyAlignment="1">
      <alignment horizontal="center"/>
    </xf>
    <xf numFmtId="164" fontId="7" fillId="0" borderId="0" xfId="0" applyNumberFormat="1" applyFont="1"/>
    <xf numFmtId="44" fontId="6" fillId="0" borderId="1" xfId="1" applyFont="1" applyBorder="1"/>
    <xf numFmtId="43" fontId="6" fillId="0" borderId="1" xfId="3" applyFont="1" applyBorder="1"/>
    <xf numFmtId="44" fontId="6" fillId="0" borderId="0" xfId="1" applyFont="1" applyAlignment="1">
      <alignment horizontal="center"/>
    </xf>
    <xf numFmtId="44" fontId="9" fillId="0" borderId="0" xfId="1" applyFont="1" applyAlignment="1">
      <alignment horizontal="center"/>
    </xf>
    <xf numFmtId="44" fontId="6" fillId="0" borderId="0" xfId="1" applyFont="1" applyBorder="1"/>
    <xf numFmtId="44" fontId="7" fillId="0" borderId="0" xfId="0" applyNumberFormat="1" applyFont="1"/>
    <xf numFmtId="0" fontId="7" fillId="0" borderId="0" xfId="0" applyFont="1" applyAlignment="1">
      <alignment horizontal="right"/>
    </xf>
    <xf numFmtId="44" fontId="7" fillId="0" borderId="0" xfId="1" applyFont="1" applyAlignment="1">
      <alignment horizontal="center"/>
    </xf>
  </cellXfs>
  <cellStyles count="4">
    <cellStyle name="Comma" xfId="3" builtinId="3"/>
    <cellStyle name="Currency" xfId="1" builtinId="4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44"/>
  <sheetViews>
    <sheetView tabSelected="1" zoomScaleNormal="100" workbookViewId="0"/>
  </sheetViews>
  <sheetFormatPr defaultColWidth="8.7109375" defaultRowHeight="15" x14ac:dyDescent="0.2"/>
  <cols>
    <col min="1" max="1" width="11.28515625" style="16" customWidth="1"/>
    <col min="2" max="2" width="19.42578125" style="9" bestFit="1" customWidth="1"/>
    <col min="3" max="3" width="17.5703125" style="9" bestFit="1" customWidth="1"/>
    <col min="4" max="5" width="15.5703125" style="9" bestFit="1" customWidth="1"/>
    <col min="6" max="6" width="16.7109375" style="9" bestFit="1" customWidth="1"/>
    <col min="7" max="8" width="16.7109375" style="10" bestFit="1" customWidth="1"/>
    <col min="9" max="9" width="17.5703125" style="11" bestFit="1" customWidth="1"/>
    <col min="10" max="10" width="18.85546875" style="10" bestFit="1" customWidth="1"/>
    <col min="11" max="16384" width="8.7109375" style="10"/>
  </cols>
  <sheetData>
    <row r="1" spans="1:10" ht="15.75" x14ac:dyDescent="0.25">
      <c r="A1" s="8" t="s">
        <v>0</v>
      </c>
    </row>
    <row r="2" spans="1:10" ht="15.75" x14ac:dyDescent="0.25">
      <c r="A2" s="8" t="s">
        <v>14</v>
      </c>
    </row>
    <row r="3" spans="1:10" ht="15.75" x14ac:dyDescent="0.25">
      <c r="A3" s="8" t="s">
        <v>13</v>
      </c>
    </row>
    <row r="4" spans="1:10" x14ac:dyDescent="0.2">
      <c r="A4" s="12" t="s">
        <v>15</v>
      </c>
    </row>
    <row r="5" spans="1:10" x14ac:dyDescent="0.2">
      <c r="A5" s="12" t="s">
        <v>44</v>
      </c>
    </row>
    <row r="6" spans="1:10" x14ac:dyDescent="0.2">
      <c r="A6" s="12"/>
    </row>
    <row r="7" spans="1:10" ht="15.75" x14ac:dyDescent="0.25">
      <c r="A7" s="13" t="s">
        <v>4</v>
      </c>
      <c r="B7" s="14" t="s">
        <v>23</v>
      </c>
      <c r="C7" s="14" t="s">
        <v>24</v>
      </c>
      <c r="D7" s="14" t="s">
        <v>7</v>
      </c>
      <c r="E7" s="14" t="s">
        <v>25</v>
      </c>
      <c r="F7" s="14" t="s">
        <v>22</v>
      </c>
      <c r="G7" s="14" t="s">
        <v>35</v>
      </c>
      <c r="H7" s="14" t="s">
        <v>37</v>
      </c>
      <c r="I7" s="15" t="s">
        <v>42</v>
      </c>
      <c r="J7" s="14" t="s">
        <v>9</v>
      </c>
    </row>
    <row r="8" spans="1:10" x14ac:dyDescent="0.2">
      <c r="A8" s="16">
        <v>45703</v>
      </c>
      <c r="B8" s="9">
        <f>519240.53</f>
        <v>519240.53</v>
      </c>
      <c r="C8" s="9">
        <f>1738148.85</f>
        <v>1738148.85</v>
      </c>
      <c r="D8" s="9">
        <f>14333.74</f>
        <v>14333.74</v>
      </c>
      <c r="E8" s="9">
        <f>60394.91</f>
        <v>60394.91</v>
      </c>
      <c r="F8" s="9">
        <f>2178.94</f>
        <v>2178.94</v>
      </c>
      <c r="G8" s="9">
        <f>241415.76</f>
        <v>241415.76</v>
      </c>
      <c r="H8" s="9">
        <f>57543.11</f>
        <v>57543.11</v>
      </c>
      <c r="I8" s="11">
        <f>23101.53</f>
        <v>23101.53</v>
      </c>
      <c r="J8" s="9">
        <f>SUM(B8:I8)</f>
        <v>2656357.37</v>
      </c>
    </row>
    <row r="9" spans="1:10" x14ac:dyDescent="0.2">
      <c r="A9" s="16">
        <v>45792</v>
      </c>
      <c r="G9" s="9"/>
      <c r="H9" s="9"/>
      <c r="J9" s="9">
        <f>SUM(B9:I9)</f>
        <v>0</v>
      </c>
    </row>
    <row r="10" spans="1:10" x14ac:dyDescent="0.2">
      <c r="A10" s="16">
        <v>45884</v>
      </c>
      <c r="G10" s="9"/>
      <c r="H10" s="9"/>
      <c r="J10" s="9">
        <f>SUM(B10:I10)</f>
        <v>0</v>
      </c>
    </row>
    <row r="11" spans="1:10" x14ac:dyDescent="0.2">
      <c r="A11" s="16">
        <v>45976</v>
      </c>
      <c r="G11" s="9"/>
      <c r="H11" s="9"/>
      <c r="J11" s="9">
        <f>SUM(B11:I11)</f>
        <v>0</v>
      </c>
    </row>
    <row r="12" spans="1:10" ht="16.5" thickBot="1" x14ac:dyDescent="0.3">
      <c r="A12" s="8" t="s">
        <v>47</v>
      </c>
      <c r="B12" s="17">
        <f t="shared" ref="B12:F12" si="0">SUM(B8:B11)</f>
        <v>519240.53</v>
      </c>
      <c r="C12" s="17">
        <f t="shared" si="0"/>
        <v>1738148.85</v>
      </c>
      <c r="D12" s="17">
        <f t="shared" si="0"/>
        <v>14333.74</v>
      </c>
      <c r="E12" s="17">
        <f t="shared" si="0"/>
        <v>60394.91</v>
      </c>
      <c r="F12" s="17">
        <f t="shared" si="0"/>
        <v>2178.94</v>
      </c>
      <c r="G12" s="17">
        <f>SUM(G8:G11)</f>
        <v>241415.76</v>
      </c>
      <c r="H12" s="17">
        <f>SUM(H8:H11)</f>
        <v>57543.11</v>
      </c>
      <c r="I12" s="18">
        <f>SUM(I8:I11)</f>
        <v>23101.53</v>
      </c>
      <c r="J12" s="17">
        <f>SUM(B12:I12)</f>
        <v>2656357.37</v>
      </c>
    </row>
    <row r="13" spans="1:10" ht="15.75" thickTop="1" x14ac:dyDescent="0.2">
      <c r="A13" s="12"/>
    </row>
    <row r="14" spans="1:10" ht="15.75" x14ac:dyDescent="0.25">
      <c r="A14" s="13" t="s">
        <v>4</v>
      </c>
      <c r="B14" s="14" t="s">
        <v>23</v>
      </c>
      <c r="C14" s="14" t="s">
        <v>24</v>
      </c>
      <c r="D14" s="14" t="s">
        <v>7</v>
      </c>
      <c r="E14" s="14" t="s">
        <v>25</v>
      </c>
      <c r="F14" s="14" t="s">
        <v>22</v>
      </c>
      <c r="G14" s="14" t="s">
        <v>35</v>
      </c>
      <c r="H14" s="14" t="s">
        <v>37</v>
      </c>
      <c r="I14" s="15" t="s">
        <v>42</v>
      </c>
      <c r="J14" s="14" t="s">
        <v>9</v>
      </c>
    </row>
    <row r="15" spans="1:10" x14ac:dyDescent="0.2">
      <c r="A15" s="16">
        <v>45337</v>
      </c>
      <c r="B15" s="9">
        <f>455354.2</f>
        <v>455354.2</v>
      </c>
      <c r="C15" s="9">
        <f>1685472.16</f>
        <v>1685472.16</v>
      </c>
      <c r="D15" s="9">
        <f>12358.33</f>
        <v>12358.33</v>
      </c>
      <c r="E15" s="9">
        <f>54847.05</f>
        <v>54847.05</v>
      </c>
      <c r="F15" s="9">
        <f>2000.89</f>
        <v>2000.89</v>
      </c>
      <c r="G15" s="9">
        <f>244346.6</f>
        <v>244346.6</v>
      </c>
      <c r="H15" s="9">
        <f>46805.22</f>
        <v>46805.22</v>
      </c>
      <c r="I15" s="11">
        <f>13381.06</f>
        <v>13381.06</v>
      </c>
      <c r="J15" s="9">
        <f>SUM(B15:I15)</f>
        <v>2514565.5100000002</v>
      </c>
    </row>
    <row r="16" spans="1:10" x14ac:dyDescent="0.2">
      <c r="A16" s="16">
        <v>45427</v>
      </c>
      <c r="B16" s="9">
        <v>489637.45</v>
      </c>
      <c r="C16" s="9">
        <v>2058282.01</v>
      </c>
      <c r="D16" s="9">
        <v>14794.71</v>
      </c>
      <c r="E16" s="9">
        <v>45660.81</v>
      </c>
      <c r="F16" s="9">
        <f>938.91</f>
        <v>938.91</v>
      </c>
      <c r="G16" s="9">
        <f>203042.52</f>
        <v>203042.52</v>
      </c>
      <c r="H16" s="9">
        <f>28993.03</f>
        <v>28993.03</v>
      </c>
      <c r="I16" s="11">
        <f>7238.19</f>
        <v>7238.19</v>
      </c>
      <c r="J16" s="9">
        <f>SUM(B16:I16)</f>
        <v>2848587.63</v>
      </c>
    </row>
    <row r="17" spans="1:10" x14ac:dyDescent="0.2">
      <c r="A17" s="16">
        <v>45519</v>
      </c>
      <c r="B17" s="9">
        <v>977011.45</v>
      </c>
      <c r="C17" s="9">
        <v>2311446.91</v>
      </c>
      <c r="D17" s="9">
        <v>40986.22</v>
      </c>
      <c r="E17" s="9">
        <v>85828.11</v>
      </c>
      <c r="F17" s="9">
        <v>3046.79</v>
      </c>
      <c r="G17" s="9">
        <v>251943.35</v>
      </c>
      <c r="H17" s="9">
        <v>109233.52</v>
      </c>
      <c r="I17" s="11">
        <v>44410.63</v>
      </c>
      <c r="J17" s="9">
        <f>SUM(B17:I17)</f>
        <v>3823906.9800000004</v>
      </c>
    </row>
    <row r="18" spans="1:10" x14ac:dyDescent="0.2">
      <c r="A18" s="16">
        <v>45611</v>
      </c>
      <c r="B18" s="9">
        <f>1077520.17</f>
        <v>1077520.17</v>
      </c>
      <c r="C18" s="9">
        <f>2992082.85</f>
        <v>2992082.85</v>
      </c>
      <c r="D18" s="9">
        <f>71005.71</f>
        <v>71005.710000000006</v>
      </c>
      <c r="E18" s="9">
        <f>93882.48</f>
        <v>93882.48</v>
      </c>
      <c r="F18" s="9">
        <f>4448.33</f>
        <v>4448.33</v>
      </c>
      <c r="G18" s="9">
        <f>262186.13</f>
        <v>262186.13</v>
      </c>
      <c r="H18" s="9">
        <f>157335.07</f>
        <v>157335.07</v>
      </c>
      <c r="I18" s="11">
        <f>85993.71</f>
        <v>85993.71</v>
      </c>
      <c r="J18" s="9">
        <f>SUM(B18:I18)</f>
        <v>4744454.45</v>
      </c>
    </row>
    <row r="19" spans="1:10" ht="16.5" thickBot="1" x14ac:dyDescent="0.3">
      <c r="A19" s="8" t="s">
        <v>46</v>
      </c>
      <c r="B19" s="17">
        <f t="shared" ref="B19:F19" si="1">SUM(B15:B18)</f>
        <v>2999523.27</v>
      </c>
      <c r="C19" s="17">
        <f t="shared" si="1"/>
        <v>9047283.9299999997</v>
      </c>
      <c r="D19" s="17">
        <f t="shared" si="1"/>
        <v>139144.97000000003</v>
      </c>
      <c r="E19" s="17">
        <f t="shared" si="1"/>
        <v>280218.45</v>
      </c>
      <c r="F19" s="17">
        <f t="shared" si="1"/>
        <v>10434.92</v>
      </c>
      <c r="G19" s="17">
        <f>SUM(G15:G18)</f>
        <v>961518.6</v>
      </c>
      <c r="H19" s="17">
        <f>SUM(H15:H18)</f>
        <v>342366.84</v>
      </c>
      <c r="I19" s="18">
        <f>SUM(I15:I18)</f>
        <v>151023.59</v>
      </c>
      <c r="J19" s="17">
        <f>SUM(B19:I19)</f>
        <v>13931514.569999998</v>
      </c>
    </row>
    <row r="20" spans="1:10" ht="15.75" thickTop="1" x14ac:dyDescent="0.2">
      <c r="A20" s="12"/>
    </row>
    <row r="21" spans="1:10" ht="15.75" x14ac:dyDescent="0.25">
      <c r="A21" s="13" t="s">
        <v>4</v>
      </c>
      <c r="B21" s="14" t="s">
        <v>23</v>
      </c>
      <c r="C21" s="14" t="s">
        <v>24</v>
      </c>
      <c r="D21" s="14" t="s">
        <v>7</v>
      </c>
      <c r="E21" s="14" t="s">
        <v>25</v>
      </c>
      <c r="F21" s="14" t="s">
        <v>22</v>
      </c>
      <c r="G21" s="14" t="s">
        <v>35</v>
      </c>
      <c r="H21" s="14" t="s">
        <v>37</v>
      </c>
      <c r="I21" s="15" t="s">
        <v>42</v>
      </c>
      <c r="J21" s="14" t="s">
        <v>9</v>
      </c>
    </row>
    <row r="22" spans="1:10" x14ac:dyDescent="0.2">
      <c r="A22" s="16">
        <v>44972</v>
      </c>
      <c r="B22" s="9">
        <f>450806.35</f>
        <v>450806.35</v>
      </c>
      <c r="C22" s="9">
        <f>1795020.31</f>
        <v>1795020.31</v>
      </c>
      <c r="D22" s="9">
        <f>12124.22</f>
        <v>12124.22</v>
      </c>
      <c r="E22" s="9">
        <f>59711.15</f>
        <v>59711.15</v>
      </c>
      <c r="F22" s="9">
        <f>2550.6</f>
        <v>2550.6</v>
      </c>
      <c r="G22" s="9">
        <f>227500.07</f>
        <v>227500.07</v>
      </c>
      <c r="H22" s="9">
        <f>58120.93</f>
        <v>58120.93</v>
      </c>
      <c r="I22" s="11">
        <f>16800.56</f>
        <v>16800.560000000001</v>
      </c>
      <c r="J22" s="9">
        <f>SUM(B22:I22)</f>
        <v>2622634.1900000004</v>
      </c>
    </row>
    <row r="23" spans="1:10" x14ac:dyDescent="0.2">
      <c r="A23" s="16">
        <v>45061</v>
      </c>
      <c r="B23" s="9">
        <f>523611.96</f>
        <v>523611.96</v>
      </c>
      <c r="C23" s="9">
        <f>1835186.81</f>
        <v>1835186.81</v>
      </c>
      <c r="D23" s="9">
        <f>9949.02</f>
        <v>9949.02</v>
      </c>
      <c r="E23" s="9">
        <f>49204.46</f>
        <v>49204.46</v>
      </c>
      <c r="F23" s="9">
        <f>1220.7</f>
        <v>1220.7</v>
      </c>
      <c r="G23" s="9">
        <f>191656.43</f>
        <v>191656.43</v>
      </c>
      <c r="H23" s="9">
        <f>30300.36</f>
        <v>30300.36</v>
      </c>
      <c r="I23" s="11">
        <f>13492.38</f>
        <v>13492.38</v>
      </c>
      <c r="J23" s="9">
        <f>SUM(B23:I23)</f>
        <v>2654622.12</v>
      </c>
    </row>
    <row r="24" spans="1:10" x14ac:dyDescent="0.2">
      <c r="A24" s="16">
        <v>45153</v>
      </c>
      <c r="B24" s="9">
        <f>869686.26</f>
        <v>869686.26</v>
      </c>
      <c r="C24" s="9">
        <f>2350831.04</f>
        <v>2350831.04</v>
      </c>
      <c r="D24" s="9">
        <f>43741.3</f>
        <v>43741.3</v>
      </c>
      <c r="E24" s="9">
        <f>81173.07</f>
        <v>81173.070000000007</v>
      </c>
      <c r="F24" s="9">
        <f>3055.43</f>
        <v>3055.43</v>
      </c>
      <c r="G24" s="9">
        <f>243043.47</f>
        <v>243043.47</v>
      </c>
      <c r="H24" s="9">
        <f>111214.9</f>
        <v>111214.9</v>
      </c>
      <c r="I24" s="11">
        <f>66989.58</f>
        <v>66989.58</v>
      </c>
      <c r="J24" s="9">
        <f>SUM(B24:I24)</f>
        <v>3769735.05</v>
      </c>
    </row>
    <row r="25" spans="1:10" x14ac:dyDescent="0.2">
      <c r="A25" s="16">
        <v>45245</v>
      </c>
      <c r="B25" s="9">
        <f>1201472.25</f>
        <v>1201472.25</v>
      </c>
      <c r="C25" s="9">
        <f>3123399.4</f>
        <v>3123399.4</v>
      </c>
      <c r="D25" s="9">
        <f>59027.7</f>
        <v>59027.7</v>
      </c>
      <c r="E25" s="9">
        <f>91201.14</f>
        <v>91201.14</v>
      </c>
      <c r="F25" s="9">
        <f>4527.37</f>
        <v>4527.37</v>
      </c>
      <c r="G25" s="9">
        <f>245720.67</f>
        <v>245720.67</v>
      </c>
      <c r="H25" s="9">
        <f>143028.01</f>
        <v>143028.01</v>
      </c>
      <c r="I25" s="11">
        <f>85303.2</f>
        <v>85303.2</v>
      </c>
      <c r="J25" s="9">
        <f>SUM(B25:I25)</f>
        <v>4953679.74</v>
      </c>
    </row>
    <row r="26" spans="1:10" ht="16.5" thickBot="1" x14ac:dyDescent="0.3">
      <c r="A26" s="8" t="s">
        <v>45</v>
      </c>
      <c r="B26" s="17">
        <f t="shared" ref="B26:F26" si="2">SUM(B22:B25)</f>
        <v>3045576.8200000003</v>
      </c>
      <c r="C26" s="17">
        <f t="shared" si="2"/>
        <v>9104437.5600000005</v>
      </c>
      <c r="D26" s="17">
        <f t="shared" si="2"/>
        <v>124842.24000000001</v>
      </c>
      <c r="E26" s="17">
        <f t="shared" si="2"/>
        <v>281289.82</v>
      </c>
      <c r="F26" s="17">
        <f t="shared" si="2"/>
        <v>11354.099999999999</v>
      </c>
      <c r="G26" s="17">
        <f>SUM(G22:G25)</f>
        <v>907920.64</v>
      </c>
      <c r="H26" s="17">
        <f>SUM(H22:H25)</f>
        <v>342664.2</v>
      </c>
      <c r="I26" s="18">
        <f>SUM(I22:I25)</f>
        <v>182585.72</v>
      </c>
      <c r="J26" s="17">
        <f>SUM(B26:I26)</f>
        <v>14000671.100000001</v>
      </c>
    </row>
    <row r="27" spans="1:10" ht="15.75" thickTop="1" x14ac:dyDescent="0.2">
      <c r="A27" s="12"/>
    </row>
    <row r="28" spans="1:10" ht="15.75" x14ac:dyDescent="0.25">
      <c r="A28" s="13" t="s">
        <v>4</v>
      </c>
      <c r="B28" s="14" t="s">
        <v>23</v>
      </c>
      <c r="C28" s="14" t="s">
        <v>24</v>
      </c>
      <c r="D28" s="14" t="s">
        <v>7</v>
      </c>
      <c r="E28" s="14" t="s">
        <v>25</v>
      </c>
      <c r="F28" s="14" t="s">
        <v>22</v>
      </c>
      <c r="G28" s="14" t="s">
        <v>35</v>
      </c>
      <c r="H28" s="14" t="s">
        <v>37</v>
      </c>
      <c r="I28" s="15" t="s">
        <v>42</v>
      </c>
      <c r="J28" s="14" t="s">
        <v>9</v>
      </c>
    </row>
    <row r="29" spans="1:10" x14ac:dyDescent="0.2">
      <c r="A29" s="16">
        <v>44607</v>
      </c>
      <c r="B29" s="9">
        <f>426173.69</f>
        <v>426173.69</v>
      </c>
      <c r="C29" s="9">
        <f>1497858.52</f>
        <v>1497858.52</v>
      </c>
      <c r="D29" s="9">
        <f>13939.42</f>
        <v>13939.42</v>
      </c>
      <c r="E29" s="9">
        <f>62663.33</f>
        <v>62663.33</v>
      </c>
      <c r="F29" s="9">
        <f>3171.53</f>
        <v>3171.53</v>
      </c>
      <c r="G29" s="9">
        <f>212237.46</f>
        <v>212237.46</v>
      </c>
      <c r="H29" s="9">
        <f>48940.53</f>
        <v>48940.53</v>
      </c>
      <c r="I29" s="11">
        <f>168.67</f>
        <v>168.67</v>
      </c>
      <c r="J29" s="9">
        <f>SUM(B29:I29)</f>
        <v>2265153.15</v>
      </c>
    </row>
    <row r="30" spans="1:10" x14ac:dyDescent="0.2">
      <c r="A30" s="16">
        <v>44696</v>
      </c>
      <c r="B30" s="9">
        <f>461086.97</f>
        <v>461086.97</v>
      </c>
      <c r="C30" s="9">
        <f>1808412.75</f>
        <v>1808412.75</v>
      </c>
      <c r="D30" s="9">
        <f>12709.09</f>
        <v>12709.09</v>
      </c>
      <c r="E30" s="9">
        <f>48278.88</f>
        <v>48278.879999999997</v>
      </c>
      <c r="F30" s="9">
        <f>1040.23</f>
        <v>1040.23</v>
      </c>
      <c r="G30" s="9">
        <f>177214.16</f>
        <v>177214.16</v>
      </c>
      <c r="H30" s="9">
        <f>24398.26</f>
        <v>24398.26</v>
      </c>
      <c r="I30" s="11">
        <f>4748.73</f>
        <v>4748.7299999999996</v>
      </c>
      <c r="J30" s="9">
        <f>SUM(B30:I30)</f>
        <v>2537889.0699999994</v>
      </c>
    </row>
    <row r="31" spans="1:10" x14ac:dyDescent="0.2">
      <c r="A31" s="16">
        <v>44788</v>
      </c>
      <c r="B31" s="9">
        <f>859568.25</f>
        <v>859568.25</v>
      </c>
      <c r="C31" s="9">
        <f>2351137.06</f>
        <v>2351137.06</v>
      </c>
      <c r="D31" s="9">
        <f>41437.45</f>
        <v>41437.449999999997</v>
      </c>
      <c r="E31" s="9">
        <f>83693.61</f>
        <v>83693.61</v>
      </c>
      <c r="F31" s="9">
        <f>2833.51</f>
        <v>2833.51</v>
      </c>
      <c r="G31" s="9">
        <f>239787.25</f>
        <v>239787.25</v>
      </c>
      <c r="H31" s="9">
        <f>96486.38</f>
        <v>96486.38</v>
      </c>
      <c r="I31" s="11">
        <f>33824.35</f>
        <v>33824.35</v>
      </c>
      <c r="J31" s="9">
        <f>SUM(B31:I31)</f>
        <v>3708767.86</v>
      </c>
    </row>
    <row r="32" spans="1:10" x14ac:dyDescent="0.2">
      <c r="A32" s="16">
        <v>44880</v>
      </c>
      <c r="B32" s="9">
        <v>1085576.68</v>
      </c>
      <c r="C32" s="9">
        <v>3100323.82</v>
      </c>
      <c r="D32" s="9">
        <v>52223.6</v>
      </c>
      <c r="E32" s="9">
        <v>86803.43</v>
      </c>
      <c r="F32" s="9">
        <v>3843.12</v>
      </c>
      <c r="G32" s="9">
        <v>235690.01</v>
      </c>
      <c r="H32" s="9">
        <v>142724.26</v>
      </c>
      <c r="I32" s="11">
        <v>69779.47</v>
      </c>
      <c r="J32" s="9">
        <f>SUM(B32:I32)</f>
        <v>4776964.3899999987</v>
      </c>
    </row>
    <row r="33" spans="1:10" ht="16.5" thickBot="1" x14ac:dyDescent="0.3">
      <c r="A33" s="8" t="s">
        <v>43</v>
      </c>
      <c r="B33" s="17">
        <f t="shared" ref="B33:F33" si="3">SUM(B29:B32)</f>
        <v>2832405.59</v>
      </c>
      <c r="C33" s="17">
        <f t="shared" si="3"/>
        <v>8757732.1500000004</v>
      </c>
      <c r="D33" s="17">
        <f t="shared" si="3"/>
        <v>120309.56</v>
      </c>
      <c r="E33" s="17">
        <f t="shared" si="3"/>
        <v>281439.25</v>
      </c>
      <c r="F33" s="17">
        <f t="shared" si="3"/>
        <v>10888.39</v>
      </c>
      <c r="G33" s="17">
        <f>SUM(G29:G32)</f>
        <v>864928.88</v>
      </c>
      <c r="H33" s="17">
        <f>SUM(H29:H32)</f>
        <v>312549.43</v>
      </c>
      <c r="I33" s="18">
        <f>SUM(I29:I32)</f>
        <v>108521.22</v>
      </c>
      <c r="J33" s="17">
        <f>SUM(B33:I33)</f>
        <v>13288774.470000003</v>
      </c>
    </row>
    <row r="34" spans="1:10" ht="15.75" thickTop="1" x14ac:dyDescent="0.2">
      <c r="A34" s="12"/>
    </row>
    <row r="35" spans="1:10" ht="15.75" x14ac:dyDescent="0.25">
      <c r="A35" s="13" t="s">
        <v>4</v>
      </c>
      <c r="B35" s="14" t="s">
        <v>23</v>
      </c>
      <c r="C35" s="14" t="s">
        <v>24</v>
      </c>
      <c r="D35" s="14" t="s">
        <v>7</v>
      </c>
      <c r="E35" s="14" t="s">
        <v>25</v>
      </c>
      <c r="F35" s="14" t="s">
        <v>22</v>
      </c>
      <c r="G35" s="14" t="s">
        <v>35</v>
      </c>
      <c r="H35" s="14" t="s">
        <v>37</v>
      </c>
      <c r="I35" s="15" t="s">
        <v>9</v>
      </c>
    </row>
    <row r="36" spans="1:10" x14ac:dyDescent="0.2">
      <c r="A36" s="16">
        <v>44242</v>
      </c>
      <c r="B36" s="9">
        <f>297463.28</f>
        <v>297463.28000000003</v>
      </c>
      <c r="C36" s="9">
        <f>995555.53</f>
        <v>995555.53</v>
      </c>
      <c r="D36" s="9">
        <f>10939.7</f>
        <v>10939.7</v>
      </c>
      <c r="E36" s="9">
        <f>45069.61</f>
        <v>45069.61</v>
      </c>
      <c r="F36" s="9">
        <f>2112.22</f>
        <v>2112.2199999999998</v>
      </c>
      <c r="G36" s="9">
        <f>184593.3</f>
        <v>184593.3</v>
      </c>
      <c r="H36" s="9">
        <f>30736.84</f>
        <v>30736.84</v>
      </c>
      <c r="I36" s="11">
        <f>SUM(B36:H36)</f>
        <v>1566470.4800000002</v>
      </c>
    </row>
    <row r="37" spans="1:10" x14ac:dyDescent="0.2">
      <c r="A37" s="16">
        <v>44331</v>
      </c>
      <c r="B37" s="9">
        <f>462627.44</f>
        <v>462627.44</v>
      </c>
      <c r="C37" s="9">
        <f>1649251.43</f>
        <v>1649251.43</v>
      </c>
      <c r="D37" s="9">
        <f>7518.6</f>
        <v>7518.6</v>
      </c>
      <c r="E37" s="9">
        <f>44253.73</f>
        <v>44253.73</v>
      </c>
      <c r="F37" s="9">
        <f>1149.26</f>
        <v>1149.26</v>
      </c>
      <c r="G37" s="9">
        <f>164874.82</f>
        <v>164874.82</v>
      </c>
      <c r="H37" s="9">
        <f>23272.53</f>
        <v>23272.53</v>
      </c>
      <c r="I37" s="11">
        <f t="shared" ref="I37:I38" si="4">SUM(B37:H37)</f>
        <v>2352947.8099999996</v>
      </c>
    </row>
    <row r="38" spans="1:10" x14ac:dyDescent="0.2">
      <c r="A38" s="16">
        <v>44423</v>
      </c>
      <c r="B38" s="9">
        <f>825103.23</f>
        <v>825103.23</v>
      </c>
      <c r="C38" s="9">
        <f>2161352.95</f>
        <v>2161352.9500000002</v>
      </c>
      <c r="D38" s="9">
        <f>32853.34</f>
        <v>32853.339999999997</v>
      </c>
      <c r="E38" s="9">
        <f>67733.12</f>
        <v>67733.119999999995</v>
      </c>
      <c r="F38" s="9">
        <f>2644.93</f>
        <v>2644.93</v>
      </c>
      <c r="G38" s="9">
        <f>201393</f>
        <v>201393</v>
      </c>
      <c r="H38" s="9">
        <f>82177.23</f>
        <v>82177.23</v>
      </c>
      <c r="I38" s="11">
        <f t="shared" si="4"/>
        <v>3373257.8000000003</v>
      </c>
    </row>
    <row r="39" spans="1:10" x14ac:dyDescent="0.2">
      <c r="A39" s="16">
        <v>44515</v>
      </c>
      <c r="B39" s="9">
        <f>1013324.51</f>
        <v>1013324.51</v>
      </c>
      <c r="C39" s="9">
        <f>2933256.91</f>
        <v>2933256.91</v>
      </c>
      <c r="D39" s="9">
        <f>58538.74</f>
        <v>58538.74</v>
      </c>
      <c r="E39" s="9">
        <f>84972.15</f>
        <v>84972.15</v>
      </c>
      <c r="F39" s="9">
        <f>3809.92</f>
        <v>3809.92</v>
      </c>
      <c r="G39" s="9">
        <f>211370.62</f>
        <v>211370.62</v>
      </c>
      <c r="H39" s="9">
        <f>147747.77</f>
        <v>147747.76999999999</v>
      </c>
      <c r="I39" s="11">
        <f>SUM(B39:H39)</f>
        <v>4453020.6199999992</v>
      </c>
    </row>
    <row r="40" spans="1:10" ht="16.5" thickBot="1" x14ac:dyDescent="0.3">
      <c r="A40" s="8" t="s">
        <v>41</v>
      </c>
      <c r="B40" s="17">
        <f t="shared" ref="B40:F40" si="5">SUM(B36:B39)</f>
        <v>2598518.46</v>
      </c>
      <c r="C40" s="17">
        <f t="shared" si="5"/>
        <v>7739416.8200000003</v>
      </c>
      <c r="D40" s="17">
        <f t="shared" si="5"/>
        <v>109850.38</v>
      </c>
      <c r="E40" s="17">
        <f t="shared" si="5"/>
        <v>242028.61</v>
      </c>
      <c r="F40" s="17">
        <f t="shared" si="5"/>
        <v>9716.33</v>
      </c>
      <c r="G40" s="17">
        <f>SUM(G36:G39)</f>
        <v>762231.74</v>
      </c>
      <c r="H40" s="17">
        <f>SUM(H36:H39)</f>
        <v>283934.37</v>
      </c>
      <c r="I40" s="18">
        <f>SUM(B40:H40)</f>
        <v>11745696.710000001</v>
      </c>
    </row>
    <row r="41" spans="1:10" ht="15.75" thickTop="1" x14ac:dyDescent="0.2">
      <c r="A41" s="12"/>
    </row>
    <row r="42" spans="1:10" ht="15.75" x14ac:dyDescent="0.25">
      <c r="A42" s="13" t="s">
        <v>4</v>
      </c>
      <c r="B42" s="14" t="s">
        <v>23</v>
      </c>
      <c r="C42" s="14" t="s">
        <v>24</v>
      </c>
      <c r="D42" s="14" t="s">
        <v>7</v>
      </c>
      <c r="E42" s="14" t="s">
        <v>25</v>
      </c>
      <c r="F42" s="14" t="s">
        <v>22</v>
      </c>
      <c r="G42" s="14" t="s">
        <v>35</v>
      </c>
      <c r="H42" s="14" t="s">
        <v>37</v>
      </c>
      <c r="I42" s="15" t="s">
        <v>9</v>
      </c>
    </row>
    <row r="43" spans="1:10" x14ac:dyDescent="0.2">
      <c r="A43" s="16">
        <v>43876</v>
      </c>
      <c r="B43" s="9">
        <f>317064.03</f>
        <v>317064.03000000003</v>
      </c>
      <c r="C43" s="9">
        <f>1257273.62</f>
        <v>1257273.6200000001</v>
      </c>
      <c r="D43" s="9">
        <f>11859.73</f>
        <v>11859.73</v>
      </c>
      <c r="E43" s="9">
        <f>41780.82</f>
        <v>41780.82</v>
      </c>
      <c r="F43" s="9">
        <f>2311.54</f>
        <v>2311.54</v>
      </c>
      <c r="G43" s="9">
        <f>206420.28</f>
        <v>206420.28</v>
      </c>
      <c r="H43" s="9">
        <f>31950.55</f>
        <v>31950.55</v>
      </c>
      <c r="I43" s="11">
        <f>SUM(B43:H43)</f>
        <v>1868660.5700000003</v>
      </c>
    </row>
    <row r="44" spans="1:10" x14ac:dyDescent="0.2">
      <c r="A44" s="16">
        <v>43966</v>
      </c>
      <c r="B44" s="9">
        <f>243425.98</f>
        <v>243425.98</v>
      </c>
      <c r="C44" s="9">
        <f>998745.63</f>
        <v>998745.63</v>
      </c>
      <c r="D44" s="9">
        <f>5358.52</f>
        <v>5358.52</v>
      </c>
      <c r="E44" s="9">
        <f>28153.26</f>
        <v>28153.26</v>
      </c>
      <c r="F44" s="9">
        <f>450.2</f>
        <v>450.2</v>
      </c>
      <c r="G44" s="9">
        <f>130481.78</f>
        <v>130481.78</v>
      </c>
      <c r="H44" s="9">
        <f>15071.26</f>
        <v>15071.26</v>
      </c>
      <c r="I44" s="11">
        <f t="shared" ref="I44:I45" si="6">SUM(B44:H44)</f>
        <v>1421686.6300000001</v>
      </c>
    </row>
    <row r="45" spans="1:10" x14ac:dyDescent="0.2">
      <c r="A45" s="16">
        <v>44058</v>
      </c>
      <c r="B45" s="9">
        <v>395263.27</v>
      </c>
      <c r="C45" s="9">
        <v>870534.54</v>
      </c>
      <c r="D45" s="9">
        <v>18452.14</v>
      </c>
      <c r="E45" s="9">
        <v>57841.88</v>
      </c>
      <c r="F45" s="9">
        <v>813.92</v>
      </c>
      <c r="G45" s="9">
        <v>165659.29</v>
      </c>
      <c r="H45" s="9">
        <v>51479.82</v>
      </c>
      <c r="I45" s="11">
        <f t="shared" si="6"/>
        <v>1560044.8599999999</v>
      </c>
    </row>
    <row r="46" spans="1:10" x14ac:dyDescent="0.2">
      <c r="A46" s="16">
        <v>44150</v>
      </c>
      <c r="B46" s="9">
        <f>692614.62</f>
        <v>692614.62</v>
      </c>
      <c r="C46" s="9">
        <f>1912390.21</f>
        <v>1912390.21</v>
      </c>
      <c r="D46" s="9">
        <f>50000.12</f>
        <v>50000.12</v>
      </c>
      <c r="E46" s="9">
        <f>66749.84</f>
        <v>66749.84</v>
      </c>
      <c r="F46" s="9">
        <f>2057.39</f>
        <v>2057.39</v>
      </c>
      <c r="G46" s="9">
        <f>178230.49</f>
        <v>178230.49</v>
      </c>
      <c r="H46" s="9">
        <f>102291.07</f>
        <v>102291.07</v>
      </c>
      <c r="I46" s="11">
        <f>SUM(B46:H46)</f>
        <v>3004333.7399999998</v>
      </c>
    </row>
    <row r="47" spans="1:10" ht="16.5" thickBot="1" x14ac:dyDescent="0.3">
      <c r="A47" s="8" t="s">
        <v>40</v>
      </c>
      <c r="B47" s="17">
        <f t="shared" ref="B47:F47" si="7">SUM(B43:B46)</f>
        <v>1648367.9</v>
      </c>
      <c r="C47" s="17">
        <f t="shared" si="7"/>
        <v>5038944</v>
      </c>
      <c r="D47" s="17">
        <f t="shared" si="7"/>
        <v>85670.510000000009</v>
      </c>
      <c r="E47" s="17">
        <f t="shared" si="7"/>
        <v>194525.8</v>
      </c>
      <c r="F47" s="17">
        <f t="shared" si="7"/>
        <v>5633.0499999999993</v>
      </c>
      <c r="G47" s="17">
        <f>SUM(G43:G46)</f>
        <v>680791.84</v>
      </c>
      <c r="H47" s="17">
        <f>SUM(H43:H46)</f>
        <v>200792.7</v>
      </c>
      <c r="I47" s="18">
        <f>SUM(B47:H47)</f>
        <v>7854725.7999999998</v>
      </c>
    </row>
    <row r="48" spans="1:10" ht="15.75" thickTop="1" x14ac:dyDescent="0.2">
      <c r="A48" s="12"/>
    </row>
    <row r="49" spans="1:9" ht="15.75" x14ac:dyDescent="0.25">
      <c r="A49" s="13" t="s">
        <v>4</v>
      </c>
      <c r="B49" s="14" t="s">
        <v>23</v>
      </c>
      <c r="C49" s="14" t="s">
        <v>24</v>
      </c>
      <c r="D49" s="14" t="s">
        <v>7</v>
      </c>
      <c r="E49" s="14" t="s">
        <v>25</v>
      </c>
      <c r="F49" s="14" t="s">
        <v>22</v>
      </c>
      <c r="G49" s="14" t="s">
        <v>35</v>
      </c>
      <c r="H49" s="14" t="s">
        <v>37</v>
      </c>
      <c r="I49" s="15" t="s">
        <v>9</v>
      </c>
    </row>
    <row r="50" spans="1:9" x14ac:dyDescent="0.2">
      <c r="A50" s="16">
        <v>43511</v>
      </c>
      <c r="B50" s="9">
        <f>249381.91</f>
        <v>249381.91</v>
      </c>
      <c r="C50" s="9">
        <f>1103062.13</f>
        <v>1103062.1299999999</v>
      </c>
      <c r="D50" s="9">
        <f>14763.3</f>
        <v>14763.3</v>
      </c>
      <c r="E50" s="9">
        <f>41568.08</f>
        <v>41568.080000000002</v>
      </c>
      <c r="F50" s="9">
        <f>2313.79</f>
        <v>2313.79</v>
      </c>
      <c r="G50" s="9">
        <f>153690.43</f>
        <v>153690.43</v>
      </c>
      <c r="H50" s="9">
        <f>39064.7</f>
        <v>39064.699999999997</v>
      </c>
      <c r="I50" s="11">
        <f>SUM(B50:H50)</f>
        <v>1603844.3399999999</v>
      </c>
    </row>
    <row r="51" spans="1:9" x14ac:dyDescent="0.2">
      <c r="A51" s="16">
        <v>43600</v>
      </c>
      <c r="B51" s="9">
        <f>409502.88</f>
        <v>409502.88</v>
      </c>
      <c r="C51" s="9">
        <f>1472096.86</f>
        <v>1472096.86</v>
      </c>
      <c r="D51" s="9">
        <f>6410.72</f>
        <v>6410.72</v>
      </c>
      <c r="E51" s="9">
        <f>39354.67</f>
        <v>39354.67</v>
      </c>
      <c r="F51" s="9">
        <f>408.68</f>
        <v>408.68</v>
      </c>
      <c r="G51" s="9">
        <f>153715.4</f>
        <v>153715.4</v>
      </c>
      <c r="H51" s="9">
        <f>23704.19</f>
        <v>23704.19</v>
      </c>
      <c r="I51" s="11">
        <f t="shared" ref="I51:I52" si="8">SUM(B51:H51)</f>
        <v>2105193.4</v>
      </c>
    </row>
    <row r="52" spans="1:9" x14ac:dyDescent="0.2">
      <c r="A52" s="16">
        <v>43692</v>
      </c>
      <c r="B52" s="9">
        <f>643553.61</f>
        <v>643553.61</v>
      </c>
      <c r="C52" s="9">
        <f>1761041.01</f>
        <v>1761041.01</v>
      </c>
      <c r="D52" s="9">
        <f>27792.04</f>
        <v>27792.04</v>
      </c>
      <c r="E52" s="9">
        <f>55639.32</f>
        <v>55639.32</v>
      </c>
      <c r="F52" s="9">
        <f>1436.46</f>
        <v>1436.46</v>
      </c>
      <c r="G52" s="9">
        <f>146146.95</f>
        <v>146146.95000000001</v>
      </c>
      <c r="H52" s="9">
        <f>68424.84</f>
        <v>68424.84</v>
      </c>
      <c r="I52" s="11">
        <f t="shared" si="8"/>
        <v>2704034.23</v>
      </c>
    </row>
    <row r="53" spans="1:9" x14ac:dyDescent="0.2">
      <c r="A53" s="16">
        <v>43784</v>
      </c>
      <c r="B53" s="9">
        <f>833011.36</f>
        <v>833011.36</v>
      </c>
      <c r="C53" s="9">
        <f>2456060.38</f>
        <v>2456060.38</v>
      </c>
      <c r="D53" s="9">
        <f>47926.43</f>
        <v>47926.43</v>
      </c>
      <c r="E53" s="9">
        <f>59913.28</f>
        <v>59913.279999999999</v>
      </c>
      <c r="F53" s="9">
        <f>2405.07</f>
        <v>2405.0700000000002</v>
      </c>
      <c r="G53" s="9">
        <f>174629.37</f>
        <v>174629.37</v>
      </c>
      <c r="H53" s="9">
        <f>106557.4</f>
        <v>106557.4</v>
      </c>
      <c r="I53" s="11">
        <f>SUM(B53:H53)</f>
        <v>3680503.2899999996</v>
      </c>
    </row>
    <row r="54" spans="1:9" ht="16.5" thickBot="1" x14ac:dyDescent="0.3">
      <c r="A54" s="8" t="s">
        <v>39</v>
      </c>
      <c r="B54" s="17">
        <f t="shared" ref="B54:F54" si="9">SUM(B50:B53)</f>
        <v>2135449.7599999998</v>
      </c>
      <c r="C54" s="17">
        <f t="shared" si="9"/>
        <v>6792260.3799999999</v>
      </c>
      <c r="D54" s="17">
        <f t="shared" si="9"/>
        <v>96892.489999999991</v>
      </c>
      <c r="E54" s="17">
        <f t="shared" si="9"/>
        <v>196475.35</v>
      </c>
      <c r="F54" s="17">
        <f t="shared" si="9"/>
        <v>6564</v>
      </c>
      <c r="G54" s="17">
        <f>SUM(G50:G53)</f>
        <v>628182.14999999991</v>
      </c>
      <c r="H54" s="17">
        <f>SUM(H50:H53)</f>
        <v>237751.12999999998</v>
      </c>
      <c r="I54" s="18">
        <f>SUM(B54:H54)</f>
        <v>10093575.260000002</v>
      </c>
    </row>
    <row r="55" spans="1:9" ht="15.75" thickTop="1" x14ac:dyDescent="0.2">
      <c r="A55" s="12"/>
    </row>
    <row r="56" spans="1:9" ht="15.75" x14ac:dyDescent="0.25">
      <c r="A56" s="13" t="s">
        <v>4</v>
      </c>
      <c r="B56" s="14" t="s">
        <v>23</v>
      </c>
      <c r="C56" s="14" t="s">
        <v>24</v>
      </c>
      <c r="D56" s="14" t="s">
        <v>7</v>
      </c>
      <c r="E56" s="14" t="s">
        <v>25</v>
      </c>
      <c r="F56" s="14" t="s">
        <v>22</v>
      </c>
      <c r="G56" s="14" t="s">
        <v>35</v>
      </c>
      <c r="H56" s="14" t="s">
        <v>37</v>
      </c>
      <c r="I56" s="15" t="s">
        <v>9</v>
      </c>
    </row>
    <row r="57" spans="1:9" x14ac:dyDescent="0.2">
      <c r="A57" s="16">
        <v>43146</v>
      </c>
      <c r="B57" s="9">
        <f>326617.56</f>
        <v>326617.56</v>
      </c>
      <c r="C57" s="9">
        <f>1246578.01</f>
        <v>1246578.01</v>
      </c>
      <c r="D57" s="9">
        <f>15581.97</f>
        <v>15581.97</v>
      </c>
      <c r="E57" s="9">
        <f>43476.57</f>
        <v>43476.57</v>
      </c>
      <c r="F57" s="9">
        <f>3323.31</f>
        <v>3323.31</v>
      </c>
      <c r="G57" s="9">
        <f>176939.58</f>
        <v>176939.58</v>
      </c>
      <c r="H57" s="9">
        <f>0</f>
        <v>0</v>
      </c>
      <c r="I57" s="11">
        <f>SUM(B57:H57)</f>
        <v>1812517.0000000002</v>
      </c>
    </row>
    <row r="58" spans="1:9" x14ac:dyDescent="0.2">
      <c r="A58" s="16">
        <v>43235</v>
      </c>
      <c r="B58" s="9">
        <f>339293.73</f>
        <v>339293.73</v>
      </c>
      <c r="C58" s="9">
        <f>1463332.29</f>
        <v>1463332.29</v>
      </c>
      <c r="D58" s="9">
        <f>6254.39</f>
        <v>6254.39</v>
      </c>
      <c r="E58" s="9">
        <f>32340.63</f>
        <v>32340.63</v>
      </c>
      <c r="F58" s="9">
        <f>734.17</f>
        <v>734.17</v>
      </c>
      <c r="G58" s="9">
        <f>313209.97</f>
        <v>313209.96999999997</v>
      </c>
      <c r="H58" s="9">
        <f>0</f>
        <v>0</v>
      </c>
      <c r="I58" s="11">
        <f t="shared" ref="I58:I59" si="10">SUM(B58:H58)</f>
        <v>2155165.1799999997</v>
      </c>
    </row>
    <row r="59" spans="1:9" x14ac:dyDescent="0.2">
      <c r="A59" s="16">
        <v>43327</v>
      </c>
      <c r="B59" s="9">
        <f>614697.12</f>
        <v>614697.12</v>
      </c>
      <c r="C59" s="9">
        <f>1677118.16</f>
        <v>1677118.16</v>
      </c>
      <c r="D59" s="9">
        <f>24173.44</f>
        <v>24173.439999999999</v>
      </c>
      <c r="E59" s="9">
        <f>48941.33</f>
        <v>48941.33</v>
      </c>
      <c r="F59" s="9">
        <f>1761.52</f>
        <v>1761.52</v>
      </c>
      <c r="G59" s="9">
        <f>173914.01</f>
        <v>173914.01</v>
      </c>
      <c r="H59" s="9">
        <f>3218.7</f>
        <v>3218.7</v>
      </c>
      <c r="I59" s="11">
        <f t="shared" si="10"/>
        <v>2543824.2800000003</v>
      </c>
    </row>
    <row r="60" spans="1:9" x14ac:dyDescent="0.2">
      <c r="A60" s="16">
        <v>43419</v>
      </c>
      <c r="B60" s="9">
        <f>837075.57</f>
        <v>837075.57</v>
      </c>
      <c r="C60" s="9">
        <f>2555982.49</f>
        <v>2555982.4900000002</v>
      </c>
      <c r="D60" s="9">
        <f>45303.36</f>
        <v>45303.360000000001</v>
      </c>
      <c r="E60" s="9">
        <f>65790.29</f>
        <v>65790.289999999994</v>
      </c>
      <c r="F60" s="9">
        <f>2586.7</f>
        <v>2586.6999999999998</v>
      </c>
      <c r="G60" s="9">
        <f>169258.69</f>
        <v>169258.69</v>
      </c>
      <c r="H60" s="9">
        <f>113244.5</f>
        <v>113244.5</v>
      </c>
      <c r="I60" s="11">
        <f>SUM(B60:H60)</f>
        <v>3789241.6</v>
      </c>
    </row>
    <row r="61" spans="1:9" ht="16.5" thickBot="1" x14ac:dyDescent="0.3">
      <c r="A61" s="8" t="s">
        <v>38</v>
      </c>
      <c r="B61" s="17">
        <f t="shared" ref="B61:F61" si="11">SUM(B57:B60)</f>
        <v>2117683.98</v>
      </c>
      <c r="C61" s="17">
        <f t="shared" si="11"/>
        <v>6943010.9500000002</v>
      </c>
      <c r="D61" s="17">
        <f t="shared" si="11"/>
        <v>91313.16</v>
      </c>
      <c r="E61" s="17">
        <f t="shared" si="11"/>
        <v>190548.82</v>
      </c>
      <c r="F61" s="17">
        <f t="shared" si="11"/>
        <v>8405.7000000000007</v>
      </c>
      <c r="G61" s="17">
        <f>SUM(G57:G60)</f>
        <v>833322.25</v>
      </c>
      <c r="H61" s="17">
        <f>SUM(H57:H60)</f>
        <v>116463.2</v>
      </c>
      <c r="I61" s="18">
        <f>SUM(B61:H61)</f>
        <v>10300748.059999999</v>
      </c>
    </row>
    <row r="62" spans="1:9" ht="16.5" thickTop="1" x14ac:dyDescent="0.25">
      <c r="B62" s="19"/>
      <c r="C62" s="19"/>
      <c r="D62" s="19"/>
      <c r="E62" s="20"/>
      <c r="F62" s="19"/>
    </row>
    <row r="63" spans="1:9" ht="15.75" x14ac:dyDescent="0.25">
      <c r="A63" s="13" t="s">
        <v>4</v>
      </c>
      <c r="B63" s="14" t="s">
        <v>23</v>
      </c>
      <c r="C63" s="14" t="s">
        <v>24</v>
      </c>
      <c r="D63" s="14" t="s">
        <v>7</v>
      </c>
      <c r="E63" s="14" t="s">
        <v>25</v>
      </c>
      <c r="F63" s="14" t="s">
        <v>22</v>
      </c>
      <c r="G63" s="14" t="s">
        <v>35</v>
      </c>
      <c r="H63" s="14" t="s">
        <v>9</v>
      </c>
    </row>
    <row r="64" spans="1:9" x14ac:dyDescent="0.2">
      <c r="A64" s="16">
        <v>42781</v>
      </c>
      <c r="B64" s="9">
        <v>289833.03999999998</v>
      </c>
      <c r="C64" s="9">
        <v>1191729.99</v>
      </c>
      <c r="D64" s="9">
        <v>19398.11</v>
      </c>
      <c r="E64" s="9">
        <v>41777.410000000003</v>
      </c>
      <c r="F64" s="9">
        <v>2490.7399999999998</v>
      </c>
      <c r="G64" s="9">
        <v>5986.34</v>
      </c>
      <c r="H64" s="9">
        <f>SUM(B64:G64)</f>
        <v>1551215.6300000001</v>
      </c>
    </row>
    <row r="65" spans="1:11" x14ac:dyDescent="0.2">
      <c r="A65" s="16">
        <v>42870</v>
      </c>
      <c r="B65" s="9">
        <v>286409.65999999997</v>
      </c>
      <c r="C65" s="9">
        <v>1417581.99</v>
      </c>
      <c r="D65" s="9">
        <v>5807.29</v>
      </c>
      <c r="E65" s="9">
        <v>29356.23</v>
      </c>
      <c r="F65" s="9">
        <v>680.76</v>
      </c>
      <c r="G65" s="9">
        <v>77235.67</v>
      </c>
      <c r="H65" s="9">
        <f t="shared" ref="H65:H67" si="12">SUM(B65:G65)</f>
        <v>1817071.5999999999</v>
      </c>
    </row>
    <row r="66" spans="1:11" x14ac:dyDescent="0.2">
      <c r="A66" s="16">
        <v>42962</v>
      </c>
      <c r="B66" s="9">
        <v>592031.57999999996</v>
      </c>
      <c r="C66" s="9">
        <v>1797778.49</v>
      </c>
      <c r="D66" s="9">
        <v>22066.34</v>
      </c>
      <c r="E66" s="9">
        <v>47186.71</v>
      </c>
      <c r="F66" s="9">
        <v>1732.24</v>
      </c>
      <c r="G66" s="9">
        <v>108048.94</v>
      </c>
      <c r="H66" s="9">
        <f t="shared" si="12"/>
        <v>2568844.2999999998</v>
      </c>
    </row>
    <row r="67" spans="1:11" x14ac:dyDescent="0.2">
      <c r="A67" s="16">
        <v>43054</v>
      </c>
      <c r="B67" s="9">
        <f>820290.97</f>
        <v>820290.97</v>
      </c>
      <c r="C67" s="9">
        <f>2416410.93</f>
        <v>2416410.9300000002</v>
      </c>
      <c r="D67" s="9">
        <f>50089.08</f>
        <v>50089.08</v>
      </c>
      <c r="E67" s="9">
        <f>64443.21</f>
        <v>64443.21</v>
      </c>
      <c r="F67" s="9">
        <f>3107.41</f>
        <v>3107.41</v>
      </c>
      <c r="G67" s="9">
        <f>134309.08</f>
        <v>134309.07999999999</v>
      </c>
      <c r="H67" s="9">
        <f t="shared" si="12"/>
        <v>3488650.6800000006</v>
      </c>
    </row>
    <row r="68" spans="1:11" ht="16.5" thickBot="1" x14ac:dyDescent="0.3">
      <c r="A68" s="8" t="s">
        <v>36</v>
      </c>
      <c r="B68" s="17">
        <f t="shared" ref="B68:F68" si="13">SUM(B64:B67)</f>
        <v>1988565.2499999998</v>
      </c>
      <c r="C68" s="17">
        <f t="shared" si="13"/>
        <v>6823501.4000000004</v>
      </c>
      <c r="D68" s="17">
        <f t="shared" si="13"/>
        <v>97360.82</v>
      </c>
      <c r="E68" s="17">
        <f t="shared" si="13"/>
        <v>182763.56</v>
      </c>
      <c r="F68" s="17">
        <f t="shared" si="13"/>
        <v>8011.15</v>
      </c>
      <c r="G68" s="17">
        <f>SUM(G64:G67)</f>
        <v>325580.03000000003</v>
      </c>
      <c r="H68" s="17">
        <f>SUM(B68:G68)</f>
        <v>9425782.2100000009</v>
      </c>
    </row>
    <row r="69" spans="1:11" ht="16.5" thickTop="1" x14ac:dyDescent="0.25">
      <c r="A69" s="8"/>
      <c r="B69" s="21"/>
      <c r="C69" s="21"/>
      <c r="D69" s="21"/>
      <c r="E69" s="21"/>
      <c r="F69" s="21"/>
      <c r="G69" s="21"/>
      <c r="H69" s="21"/>
      <c r="J69" s="22"/>
      <c r="K69" s="23"/>
    </row>
    <row r="70" spans="1:11" ht="15.75" x14ac:dyDescent="0.25">
      <c r="B70" s="19" t="s">
        <v>1</v>
      </c>
      <c r="C70" s="19" t="s">
        <v>2</v>
      </c>
      <c r="D70" s="19"/>
      <c r="E70" s="19" t="s">
        <v>3</v>
      </c>
      <c r="F70" s="19"/>
    </row>
    <row r="71" spans="1:11" ht="15.75" x14ac:dyDescent="0.25">
      <c r="A71" s="13" t="s">
        <v>4</v>
      </c>
      <c r="B71" s="14" t="s">
        <v>5</v>
      </c>
      <c r="C71" s="14" t="s">
        <v>6</v>
      </c>
      <c r="D71" s="14" t="s">
        <v>7</v>
      </c>
      <c r="E71" s="14" t="s">
        <v>8</v>
      </c>
      <c r="F71" s="14" t="s">
        <v>22</v>
      </c>
      <c r="G71" s="14" t="s">
        <v>9</v>
      </c>
      <c r="H71" s="14"/>
    </row>
    <row r="72" spans="1:11" x14ac:dyDescent="0.2">
      <c r="A72" s="16">
        <v>42415</v>
      </c>
      <c r="B72" s="9">
        <v>308639.02</v>
      </c>
      <c r="C72" s="9">
        <v>1161274.7</v>
      </c>
      <c r="D72" s="9">
        <v>15323.15</v>
      </c>
      <c r="E72" s="9">
        <v>43299.06</v>
      </c>
      <c r="F72" s="9">
        <v>2050.59</v>
      </c>
      <c r="G72" s="9">
        <f>SUM(B72:F72)</f>
        <v>1530586.52</v>
      </c>
      <c r="H72" s="9"/>
    </row>
    <row r="73" spans="1:11" x14ac:dyDescent="0.2">
      <c r="A73" s="16">
        <v>42505</v>
      </c>
      <c r="B73" s="9">
        <v>328999.21999999997</v>
      </c>
      <c r="C73" s="9">
        <v>1417167.91</v>
      </c>
      <c r="D73" s="9">
        <v>5062.5</v>
      </c>
      <c r="E73" s="9">
        <v>27184.22</v>
      </c>
      <c r="F73" s="9">
        <v>1095.8599999999999</v>
      </c>
      <c r="G73" s="9">
        <f t="shared" ref="G73:G75" si="14">SUM(B73:F73)</f>
        <v>1779509.71</v>
      </c>
      <c r="H73" s="9"/>
    </row>
    <row r="74" spans="1:11" x14ac:dyDescent="0.2">
      <c r="A74" s="16">
        <v>42597</v>
      </c>
      <c r="B74" s="9">
        <v>552518.54</v>
      </c>
      <c r="C74" s="9">
        <v>1728883.06</v>
      </c>
      <c r="D74" s="9">
        <v>20893.21</v>
      </c>
      <c r="E74" s="9">
        <v>55479.94</v>
      </c>
      <c r="F74" s="9">
        <v>1930.86</v>
      </c>
      <c r="G74" s="9">
        <f t="shared" si="14"/>
        <v>2359705.61</v>
      </c>
      <c r="H74" s="9"/>
    </row>
    <row r="75" spans="1:11" x14ac:dyDescent="0.2">
      <c r="A75" s="16">
        <v>42689</v>
      </c>
      <c r="B75" s="9">
        <v>832394.54</v>
      </c>
      <c r="C75" s="9">
        <v>2487143.69</v>
      </c>
      <c r="D75" s="9">
        <v>41997.9</v>
      </c>
      <c r="E75" s="9">
        <v>65144.56</v>
      </c>
      <c r="F75" s="9">
        <v>2752.09</v>
      </c>
      <c r="G75" s="9">
        <f t="shared" si="14"/>
        <v>3429432.78</v>
      </c>
      <c r="H75" s="9"/>
    </row>
    <row r="76" spans="1:11" ht="16.5" thickBot="1" x14ac:dyDescent="0.3">
      <c r="A76" s="8" t="s">
        <v>34</v>
      </c>
      <c r="B76" s="17">
        <f>SUM(B72:B75)</f>
        <v>2022551.32</v>
      </c>
      <c r="C76" s="17">
        <f>SUM(C72:C75)</f>
        <v>6794469.3599999994</v>
      </c>
      <c r="D76" s="17">
        <f>SUM(D72:D75)</f>
        <v>83276.760000000009</v>
      </c>
      <c r="E76" s="17">
        <f>SUM(E72:E75)</f>
        <v>191107.78</v>
      </c>
      <c r="F76" s="17">
        <f>SUM(F72:F75)</f>
        <v>7829.4</v>
      </c>
      <c r="G76" s="17">
        <f>SUM(B76:F76)</f>
        <v>9099234.6199999992</v>
      </c>
      <c r="H76" s="21"/>
    </row>
    <row r="77" spans="1:11" ht="16.5" thickTop="1" x14ac:dyDescent="0.25">
      <c r="A77" s="8"/>
      <c r="B77" s="21"/>
      <c r="C77" s="21"/>
      <c r="D77" s="21"/>
      <c r="E77" s="21"/>
      <c r="F77" s="21"/>
      <c r="G77" s="21"/>
      <c r="H77" s="21"/>
    </row>
    <row r="78" spans="1:11" ht="15.75" x14ac:dyDescent="0.25">
      <c r="B78" s="19" t="s">
        <v>1</v>
      </c>
      <c r="C78" s="19" t="s">
        <v>2</v>
      </c>
      <c r="D78" s="19"/>
      <c r="E78" s="19" t="s">
        <v>3</v>
      </c>
      <c r="F78" s="19"/>
    </row>
    <row r="79" spans="1:11" ht="15.75" x14ac:dyDescent="0.25">
      <c r="A79" s="13" t="s">
        <v>4</v>
      </c>
      <c r="B79" s="14" t="s">
        <v>5</v>
      </c>
      <c r="C79" s="14" t="s">
        <v>6</v>
      </c>
      <c r="D79" s="14" t="s">
        <v>7</v>
      </c>
      <c r="E79" s="14" t="s">
        <v>8</v>
      </c>
      <c r="F79" s="14" t="s">
        <v>22</v>
      </c>
      <c r="G79" s="14" t="s">
        <v>9</v>
      </c>
    </row>
    <row r="80" spans="1:11" x14ac:dyDescent="0.2">
      <c r="A80" s="16">
        <v>42050</v>
      </c>
      <c r="B80" s="9">
        <v>244305.6</v>
      </c>
      <c r="C80" s="9">
        <v>1057602.5</v>
      </c>
      <c r="D80" s="9">
        <v>13066.29</v>
      </c>
      <c r="E80" s="9">
        <v>38065.040000000001</v>
      </c>
      <c r="F80" s="9">
        <v>2237.52</v>
      </c>
      <c r="G80" s="9">
        <f>SUM(B80:F80)</f>
        <v>1355276.9500000002</v>
      </c>
    </row>
    <row r="81" spans="1:7" x14ac:dyDescent="0.2">
      <c r="A81" s="16">
        <v>42139</v>
      </c>
      <c r="B81" s="9">
        <v>322521.08</v>
      </c>
      <c r="C81" s="9">
        <v>1358624.27</v>
      </c>
      <c r="D81" s="9">
        <v>6617.36</v>
      </c>
      <c r="E81" s="9">
        <v>29677.88</v>
      </c>
      <c r="F81" s="9">
        <v>671.59</v>
      </c>
      <c r="G81" s="9">
        <f t="shared" ref="G81:G83" si="15">SUM(B81:F81)</f>
        <v>1718112.1800000002</v>
      </c>
    </row>
    <row r="82" spans="1:7" x14ac:dyDescent="0.2">
      <c r="A82" s="16">
        <v>42231</v>
      </c>
      <c r="B82" s="9">
        <v>556026.09</v>
      </c>
      <c r="C82" s="9">
        <v>1664076.23</v>
      </c>
      <c r="D82" s="9">
        <v>20838.82</v>
      </c>
      <c r="E82" s="9">
        <v>41804.019999999997</v>
      </c>
      <c r="F82" s="9">
        <v>1378</v>
      </c>
      <c r="G82" s="9">
        <f t="shared" si="15"/>
        <v>2284123.1599999997</v>
      </c>
    </row>
    <row r="83" spans="1:7" x14ac:dyDescent="0.2">
      <c r="A83" s="16">
        <v>42323</v>
      </c>
      <c r="B83" s="9">
        <v>757230.32</v>
      </c>
      <c r="C83" s="9">
        <v>2437951.37</v>
      </c>
      <c r="D83" s="9">
        <v>40102.01</v>
      </c>
      <c r="E83" s="9">
        <v>60390.49</v>
      </c>
      <c r="F83" s="9">
        <v>2909.82</v>
      </c>
      <c r="G83" s="9">
        <f t="shared" si="15"/>
        <v>3298584.01</v>
      </c>
    </row>
    <row r="84" spans="1:7" ht="16.5" thickBot="1" x14ac:dyDescent="0.3">
      <c r="A84" s="8" t="s">
        <v>21</v>
      </c>
      <c r="B84" s="17">
        <f>SUM(B80:B83)</f>
        <v>1880083.0899999999</v>
      </c>
      <c r="C84" s="17">
        <f>SUM(C80:C83)</f>
        <v>6518254.3700000001</v>
      </c>
      <c r="D84" s="17">
        <f>SUM(D80:D83)</f>
        <v>80624.48000000001</v>
      </c>
      <c r="E84" s="17">
        <f>SUM(E80:E83)</f>
        <v>169937.43</v>
      </c>
      <c r="F84" s="17">
        <f>SUM(F80:F83)</f>
        <v>7196.93</v>
      </c>
      <c r="G84" s="17">
        <f>SUM(B84:F84)</f>
        <v>8656096.3000000007</v>
      </c>
    </row>
    <row r="85" spans="1:7" ht="16.5" thickTop="1" x14ac:dyDescent="0.25">
      <c r="A85" s="8"/>
      <c r="B85" s="21"/>
      <c r="C85" s="21"/>
      <c r="D85" s="21"/>
      <c r="E85" s="21"/>
      <c r="F85" s="21"/>
    </row>
    <row r="86" spans="1:7" ht="15.75" x14ac:dyDescent="0.25">
      <c r="B86" s="19" t="s">
        <v>1</v>
      </c>
      <c r="C86" s="19" t="s">
        <v>2</v>
      </c>
      <c r="D86" s="19"/>
      <c r="E86" s="19" t="s">
        <v>3</v>
      </c>
      <c r="F86" s="19"/>
    </row>
    <row r="87" spans="1:7" ht="15.75" x14ac:dyDescent="0.25">
      <c r="A87" s="13" t="s">
        <v>4</v>
      </c>
      <c r="B87" s="14" t="s">
        <v>5</v>
      </c>
      <c r="C87" s="14" t="s">
        <v>6</v>
      </c>
      <c r="D87" s="14" t="s">
        <v>7</v>
      </c>
      <c r="E87" s="14" t="s">
        <v>8</v>
      </c>
      <c r="F87" s="14" t="s">
        <v>9</v>
      </c>
    </row>
    <row r="88" spans="1:7" x14ac:dyDescent="0.2">
      <c r="A88" s="16">
        <v>41685</v>
      </c>
      <c r="B88" s="9">
        <v>189834.89</v>
      </c>
      <c r="C88" s="9">
        <v>822063.62</v>
      </c>
      <c r="D88" s="9">
        <v>10858.45</v>
      </c>
      <c r="E88" s="9">
        <v>37960.83</v>
      </c>
      <c r="F88" s="9">
        <f>SUM(B88:E88)</f>
        <v>1060717.79</v>
      </c>
    </row>
    <row r="89" spans="1:7" x14ac:dyDescent="0.2">
      <c r="A89" s="16">
        <v>41774</v>
      </c>
      <c r="B89" s="9">
        <v>214948.62</v>
      </c>
      <c r="C89" s="9">
        <v>992440.02</v>
      </c>
      <c r="D89" s="9">
        <v>8070.22</v>
      </c>
      <c r="E89" s="9">
        <v>28170.92</v>
      </c>
      <c r="F89" s="9">
        <f>SUM(B89:E89)</f>
        <v>1243629.78</v>
      </c>
    </row>
    <row r="90" spans="1:7" x14ac:dyDescent="0.2">
      <c r="A90" s="16">
        <v>41866</v>
      </c>
      <c r="B90" s="9">
        <v>387171.81</v>
      </c>
      <c r="C90" s="9">
        <v>1362108.25</v>
      </c>
      <c r="D90" s="9">
        <v>13973.29</v>
      </c>
      <c r="E90" s="9">
        <v>41285.96</v>
      </c>
      <c r="F90" s="9">
        <f>SUM(B90:E90)</f>
        <v>1804539.31</v>
      </c>
    </row>
    <row r="91" spans="1:7" x14ac:dyDescent="0.2">
      <c r="A91" s="16">
        <v>41958</v>
      </c>
      <c r="B91" s="9">
        <v>758727.88</v>
      </c>
      <c r="C91" s="9">
        <v>2200247.59</v>
      </c>
      <c r="D91" s="9">
        <v>39985.4</v>
      </c>
      <c r="E91" s="9">
        <v>58730.01</v>
      </c>
      <c r="F91" s="9">
        <f>SUM(B91:E91)</f>
        <v>3057690.8799999994</v>
      </c>
    </row>
    <row r="92" spans="1:7" ht="16.5" thickBot="1" x14ac:dyDescent="0.3">
      <c r="A92" s="8" t="s">
        <v>20</v>
      </c>
      <c r="B92" s="17">
        <f>SUM(B88:B91)</f>
        <v>1550683.2000000002</v>
      </c>
      <c r="C92" s="17">
        <f>SUM(C88:C91)</f>
        <v>5376859.4800000004</v>
      </c>
      <c r="D92" s="17">
        <f>SUM(D88:D91)</f>
        <v>72887.360000000015</v>
      </c>
      <c r="E92" s="17">
        <f>SUM(E88:E91)</f>
        <v>166147.72</v>
      </c>
      <c r="F92" s="17">
        <f>SUM(F88:F91)</f>
        <v>7166577.7599999998</v>
      </c>
    </row>
    <row r="93" spans="1:7" ht="16.5" thickTop="1" x14ac:dyDescent="0.25">
      <c r="A93" s="8"/>
      <c r="B93" s="21"/>
      <c r="C93" s="21"/>
      <c r="D93" s="21"/>
      <c r="E93" s="21"/>
      <c r="F93" s="21"/>
    </row>
    <row r="94" spans="1:7" ht="15.75" x14ac:dyDescent="0.25">
      <c r="B94" s="19" t="s">
        <v>1</v>
      </c>
      <c r="C94" s="19" t="s">
        <v>2</v>
      </c>
      <c r="D94" s="19"/>
      <c r="E94" s="19" t="s">
        <v>3</v>
      </c>
      <c r="F94" s="19"/>
    </row>
    <row r="95" spans="1:7" ht="15.75" x14ac:dyDescent="0.25">
      <c r="A95" s="13" t="s">
        <v>4</v>
      </c>
      <c r="B95" s="14" t="s">
        <v>5</v>
      </c>
      <c r="C95" s="14" t="s">
        <v>6</v>
      </c>
      <c r="D95" s="14" t="s">
        <v>7</v>
      </c>
      <c r="E95" s="14" t="s">
        <v>8</v>
      </c>
      <c r="F95" s="14" t="s">
        <v>9</v>
      </c>
    </row>
    <row r="96" spans="1:7" x14ac:dyDescent="0.2">
      <c r="A96" s="16">
        <v>41320</v>
      </c>
      <c r="B96" s="9">
        <v>70314.58</v>
      </c>
      <c r="C96" s="9">
        <v>901871.12</v>
      </c>
      <c r="D96" s="9">
        <v>11298.66</v>
      </c>
      <c r="E96" s="9">
        <v>36146.32</v>
      </c>
      <c r="F96" s="9">
        <f>SUM(B96:E96)</f>
        <v>1019630.6799999999</v>
      </c>
    </row>
    <row r="97" spans="1:6" x14ac:dyDescent="0.2">
      <c r="A97" s="16">
        <v>41409</v>
      </c>
      <c r="B97" s="9">
        <v>225324.27</v>
      </c>
      <c r="C97" s="9">
        <v>939182.87</v>
      </c>
      <c r="D97" s="9">
        <v>8600.73</v>
      </c>
      <c r="E97" s="9">
        <v>30003.38</v>
      </c>
      <c r="F97" s="9">
        <f>SUM(B97:E97)</f>
        <v>1203111.2499999998</v>
      </c>
    </row>
    <row r="98" spans="1:6" x14ac:dyDescent="0.2">
      <c r="A98" s="16">
        <v>41501</v>
      </c>
      <c r="B98" s="9">
        <v>372256.38</v>
      </c>
      <c r="C98" s="9">
        <v>1197028.98</v>
      </c>
      <c r="D98" s="9">
        <v>13380.13</v>
      </c>
      <c r="E98" s="9">
        <v>41074.230000000003</v>
      </c>
      <c r="F98" s="9">
        <f>SUM(B98:E98)</f>
        <v>1623739.7199999997</v>
      </c>
    </row>
    <row r="99" spans="1:6" x14ac:dyDescent="0.2">
      <c r="A99" s="16">
        <v>41593</v>
      </c>
      <c r="B99" s="9">
        <v>588644.56999999995</v>
      </c>
      <c r="C99" s="9">
        <v>1726904.84</v>
      </c>
      <c r="D99" s="9">
        <v>35260.86</v>
      </c>
      <c r="E99" s="9">
        <v>61832.66</v>
      </c>
      <c r="F99" s="9">
        <f>SUM(B99:E99)</f>
        <v>2412642.9300000002</v>
      </c>
    </row>
    <row r="100" spans="1:6" ht="16.5" thickBot="1" x14ac:dyDescent="0.3">
      <c r="A100" s="8" t="s">
        <v>19</v>
      </c>
      <c r="B100" s="17">
        <f>SUM(B96:B99)</f>
        <v>1256539.7999999998</v>
      </c>
      <c r="C100" s="17">
        <f>SUM(C96:C99)</f>
        <v>4764987.8099999996</v>
      </c>
      <c r="D100" s="17">
        <f>SUM(D96:D99)</f>
        <v>68540.38</v>
      </c>
      <c r="E100" s="17">
        <f>SUM(E96:E99)</f>
        <v>169056.59</v>
      </c>
      <c r="F100" s="17">
        <f>SUM(F96:F99)</f>
        <v>6259124.5800000001</v>
      </c>
    </row>
    <row r="101" spans="1:6" ht="16.5" thickTop="1" x14ac:dyDescent="0.25">
      <c r="A101" s="8"/>
      <c r="B101" s="21"/>
      <c r="C101" s="21"/>
      <c r="D101" s="21"/>
      <c r="E101" s="21"/>
      <c r="F101" s="21"/>
    </row>
    <row r="102" spans="1:6" ht="15.75" x14ac:dyDescent="0.25">
      <c r="B102" s="19" t="s">
        <v>1</v>
      </c>
      <c r="C102" s="19" t="s">
        <v>2</v>
      </c>
      <c r="D102" s="19"/>
      <c r="E102" s="19" t="s">
        <v>3</v>
      </c>
      <c r="F102" s="19"/>
    </row>
    <row r="103" spans="1:6" ht="15.75" x14ac:dyDescent="0.25">
      <c r="A103" s="13" t="s">
        <v>4</v>
      </c>
      <c r="B103" s="14" t="s">
        <v>5</v>
      </c>
      <c r="C103" s="14" t="s">
        <v>6</v>
      </c>
      <c r="D103" s="14" t="s">
        <v>7</v>
      </c>
      <c r="E103" s="14" t="s">
        <v>8</v>
      </c>
      <c r="F103" s="14" t="s">
        <v>9</v>
      </c>
    </row>
    <row r="104" spans="1:6" x14ac:dyDescent="0.2">
      <c r="A104" s="16">
        <v>40954</v>
      </c>
      <c r="B104" s="9">
        <v>190285.74</v>
      </c>
      <c r="C104" s="9">
        <v>740900.51</v>
      </c>
      <c r="D104" s="9">
        <v>15019.26</v>
      </c>
      <c r="E104" s="9">
        <v>32623.43</v>
      </c>
      <c r="F104" s="9">
        <f>SUM(B104:E104)</f>
        <v>978828.94000000006</v>
      </c>
    </row>
    <row r="105" spans="1:6" x14ac:dyDescent="0.2">
      <c r="A105" s="16">
        <v>41044</v>
      </c>
      <c r="B105" s="9">
        <v>184289.17</v>
      </c>
      <c r="C105" s="9">
        <v>949193.53</v>
      </c>
      <c r="D105" s="9">
        <v>4805.28</v>
      </c>
      <c r="E105" s="9">
        <v>24264.54</v>
      </c>
      <c r="F105" s="9">
        <f>SUM(B105:E105)</f>
        <v>1162552.52</v>
      </c>
    </row>
    <row r="106" spans="1:6" x14ac:dyDescent="0.2">
      <c r="A106" s="16">
        <v>41136</v>
      </c>
      <c r="B106" s="9">
        <v>371769.31</v>
      </c>
      <c r="C106" s="9">
        <v>1250537.72</v>
      </c>
      <c r="D106" s="9">
        <v>15062.65</v>
      </c>
      <c r="E106" s="9">
        <v>40491.19</v>
      </c>
      <c r="F106" s="9">
        <f>SUM(B106:E106)</f>
        <v>1677860.8699999999</v>
      </c>
    </row>
    <row r="107" spans="1:6" x14ac:dyDescent="0.2">
      <c r="A107" s="16">
        <v>41228</v>
      </c>
      <c r="B107" s="9">
        <v>664441.59</v>
      </c>
      <c r="C107" s="9">
        <v>1615200.2</v>
      </c>
      <c r="D107" s="9">
        <v>39154.160000000003</v>
      </c>
      <c r="E107" s="9">
        <v>56205.24</v>
      </c>
      <c r="F107" s="9">
        <f>SUM(B107:E107)</f>
        <v>2375001.1900000004</v>
      </c>
    </row>
    <row r="108" spans="1:6" ht="16.5" thickBot="1" x14ac:dyDescent="0.3">
      <c r="A108" s="8" t="s">
        <v>18</v>
      </c>
      <c r="B108" s="17">
        <f>SUM(B104:B107)</f>
        <v>1410785.81</v>
      </c>
      <c r="C108" s="17">
        <f>SUM(C104:C107)</f>
        <v>4555831.96</v>
      </c>
      <c r="D108" s="17">
        <f>SUM(D104:D107)</f>
        <v>74041.350000000006</v>
      </c>
      <c r="E108" s="17">
        <f>SUM(E104:E107)</f>
        <v>153584.4</v>
      </c>
      <c r="F108" s="17">
        <f>SUM(F104:F107)</f>
        <v>6194243.5200000005</v>
      </c>
    </row>
    <row r="109" spans="1:6" ht="15.75" thickTop="1" x14ac:dyDescent="0.2">
      <c r="A109" s="12"/>
    </row>
    <row r="110" spans="1:6" ht="15.75" x14ac:dyDescent="0.25">
      <c r="B110" s="19" t="s">
        <v>1</v>
      </c>
      <c r="C110" s="19" t="s">
        <v>2</v>
      </c>
      <c r="D110" s="19"/>
      <c r="E110" s="19" t="s">
        <v>3</v>
      </c>
      <c r="F110" s="19"/>
    </row>
    <row r="111" spans="1:6" ht="15.75" x14ac:dyDescent="0.25">
      <c r="A111" s="13" t="s">
        <v>4</v>
      </c>
      <c r="B111" s="14" t="s">
        <v>5</v>
      </c>
      <c r="C111" s="14" t="s">
        <v>6</v>
      </c>
      <c r="D111" s="14" t="s">
        <v>7</v>
      </c>
      <c r="E111" s="14" t="s">
        <v>8</v>
      </c>
      <c r="F111" s="14" t="s">
        <v>9</v>
      </c>
    </row>
    <row r="112" spans="1:6" x14ac:dyDescent="0.2">
      <c r="A112" s="16">
        <v>40589</v>
      </c>
      <c r="B112" s="24">
        <v>216288.46</v>
      </c>
      <c r="C112" s="24">
        <v>776205.39</v>
      </c>
      <c r="D112" s="24">
        <v>10340.89</v>
      </c>
      <c r="E112" s="24">
        <v>36320.25</v>
      </c>
      <c r="F112" s="24">
        <f>SUM(B112:E112)</f>
        <v>1039154.99</v>
      </c>
    </row>
    <row r="113" spans="1:8" x14ac:dyDescent="0.2">
      <c r="A113" s="16">
        <v>40678</v>
      </c>
      <c r="B113" s="24">
        <v>99394.92</v>
      </c>
      <c r="C113" s="24">
        <v>1052494.17</v>
      </c>
      <c r="D113" s="24">
        <v>3538.43</v>
      </c>
      <c r="E113" s="24">
        <v>21575.63</v>
      </c>
      <c r="F113" s="24">
        <f>SUM(B113:E113)</f>
        <v>1177003.1499999997</v>
      </c>
    </row>
    <row r="114" spans="1:8" x14ac:dyDescent="0.2">
      <c r="A114" s="16">
        <v>40770</v>
      </c>
      <c r="B114" s="24">
        <v>415897.86</v>
      </c>
      <c r="C114" s="24">
        <v>1129067.3</v>
      </c>
      <c r="D114" s="24">
        <v>11975.69</v>
      </c>
      <c r="E114" s="24">
        <v>42334.35</v>
      </c>
      <c r="F114" s="24">
        <f>SUM(B114:E114)</f>
        <v>1599275.2000000002</v>
      </c>
    </row>
    <row r="115" spans="1:8" x14ac:dyDescent="0.2">
      <c r="A115" s="16">
        <v>40862</v>
      </c>
      <c r="B115" s="24">
        <v>510654.32</v>
      </c>
      <c r="C115" s="24">
        <v>1721224.45</v>
      </c>
      <c r="D115" s="24">
        <v>30440.97</v>
      </c>
      <c r="E115" s="24">
        <v>58931.18</v>
      </c>
      <c r="F115" s="24">
        <f>SUM(B115:E115)</f>
        <v>2321250.9200000004</v>
      </c>
      <c r="H115" s="22"/>
    </row>
    <row r="116" spans="1:8" ht="16.5" thickBot="1" x14ac:dyDescent="0.3">
      <c r="A116" s="8" t="s">
        <v>17</v>
      </c>
      <c r="B116" s="17">
        <f>SUM(B112:B115)</f>
        <v>1242235.56</v>
      </c>
      <c r="C116" s="17">
        <f>SUM(C112:C115)</f>
        <v>4678991.3100000005</v>
      </c>
      <c r="D116" s="17">
        <f>SUM(D112:D115)</f>
        <v>56295.98</v>
      </c>
      <c r="E116" s="17">
        <f>SUM(E112:E115)</f>
        <v>159161.41</v>
      </c>
      <c r="F116" s="17">
        <f>SUM(F112:F115)</f>
        <v>6136684.2599999998</v>
      </c>
    </row>
    <row r="117" spans="1:8" ht="15.75" thickTop="1" x14ac:dyDescent="0.2"/>
    <row r="118" spans="1:8" ht="15.75" x14ac:dyDescent="0.25">
      <c r="B118" s="19" t="s">
        <v>1</v>
      </c>
      <c r="C118" s="19" t="s">
        <v>2</v>
      </c>
      <c r="D118" s="19"/>
      <c r="E118" s="19" t="s">
        <v>3</v>
      </c>
      <c r="F118" s="19"/>
    </row>
    <row r="119" spans="1:8" ht="15.75" x14ac:dyDescent="0.25">
      <c r="A119" s="13" t="s">
        <v>4</v>
      </c>
      <c r="B119" s="14" t="s">
        <v>5</v>
      </c>
      <c r="C119" s="14" t="s">
        <v>6</v>
      </c>
      <c r="D119" s="14" t="s">
        <v>7</v>
      </c>
      <c r="E119" s="14" t="s">
        <v>8</v>
      </c>
      <c r="F119" s="14" t="s">
        <v>9</v>
      </c>
    </row>
    <row r="120" spans="1:8" x14ac:dyDescent="0.2">
      <c r="A120" s="16">
        <v>40224</v>
      </c>
      <c r="B120" s="24">
        <v>88232.639999999999</v>
      </c>
      <c r="C120" s="24">
        <v>366366.95</v>
      </c>
      <c r="D120" s="24">
        <v>11653.75</v>
      </c>
      <c r="E120" s="24">
        <v>29016.28</v>
      </c>
      <c r="F120" s="24">
        <f>SUM(B120:E120)</f>
        <v>495269.62</v>
      </c>
    </row>
    <row r="121" spans="1:8" x14ac:dyDescent="0.2">
      <c r="A121" s="16">
        <v>40313</v>
      </c>
      <c r="B121" s="24">
        <v>226750.91</v>
      </c>
      <c r="C121" s="24">
        <v>785486.29</v>
      </c>
      <c r="D121" s="24">
        <v>3791.77</v>
      </c>
      <c r="E121" s="24">
        <v>26682.58</v>
      </c>
      <c r="F121" s="24">
        <f>SUM(B121:E121)</f>
        <v>1042711.55</v>
      </c>
      <c r="H121" s="22"/>
    </row>
    <row r="122" spans="1:8" x14ac:dyDescent="0.2">
      <c r="A122" s="16">
        <v>40405</v>
      </c>
      <c r="B122" s="24">
        <v>255131.66</v>
      </c>
      <c r="C122" s="24">
        <v>1094972.49</v>
      </c>
      <c r="D122" s="24">
        <v>14183.18</v>
      </c>
      <c r="E122" s="24">
        <v>37822.21</v>
      </c>
      <c r="F122" s="24">
        <f>SUM(B122:E122)</f>
        <v>1402109.5399999998</v>
      </c>
      <c r="G122" s="22"/>
      <c r="H122" s="22"/>
    </row>
    <row r="123" spans="1:8" x14ac:dyDescent="0.2">
      <c r="A123" s="16">
        <v>40497</v>
      </c>
      <c r="B123" s="24">
        <v>588328.55000000005</v>
      </c>
      <c r="C123" s="24">
        <v>1638238.28</v>
      </c>
      <c r="D123" s="24">
        <v>37828.61</v>
      </c>
      <c r="E123" s="24">
        <v>52890.84</v>
      </c>
      <c r="F123" s="24">
        <f>SUM(B123:E123)</f>
        <v>2317286.2799999998</v>
      </c>
    </row>
    <row r="124" spans="1:8" ht="16.5" thickBot="1" x14ac:dyDescent="0.3">
      <c r="A124" s="8" t="s">
        <v>16</v>
      </c>
      <c r="B124" s="17">
        <f>SUM(B120:B123)</f>
        <v>1158443.76</v>
      </c>
      <c r="C124" s="17">
        <f>SUM(C120:C123)</f>
        <v>3885064.01</v>
      </c>
      <c r="D124" s="17">
        <f>SUM(D120:D123)</f>
        <v>67457.31</v>
      </c>
      <c r="E124" s="17">
        <f>SUM(E120:E123)</f>
        <v>146411.91</v>
      </c>
      <c r="F124" s="17">
        <f>SUM(F120:F123)</f>
        <v>5257376.99</v>
      </c>
    </row>
    <row r="125" spans="1:8" ht="16.5" thickTop="1" x14ac:dyDescent="0.25">
      <c r="A125" s="13"/>
      <c r="B125" s="14"/>
      <c r="C125" s="14"/>
      <c r="D125" s="14"/>
      <c r="E125" s="14"/>
      <c r="F125" s="14"/>
    </row>
    <row r="126" spans="1:8" x14ac:dyDescent="0.2">
      <c r="A126" s="16">
        <v>39859</v>
      </c>
      <c r="B126" s="9">
        <v>81254.52</v>
      </c>
      <c r="C126" s="9">
        <v>299211.82</v>
      </c>
      <c r="D126" s="9">
        <v>11469.51</v>
      </c>
      <c r="E126" s="9">
        <v>78368.479999999996</v>
      </c>
      <c r="F126" s="9">
        <f>SUM(B126:E126)</f>
        <v>470304.33</v>
      </c>
    </row>
    <row r="127" spans="1:8" x14ac:dyDescent="0.2">
      <c r="A127" s="16">
        <v>39948</v>
      </c>
      <c r="B127" s="9">
        <v>121346.26</v>
      </c>
      <c r="C127" s="9">
        <v>421170.08</v>
      </c>
      <c r="D127" s="9">
        <v>4442.05</v>
      </c>
      <c r="E127" s="9">
        <v>0</v>
      </c>
      <c r="F127" s="9">
        <f>SUM(B127:E127)</f>
        <v>546958.39</v>
      </c>
    </row>
    <row r="128" spans="1:8" x14ac:dyDescent="0.2">
      <c r="A128" s="16">
        <v>40040</v>
      </c>
      <c r="B128" s="9">
        <v>158107.66</v>
      </c>
      <c r="C128" s="9">
        <v>436509.49</v>
      </c>
      <c r="D128" s="9">
        <v>12756.23</v>
      </c>
      <c r="E128" s="9">
        <v>38973.79</v>
      </c>
      <c r="F128" s="9">
        <f>SUM(B128:E128)</f>
        <v>646347.17000000004</v>
      </c>
      <c r="G128" s="22"/>
    </row>
    <row r="129" spans="1:7" x14ac:dyDescent="0.2">
      <c r="A129" s="16">
        <v>40132</v>
      </c>
      <c r="B129" s="9">
        <v>254991.93</v>
      </c>
      <c r="C129" s="9">
        <v>798569.87</v>
      </c>
      <c r="D129" s="9">
        <v>32777.300000000003</v>
      </c>
      <c r="E129" s="9">
        <v>29849.599999999999</v>
      </c>
      <c r="F129" s="9">
        <f>SUM(B129:E129)</f>
        <v>1116188.7000000002</v>
      </c>
      <c r="G129" s="22"/>
    </row>
    <row r="130" spans="1:7" ht="16.5" thickBot="1" x14ac:dyDescent="0.3">
      <c r="A130" s="8" t="s">
        <v>12</v>
      </c>
      <c r="B130" s="17">
        <f>SUM(B126:B129)</f>
        <v>615700.37</v>
      </c>
      <c r="C130" s="17">
        <f>SUM(C126:C129)</f>
        <v>1955461.2600000002</v>
      </c>
      <c r="D130" s="17">
        <f>SUM(D126:D129)</f>
        <v>61445.090000000004</v>
      </c>
      <c r="E130" s="17">
        <f>SUM(E126:E129)</f>
        <v>147191.87</v>
      </c>
      <c r="F130" s="17">
        <f>SUM(F126:F129)</f>
        <v>2779798.5900000003</v>
      </c>
    </row>
    <row r="131" spans="1:7" ht="15.75" thickTop="1" x14ac:dyDescent="0.2"/>
    <row r="132" spans="1:7" x14ac:dyDescent="0.2">
      <c r="A132" s="16">
        <v>39501</v>
      </c>
      <c r="B132" s="9">
        <v>101712.23</v>
      </c>
      <c r="C132" s="9">
        <v>392901.89</v>
      </c>
      <c r="D132" s="9">
        <v>11824.79</v>
      </c>
      <c r="E132" s="9">
        <v>34653.769999999997</v>
      </c>
      <c r="F132" s="9">
        <f>SUM(B132:E132)</f>
        <v>541092.67999999993</v>
      </c>
    </row>
    <row r="133" spans="1:7" x14ac:dyDescent="0.2">
      <c r="A133" s="16">
        <v>39591</v>
      </c>
      <c r="B133" s="9">
        <v>112698.88</v>
      </c>
      <c r="C133" s="9">
        <v>329495.09000000003</v>
      </c>
      <c r="D133" s="9">
        <v>3947.44</v>
      </c>
      <c r="E133" s="9">
        <v>18128.2</v>
      </c>
      <c r="F133" s="9">
        <f>SUM(B133:E133)</f>
        <v>464269.61000000004</v>
      </c>
    </row>
    <row r="134" spans="1:7" x14ac:dyDescent="0.2">
      <c r="A134" s="16">
        <v>39675</v>
      </c>
      <c r="B134" s="9">
        <v>151024.51999999999</v>
      </c>
      <c r="C134" s="9">
        <v>444350.67</v>
      </c>
      <c r="D134" s="9">
        <v>13173.99</v>
      </c>
      <c r="E134" s="9">
        <v>35021.82</v>
      </c>
      <c r="F134" s="9">
        <f>SUM(B134:E134)</f>
        <v>643570.99999999988</v>
      </c>
    </row>
    <row r="135" spans="1:7" x14ac:dyDescent="0.2">
      <c r="A135" s="16">
        <v>39767</v>
      </c>
      <c r="B135" s="9">
        <v>284042.08</v>
      </c>
      <c r="C135" s="9">
        <v>671079.78</v>
      </c>
      <c r="D135" s="9">
        <v>32654.69</v>
      </c>
      <c r="E135" s="9">
        <v>51005.33</v>
      </c>
      <c r="F135" s="9">
        <f>SUM(B135:E135)</f>
        <v>1038781.88</v>
      </c>
    </row>
    <row r="136" spans="1:7" ht="16.5" thickBot="1" x14ac:dyDescent="0.3">
      <c r="A136" s="8" t="s">
        <v>11</v>
      </c>
      <c r="B136" s="17">
        <f>SUM(B132:B135)</f>
        <v>649477.71</v>
      </c>
      <c r="C136" s="17">
        <f>SUM(C132:C135)</f>
        <v>1837827.43</v>
      </c>
      <c r="D136" s="17">
        <f>SUM(D132:D135)</f>
        <v>61600.91</v>
      </c>
      <c r="E136" s="17">
        <f>SUM(E132:E135)</f>
        <v>138809.12</v>
      </c>
      <c r="F136" s="17">
        <f>SUM(F132:F135)</f>
        <v>2687715.17</v>
      </c>
    </row>
    <row r="137" spans="1:7" ht="15.75" thickTop="1" x14ac:dyDescent="0.2"/>
    <row r="138" spans="1:7" x14ac:dyDescent="0.2">
      <c r="A138" s="16">
        <v>39136</v>
      </c>
      <c r="B138" s="9">
        <v>118895.26</v>
      </c>
      <c r="C138" s="9">
        <v>447194.6</v>
      </c>
      <c r="D138" s="9">
        <v>15049.97</v>
      </c>
      <c r="E138" s="9">
        <v>18181.810000000001</v>
      </c>
      <c r="F138" s="9">
        <f>SUM(B138:E138)</f>
        <v>599321.64</v>
      </c>
    </row>
    <row r="139" spans="1:7" x14ac:dyDescent="0.2">
      <c r="A139" s="16">
        <v>39225</v>
      </c>
      <c r="B139" s="9">
        <v>77038.33</v>
      </c>
      <c r="C139" s="9">
        <v>391984.02</v>
      </c>
      <c r="E139" s="9">
        <v>16316</v>
      </c>
      <c r="F139" s="9">
        <f>SUM(B139:E139)</f>
        <v>485338.35000000003</v>
      </c>
    </row>
    <row r="140" spans="1:7" x14ac:dyDescent="0.2">
      <c r="A140" s="16">
        <v>39317</v>
      </c>
      <c r="B140" s="9">
        <v>162070.54</v>
      </c>
      <c r="C140" s="9">
        <v>471863.52</v>
      </c>
      <c r="D140" s="9">
        <v>13897.03</v>
      </c>
      <c r="E140" s="9">
        <v>38619.18</v>
      </c>
      <c r="F140" s="9">
        <f>SUM(B140:E140)</f>
        <v>686450.27000000014</v>
      </c>
    </row>
    <row r="141" spans="1:7" x14ac:dyDescent="0.2">
      <c r="A141" s="16">
        <v>39406</v>
      </c>
      <c r="B141" s="9">
        <v>170465.23</v>
      </c>
      <c r="C141" s="9">
        <v>609013.91</v>
      </c>
      <c r="D141" s="9">
        <v>22655.599999999999</v>
      </c>
      <c r="E141" s="9">
        <v>40082.400000000001</v>
      </c>
      <c r="F141" s="9">
        <f>SUM(B141:E141)</f>
        <v>842217.14</v>
      </c>
    </row>
    <row r="142" spans="1:7" x14ac:dyDescent="0.2">
      <c r="A142" s="16">
        <v>39416</v>
      </c>
      <c r="B142" s="9">
        <v>120811.01</v>
      </c>
      <c r="C142" s="9">
        <v>68730.87</v>
      </c>
      <c r="D142" s="9">
        <v>10793.12</v>
      </c>
      <c r="E142" s="9">
        <v>9463.1</v>
      </c>
      <c r="F142" s="9">
        <f>SUM(B142:E142)</f>
        <v>209798.1</v>
      </c>
    </row>
    <row r="143" spans="1:7" ht="16.5" thickBot="1" x14ac:dyDescent="0.3">
      <c r="A143" s="8" t="s">
        <v>10</v>
      </c>
      <c r="B143" s="17">
        <f>SUM(B138:B142)</f>
        <v>649280.37</v>
      </c>
      <c r="C143" s="17">
        <f>SUM(C138:C142)</f>
        <v>1988786.9200000004</v>
      </c>
      <c r="D143" s="17">
        <f>SUM(D138:D142)</f>
        <v>62395.72</v>
      </c>
      <c r="E143" s="17">
        <f>SUM(E138:E142)</f>
        <v>122662.48999999999</v>
      </c>
      <c r="F143" s="17">
        <f>SUM(F138:F142)</f>
        <v>2823125.5000000005</v>
      </c>
    </row>
    <row r="144" spans="1:7" ht="15.75" thickTop="1" x14ac:dyDescent="0.2"/>
  </sheetData>
  <phoneticPr fontId="0" type="noConversion"/>
  <pageMargins left="0.75" right="0.75" top="1" bottom="1" header="0.5" footer="0.5"/>
  <pageSetup scale="54" fitToHeight="0" orientation="portrait" r:id="rId1"/>
  <headerFooter alignWithMargins="0">
    <oddFooter>&amp;L
&amp;Z&amp;F &amp;D &amp;T</oddFooter>
  </headerFooter>
  <ignoredErrors>
    <ignoredError sqref="J32 J16:J17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18D80C-A879-4D80-869F-110A597BC885}">
  <dimension ref="A1:J137"/>
  <sheetViews>
    <sheetView topLeftCell="A67" workbookViewId="0">
      <selection activeCell="J88" sqref="J88"/>
    </sheetView>
  </sheetViews>
  <sheetFormatPr defaultRowHeight="12.75" x14ac:dyDescent="0.2"/>
  <cols>
    <col min="1" max="1" width="11.28515625" customWidth="1"/>
    <col min="2" max="2" width="19.42578125" bestFit="1" customWidth="1"/>
    <col min="3" max="3" width="16.7109375" bestFit="1" customWidth="1"/>
    <col min="4" max="5" width="14.85546875" bestFit="1" customWidth="1"/>
    <col min="6" max="9" width="16.7109375" bestFit="1" customWidth="1"/>
    <col min="10" max="10" width="18" bestFit="1" customWidth="1"/>
  </cols>
  <sheetData>
    <row r="1" spans="1:10" ht="15.75" x14ac:dyDescent="0.25">
      <c r="A1" s="8" t="s">
        <v>0</v>
      </c>
      <c r="B1" s="9"/>
      <c r="C1" s="9"/>
      <c r="D1" s="9"/>
      <c r="E1" s="9"/>
      <c r="F1" s="9"/>
      <c r="G1" s="10"/>
      <c r="H1" s="10"/>
      <c r="I1" s="11"/>
      <c r="J1" s="10"/>
    </row>
    <row r="2" spans="1:10" ht="15.75" x14ac:dyDescent="0.25">
      <c r="A2" s="8" t="s">
        <v>14</v>
      </c>
      <c r="B2" s="9"/>
      <c r="C2" s="9"/>
      <c r="D2" s="9"/>
      <c r="E2" s="9"/>
      <c r="F2" s="9"/>
      <c r="G2" s="10"/>
      <c r="H2" s="10"/>
      <c r="I2" s="11"/>
      <c r="J2" s="10"/>
    </row>
    <row r="3" spans="1:10" ht="15.75" x14ac:dyDescent="0.25">
      <c r="A3" s="8" t="s">
        <v>13</v>
      </c>
      <c r="B3" s="9"/>
      <c r="C3" s="9"/>
      <c r="D3" s="9"/>
      <c r="E3" s="9"/>
      <c r="F3" s="9"/>
      <c r="G3" s="10"/>
      <c r="H3" s="10"/>
      <c r="I3" s="11"/>
      <c r="J3" s="10"/>
    </row>
    <row r="4" spans="1:10" ht="15" x14ac:dyDescent="0.2">
      <c r="A4" s="12" t="s">
        <v>15</v>
      </c>
      <c r="B4" s="9"/>
      <c r="C4" s="9"/>
      <c r="D4" s="9"/>
      <c r="E4" s="9"/>
      <c r="F4" s="9"/>
      <c r="G4" s="10"/>
      <c r="H4" s="10"/>
      <c r="I4" s="11"/>
      <c r="J4" s="10"/>
    </row>
    <row r="5" spans="1:10" ht="15" x14ac:dyDescent="0.2">
      <c r="A5" s="12" t="s">
        <v>44</v>
      </c>
      <c r="B5" s="9"/>
      <c r="C5" s="9"/>
      <c r="D5" s="9"/>
      <c r="E5" s="9"/>
      <c r="F5" s="9"/>
      <c r="G5" s="10"/>
      <c r="H5" s="10"/>
      <c r="I5" s="11"/>
      <c r="J5" s="10"/>
    </row>
    <row r="6" spans="1:10" ht="15" x14ac:dyDescent="0.2">
      <c r="A6" s="12"/>
      <c r="B6" s="9"/>
      <c r="C6" s="9"/>
      <c r="D6" s="9"/>
      <c r="E6" s="9"/>
      <c r="F6" s="9"/>
      <c r="G6" s="10"/>
      <c r="H6" s="10"/>
      <c r="I6" s="11"/>
      <c r="J6" s="10"/>
    </row>
    <row r="7" spans="1:10" ht="15.75" x14ac:dyDescent="0.25">
      <c r="A7" s="13" t="s">
        <v>4</v>
      </c>
      <c r="B7" s="14" t="s">
        <v>23</v>
      </c>
      <c r="C7" s="14" t="s">
        <v>24</v>
      </c>
      <c r="D7" s="14" t="s">
        <v>7</v>
      </c>
      <c r="E7" s="14" t="s">
        <v>25</v>
      </c>
      <c r="F7" s="14" t="s">
        <v>22</v>
      </c>
      <c r="G7" s="14" t="s">
        <v>35</v>
      </c>
      <c r="H7" s="14" t="s">
        <v>37</v>
      </c>
      <c r="I7" s="15" t="s">
        <v>42</v>
      </c>
      <c r="J7" s="14" t="s">
        <v>9</v>
      </c>
    </row>
    <row r="8" spans="1:10" ht="15" x14ac:dyDescent="0.2">
      <c r="A8" s="16">
        <v>45337</v>
      </c>
      <c r="B8" s="9">
        <f>455354.2</f>
        <v>455354.2</v>
      </c>
      <c r="C8" s="9">
        <f>1685472.16</f>
        <v>1685472.16</v>
      </c>
      <c r="D8" s="9">
        <f>12358.33</f>
        <v>12358.33</v>
      </c>
      <c r="E8" s="9">
        <f>54847.05</f>
        <v>54847.05</v>
      </c>
      <c r="F8" s="9">
        <f>2000.89</f>
        <v>2000.89</v>
      </c>
      <c r="G8" s="9">
        <f>244346.6</f>
        <v>244346.6</v>
      </c>
      <c r="H8" s="9">
        <f>46805.22</f>
        <v>46805.22</v>
      </c>
      <c r="I8" s="11">
        <f>13381.06</f>
        <v>13381.06</v>
      </c>
      <c r="J8" s="9">
        <f>SUM(B8:I8)</f>
        <v>2514565.5100000002</v>
      </c>
    </row>
    <row r="9" spans="1:10" ht="15" x14ac:dyDescent="0.2">
      <c r="A9" s="16">
        <v>45427</v>
      </c>
      <c r="B9" s="9">
        <v>489637.45</v>
      </c>
      <c r="C9" s="9">
        <v>2058282.01</v>
      </c>
      <c r="D9" s="9">
        <v>14794.71</v>
      </c>
      <c r="E9" s="9">
        <v>45660.81</v>
      </c>
      <c r="F9" s="9">
        <f>938.91</f>
        <v>938.91</v>
      </c>
      <c r="G9" s="9">
        <f>203042.52</f>
        <v>203042.52</v>
      </c>
      <c r="H9" s="9">
        <f>28993.03</f>
        <v>28993.03</v>
      </c>
      <c r="I9" s="11">
        <f>7238.19</f>
        <v>7238.19</v>
      </c>
      <c r="J9" s="9">
        <f>SUM(B9:I9)</f>
        <v>2848587.63</v>
      </c>
    </row>
    <row r="10" spans="1:10" ht="15" x14ac:dyDescent="0.2">
      <c r="A10" s="16">
        <v>45519</v>
      </c>
      <c r="B10" s="9">
        <v>977011.45</v>
      </c>
      <c r="C10" s="9">
        <v>2311446.91</v>
      </c>
      <c r="D10" s="9">
        <v>40986.22</v>
      </c>
      <c r="E10" s="9">
        <v>85828.11</v>
      </c>
      <c r="F10" s="9">
        <v>3046.79</v>
      </c>
      <c r="G10" s="9">
        <v>251943.35</v>
      </c>
      <c r="H10" s="9">
        <v>109233.52</v>
      </c>
      <c r="I10" s="11">
        <v>44410.63</v>
      </c>
      <c r="J10" s="9">
        <f>SUM(B10:I10)</f>
        <v>3823906.9800000004</v>
      </c>
    </row>
    <row r="11" spans="1:10" ht="15" x14ac:dyDescent="0.2">
      <c r="A11" s="16">
        <v>45611</v>
      </c>
      <c r="B11" s="9">
        <f>1077520.17</f>
        <v>1077520.17</v>
      </c>
      <c r="C11" s="9">
        <f>2992082.85</f>
        <v>2992082.85</v>
      </c>
      <c r="D11" s="9">
        <f>71005.71</f>
        <v>71005.710000000006</v>
      </c>
      <c r="E11" s="9">
        <f>93882.48</f>
        <v>93882.48</v>
      </c>
      <c r="F11" s="9">
        <f>4448.33</f>
        <v>4448.33</v>
      </c>
      <c r="G11" s="9">
        <f>262186.13</f>
        <v>262186.13</v>
      </c>
      <c r="H11" s="9">
        <f>157335.07</f>
        <v>157335.07</v>
      </c>
      <c r="I11" s="11">
        <f>85993.71</f>
        <v>85993.71</v>
      </c>
      <c r="J11" s="9">
        <f>SUM(B11:I11)</f>
        <v>4744454.45</v>
      </c>
    </row>
    <row r="12" spans="1:10" ht="16.5" thickBot="1" x14ac:dyDescent="0.3">
      <c r="A12" s="8" t="s">
        <v>46</v>
      </c>
      <c r="B12" s="17">
        <f t="shared" ref="B12:F12" si="0">SUM(B8:B11)</f>
        <v>2999523.27</v>
      </c>
      <c r="C12" s="17">
        <f t="shared" si="0"/>
        <v>9047283.9299999997</v>
      </c>
      <c r="D12" s="17">
        <f t="shared" si="0"/>
        <v>139144.97000000003</v>
      </c>
      <c r="E12" s="17">
        <f t="shared" si="0"/>
        <v>280218.45</v>
      </c>
      <c r="F12" s="17">
        <f t="shared" si="0"/>
        <v>10434.92</v>
      </c>
      <c r="G12" s="17">
        <f>SUM(G8:G11)</f>
        <v>961518.6</v>
      </c>
      <c r="H12" s="17">
        <f>SUM(H8:H11)</f>
        <v>342366.84</v>
      </c>
      <c r="I12" s="18">
        <f>SUM(I8:I11)</f>
        <v>151023.59</v>
      </c>
      <c r="J12" s="17">
        <f>SUM(B12:I12)</f>
        <v>13931514.569999998</v>
      </c>
    </row>
    <row r="13" spans="1:10" ht="15.75" thickTop="1" x14ac:dyDescent="0.2">
      <c r="A13" s="12"/>
      <c r="B13" s="9"/>
      <c r="C13" s="9"/>
      <c r="D13" s="9"/>
      <c r="E13" s="9"/>
      <c r="F13" s="9"/>
      <c r="G13" s="10"/>
      <c r="H13" s="10"/>
      <c r="I13" s="11"/>
      <c r="J13" s="10"/>
    </row>
    <row r="14" spans="1:10" ht="15.75" x14ac:dyDescent="0.25">
      <c r="A14" s="13" t="s">
        <v>4</v>
      </c>
      <c r="B14" s="14" t="s">
        <v>23</v>
      </c>
      <c r="C14" s="14" t="s">
        <v>24</v>
      </c>
      <c r="D14" s="14" t="s">
        <v>7</v>
      </c>
      <c r="E14" s="14" t="s">
        <v>25</v>
      </c>
      <c r="F14" s="14" t="s">
        <v>22</v>
      </c>
      <c r="G14" s="14" t="s">
        <v>35</v>
      </c>
      <c r="H14" s="14" t="s">
        <v>37</v>
      </c>
      <c r="I14" s="15" t="s">
        <v>42</v>
      </c>
      <c r="J14" s="14" t="s">
        <v>9</v>
      </c>
    </row>
    <row r="15" spans="1:10" ht="15" x14ac:dyDescent="0.2">
      <c r="A15" s="16">
        <v>44972</v>
      </c>
      <c r="B15" s="9">
        <f>450806.35</f>
        <v>450806.35</v>
      </c>
      <c r="C15" s="9">
        <f>1795020.31</f>
        <v>1795020.31</v>
      </c>
      <c r="D15" s="9">
        <f>12124.22</f>
        <v>12124.22</v>
      </c>
      <c r="E15" s="9">
        <f>59711.15</f>
        <v>59711.15</v>
      </c>
      <c r="F15" s="9">
        <f>2550.6</f>
        <v>2550.6</v>
      </c>
      <c r="G15" s="9">
        <f>227500.07</f>
        <v>227500.07</v>
      </c>
      <c r="H15" s="9">
        <f>58120.93</f>
        <v>58120.93</v>
      </c>
      <c r="I15" s="11">
        <f>16800.56</f>
        <v>16800.560000000001</v>
      </c>
      <c r="J15" s="9">
        <f>SUM(B15:I15)</f>
        <v>2622634.1900000004</v>
      </c>
    </row>
    <row r="16" spans="1:10" ht="15" x14ac:dyDescent="0.2">
      <c r="A16" s="16">
        <v>45061</v>
      </c>
      <c r="B16" s="9">
        <f>523611.96</f>
        <v>523611.96</v>
      </c>
      <c r="C16" s="9">
        <f>1835186.81</f>
        <v>1835186.81</v>
      </c>
      <c r="D16" s="9">
        <f>9949.02</f>
        <v>9949.02</v>
      </c>
      <c r="E16" s="9">
        <f>49204.46</f>
        <v>49204.46</v>
      </c>
      <c r="F16" s="9">
        <f>1220.7</f>
        <v>1220.7</v>
      </c>
      <c r="G16" s="9">
        <f>191656.43</f>
        <v>191656.43</v>
      </c>
      <c r="H16" s="9">
        <f>30300.36</f>
        <v>30300.36</v>
      </c>
      <c r="I16" s="11">
        <f>13492.38</f>
        <v>13492.38</v>
      </c>
      <c r="J16" s="9">
        <f>SUM(B16:I16)</f>
        <v>2654622.12</v>
      </c>
    </row>
    <row r="17" spans="1:10" ht="15" x14ac:dyDescent="0.2">
      <c r="A17" s="16">
        <v>45153</v>
      </c>
      <c r="B17" s="9">
        <f>869686.26</f>
        <v>869686.26</v>
      </c>
      <c r="C17" s="9">
        <f>2350831.04</f>
        <v>2350831.04</v>
      </c>
      <c r="D17" s="9">
        <f>43741.3</f>
        <v>43741.3</v>
      </c>
      <c r="E17" s="9">
        <f>81173.07</f>
        <v>81173.070000000007</v>
      </c>
      <c r="F17" s="9">
        <f>3055.43</f>
        <v>3055.43</v>
      </c>
      <c r="G17" s="9">
        <f>243043.47</f>
        <v>243043.47</v>
      </c>
      <c r="H17" s="9">
        <f>111214.9</f>
        <v>111214.9</v>
      </c>
      <c r="I17" s="11">
        <f>66989.58</f>
        <v>66989.58</v>
      </c>
      <c r="J17" s="9">
        <f>SUM(B17:I17)</f>
        <v>3769735.05</v>
      </c>
    </row>
    <row r="18" spans="1:10" ht="15" x14ac:dyDescent="0.2">
      <c r="A18" s="16">
        <v>45245</v>
      </c>
      <c r="B18" s="9">
        <f>1201472.25</f>
        <v>1201472.25</v>
      </c>
      <c r="C18" s="9">
        <f>3123399.4</f>
        <v>3123399.4</v>
      </c>
      <c r="D18" s="9">
        <f>59027.7</f>
        <v>59027.7</v>
      </c>
      <c r="E18" s="9">
        <f>91201.14</f>
        <v>91201.14</v>
      </c>
      <c r="F18" s="9">
        <f>4527.37</f>
        <v>4527.37</v>
      </c>
      <c r="G18" s="9">
        <f>245720.67</f>
        <v>245720.67</v>
      </c>
      <c r="H18" s="9">
        <f>143028.01</f>
        <v>143028.01</v>
      </c>
      <c r="I18" s="11">
        <f>85303.2</f>
        <v>85303.2</v>
      </c>
      <c r="J18" s="9">
        <f>SUM(B18:I18)</f>
        <v>4953679.74</v>
      </c>
    </row>
    <row r="19" spans="1:10" ht="16.5" thickBot="1" x14ac:dyDescent="0.3">
      <c r="A19" s="8" t="s">
        <v>45</v>
      </c>
      <c r="B19" s="17">
        <f t="shared" ref="B19:F19" si="1">SUM(B15:B18)</f>
        <v>3045576.8200000003</v>
      </c>
      <c r="C19" s="17">
        <f t="shared" si="1"/>
        <v>9104437.5600000005</v>
      </c>
      <c r="D19" s="17">
        <f t="shared" si="1"/>
        <v>124842.24000000001</v>
      </c>
      <c r="E19" s="17">
        <f t="shared" si="1"/>
        <v>281289.82</v>
      </c>
      <c r="F19" s="17">
        <f t="shared" si="1"/>
        <v>11354.099999999999</v>
      </c>
      <c r="G19" s="17">
        <f>SUM(G15:G18)</f>
        <v>907920.64</v>
      </c>
      <c r="H19" s="17">
        <f>SUM(H15:H18)</f>
        <v>342664.2</v>
      </c>
      <c r="I19" s="18">
        <f>SUM(I15:I18)</f>
        <v>182585.72</v>
      </c>
      <c r="J19" s="17">
        <f>SUM(B19:I19)</f>
        <v>14000671.100000001</v>
      </c>
    </row>
    <row r="20" spans="1:10" ht="15.75" thickTop="1" x14ac:dyDescent="0.2">
      <c r="A20" s="12"/>
      <c r="B20" s="9"/>
      <c r="C20" s="9"/>
      <c r="D20" s="9"/>
      <c r="E20" s="9"/>
      <c r="F20" s="9"/>
      <c r="G20" s="10"/>
      <c r="H20" s="10"/>
      <c r="I20" s="11"/>
      <c r="J20" s="10"/>
    </row>
    <row r="21" spans="1:10" ht="15.75" x14ac:dyDescent="0.25">
      <c r="A21" s="13" t="s">
        <v>4</v>
      </c>
      <c r="B21" s="14" t="s">
        <v>23</v>
      </c>
      <c r="C21" s="14" t="s">
        <v>24</v>
      </c>
      <c r="D21" s="14" t="s">
        <v>7</v>
      </c>
      <c r="E21" s="14" t="s">
        <v>25</v>
      </c>
      <c r="F21" s="14" t="s">
        <v>22</v>
      </c>
      <c r="G21" s="14" t="s">
        <v>35</v>
      </c>
      <c r="H21" s="14" t="s">
        <v>37</v>
      </c>
      <c r="I21" s="15" t="s">
        <v>42</v>
      </c>
      <c r="J21" s="14" t="s">
        <v>9</v>
      </c>
    </row>
    <row r="22" spans="1:10" ht="15" x14ac:dyDescent="0.2">
      <c r="A22" s="16">
        <v>44607</v>
      </c>
      <c r="B22" s="9">
        <f>426173.69</f>
        <v>426173.69</v>
      </c>
      <c r="C22" s="9">
        <f>1497858.52</f>
        <v>1497858.52</v>
      </c>
      <c r="D22" s="9">
        <f>13939.42</f>
        <v>13939.42</v>
      </c>
      <c r="E22" s="9">
        <f>62663.33</f>
        <v>62663.33</v>
      </c>
      <c r="F22" s="9">
        <f>3171.53</f>
        <v>3171.53</v>
      </c>
      <c r="G22" s="9">
        <f>212237.46</f>
        <v>212237.46</v>
      </c>
      <c r="H22" s="9">
        <f>48940.53</f>
        <v>48940.53</v>
      </c>
      <c r="I22" s="11">
        <f>168.67</f>
        <v>168.67</v>
      </c>
      <c r="J22" s="9">
        <f>SUM(B22:I22)</f>
        <v>2265153.15</v>
      </c>
    </row>
    <row r="23" spans="1:10" ht="15" x14ac:dyDescent="0.2">
      <c r="A23" s="16">
        <v>44696</v>
      </c>
      <c r="B23" s="9">
        <f>461086.97</f>
        <v>461086.97</v>
      </c>
      <c r="C23" s="9">
        <f>1808412.75</f>
        <v>1808412.75</v>
      </c>
      <c r="D23" s="9">
        <f>12709.09</f>
        <v>12709.09</v>
      </c>
      <c r="E23" s="9">
        <f>48278.88</f>
        <v>48278.879999999997</v>
      </c>
      <c r="F23" s="9">
        <f>1040.23</f>
        <v>1040.23</v>
      </c>
      <c r="G23" s="9">
        <f>177214.16</f>
        <v>177214.16</v>
      </c>
      <c r="H23" s="9">
        <f>24398.26</f>
        <v>24398.26</v>
      </c>
      <c r="I23" s="11">
        <f>4748.73</f>
        <v>4748.7299999999996</v>
      </c>
      <c r="J23" s="9">
        <f>SUM(B23:I23)</f>
        <v>2537889.0699999994</v>
      </c>
    </row>
    <row r="24" spans="1:10" ht="15" x14ac:dyDescent="0.2">
      <c r="A24" s="16">
        <v>44788</v>
      </c>
      <c r="B24" s="9">
        <f>859568.25</f>
        <v>859568.25</v>
      </c>
      <c r="C24" s="9">
        <f>2351137.06</f>
        <v>2351137.06</v>
      </c>
      <c r="D24" s="9">
        <f>41437.45</f>
        <v>41437.449999999997</v>
      </c>
      <c r="E24" s="9">
        <f>83693.61</f>
        <v>83693.61</v>
      </c>
      <c r="F24" s="9">
        <f>2833.51</f>
        <v>2833.51</v>
      </c>
      <c r="G24" s="9">
        <f>239787.25</f>
        <v>239787.25</v>
      </c>
      <c r="H24" s="9">
        <f>96486.38</f>
        <v>96486.38</v>
      </c>
      <c r="I24" s="11">
        <f>33824.35</f>
        <v>33824.35</v>
      </c>
      <c r="J24" s="9">
        <f>SUM(B24:I24)</f>
        <v>3708767.86</v>
      </c>
    </row>
    <row r="25" spans="1:10" ht="15" x14ac:dyDescent="0.2">
      <c r="A25" s="16">
        <v>44880</v>
      </c>
      <c r="B25" s="9">
        <v>1085576.68</v>
      </c>
      <c r="C25" s="9">
        <v>3100323.82</v>
      </c>
      <c r="D25" s="9">
        <v>52223.6</v>
      </c>
      <c r="E25" s="9">
        <v>86803.43</v>
      </c>
      <c r="F25" s="9">
        <v>3843.12</v>
      </c>
      <c r="G25" s="9">
        <v>235690.01</v>
      </c>
      <c r="H25" s="9">
        <v>142724.26</v>
      </c>
      <c r="I25" s="11">
        <v>69779.47</v>
      </c>
      <c r="J25" s="9">
        <f>SUM(B25:I25)</f>
        <v>4776964.3899999987</v>
      </c>
    </row>
    <row r="26" spans="1:10" ht="16.5" thickBot="1" x14ac:dyDescent="0.3">
      <c r="A26" s="8" t="s">
        <v>43</v>
      </c>
      <c r="B26" s="17">
        <f t="shared" ref="B26:F26" si="2">SUM(B22:B25)</f>
        <v>2832405.59</v>
      </c>
      <c r="C26" s="17">
        <f t="shared" si="2"/>
        <v>8757732.1500000004</v>
      </c>
      <c r="D26" s="17">
        <f t="shared" si="2"/>
        <v>120309.56</v>
      </c>
      <c r="E26" s="17">
        <f t="shared" si="2"/>
        <v>281439.25</v>
      </c>
      <c r="F26" s="17">
        <f t="shared" si="2"/>
        <v>10888.39</v>
      </c>
      <c r="G26" s="17">
        <f>SUM(G22:G25)</f>
        <v>864928.88</v>
      </c>
      <c r="H26" s="17">
        <f>SUM(H22:H25)</f>
        <v>312549.43</v>
      </c>
      <c r="I26" s="18">
        <f>SUM(I22:I25)</f>
        <v>108521.22</v>
      </c>
      <c r="J26" s="17">
        <f>SUM(B26:I26)</f>
        <v>13288774.470000003</v>
      </c>
    </row>
    <row r="27" spans="1:10" ht="15.75" thickTop="1" x14ac:dyDescent="0.2">
      <c r="A27" s="12"/>
      <c r="B27" s="9"/>
      <c r="C27" s="9"/>
      <c r="D27" s="9"/>
      <c r="E27" s="9"/>
      <c r="F27" s="9"/>
      <c r="G27" s="10"/>
      <c r="H27" s="10"/>
      <c r="I27" s="11"/>
      <c r="J27" s="10"/>
    </row>
    <row r="28" spans="1:10" ht="15.75" x14ac:dyDescent="0.25">
      <c r="A28" s="13" t="s">
        <v>4</v>
      </c>
      <c r="B28" s="14" t="s">
        <v>23</v>
      </c>
      <c r="C28" s="14" t="s">
        <v>24</v>
      </c>
      <c r="D28" s="14" t="s">
        <v>7</v>
      </c>
      <c r="E28" s="14" t="s">
        <v>25</v>
      </c>
      <c r="F28" s="14" t="s">
        <v>22</v>
      </c>
      <c r="G28" s="14" t="s">
        <v>35</v>
      </c>
      <c r="H28" s="14" t="s">
        <v>37</v>
      </c>
      <c r="I28" s="15" t="s">
        <v>9</v>
      </c>
      <c r="J28" s="10"/>
    </row>
    <row r="29" spans="1:10" ht="15" x14ac:dyDescent="0.2">
      <c r="A29" s="16">
        <v>44242</v>
      </c>
      <c r="B29" s="9">
        <f>297463.28</f>
        <v>297463.28000000003</v>
      </c>
      <c r="C29" s="9">
        <f>995555.53</f>
        <v>995555.53</v>
      </c>
      <c r="D29" s="9">
        <f>10939.7</f>
        <v>10939.7</v>
      </c>
      <c r="E29" s="9">
        <f>45069.61</f>
        <v>45069.61</v>
      </c>
      <c r="F29" s="9">
        <f>2112.22</f>
        <v>2112.2199999999998</v>
      </c>
      <c r="G29" s="9">
        <f>184593.3</f>
        <v>184593.3</v>
      </c>
      <c r="H29" s="9">
        <f>30736.84</f>
        <v>30736.84</v>
      </c>
      <c r="I29" s="11">
        <f>SUM(B29:H29)</f>
        <v>1566470.4800000002</v>
      </c>
      <c r="J29" s="10"/>
    </row>
    <row r="30" spans="1:10" ht="15" x14ac:dyDescent="0.2">
      <c r="A30" s="16">
        <v>44331</v>
      </c>
      <c r="B30" s="9">
        <f>462627.44</f>
        <v>462627.44</v>
      </c>
      <c r="C30" s="9">
        <f>1649251.43</f>
        <v>1649251.43</v>
      </c>
      <c r="D30" s="9">
        <f>7518.6</f>
        <v>7518.6</v>
      </c>
      <c r="E30" s="9">
        <f>44253.73</f>
        <v>44253.73</v>
      </c>
      <c r="F30" s="9">
        <f>1149.26</f>
        <v>1149.26</v>
      </c>
      <c r="G30" s="9">
        <f>164874.82</f>
        <v>164874.82</v>
      </c>
      <c r="H30" s="9">
        <f>23272.53</f>
        <v>23272.53</v>
      </c>
      <c r="I30" s="11">
        <f t="shared" ref="I30:I31" si="3">SUM(B30:H30)</f>
        <v>2352947.8099999996</v>
      </c>
      <c r="J30" s="10"/>
    </row>
    <row r="31" spans="1:10" ht="15" x14ac:dyDescent="0.2">
      <c r="A31" s="16">
        <v>44423</v>
      </c>
      <c r="B31" s="9">
        <f>825103.23</f>
        <v>825103.23</v>
      </c>
      <c r="C31" s="9">
        <f>2161352.95</f>
        <v>2161352.9500000002</v>
      </c>
      <c r="D31" s="9">
        <f>32853.34</f>
        <v>32853.339999999997</v>
      </c>
      <c r="E31" s="9">
        <f>67733.12</f>
        <v>67733.119999999995</v>
      </c>
      <c r="F31" s="9">
        <f>2644.93</f>
        <v>2644.93</v>
      </c>
      <c r="G31" s="9">
        <f>201393</f>
        <v>201393</v>
      </c>
      <c r="H31" s="9">
        <f>82177.23</f>
        <v>82177.23</v>
      </c>
      <c r="I31" s="11">
        <f t="shared" si="3"/>
        <v>3373257.8000000003</v>
      </c>
      <c r="J31" s="10"/>
    </row>
    <row r="32" spans="1:10" ht="15" x14ac:dyDescent="0.2">
      <c r="A32" s="16">
        <v>44515</v>
      </c>
      <c r="B32" s="9">
        <f>1013324.51</f>
        <v>1013324.51</v>
      </c>
      <c r="C32" s="9">
        <f>2933256.91</f>
        <v>2933256.91</v>
      </c>
      <c r="D32" s="9">
        <f>58538.74</f>
        <v>58538.74</v>
      </c>
      <c r="E32" s="9">
        <f>84972.15</f>
        <v>84972.15</v>
      </c>
      <c r="F32" s="9">
        <f>3809.92</f>
        <v>3809.92</v>
      </c>
      <c r="G32" s="9">
        <f>211370.62</f>
        <v>211370.62</v>
      </c>
      <c r="H32" s="9">
        <f>147747.77</f>
        <v>147747.76999999999</v>
      </c>
      <c r="I32" s="11">
        <f>SUM(B32:H32)</f>
        <v>4453020.6199999992</v>
      </c>
      <c r="J32" s="10"/>
    </row>
    <row r="33" spans="1:10" ht="16.5" thickBot="1" x14ac:dyDescent="0.3">
      <c r="A33" s="8" t="s">
        <v>41</v>
      </c>
      <c r="B33" s="17">
        <f t="shared" ref="B33:F33" si="4">SUM(B29:B32)</f>
        <v>2598518.46</v>
      </c>
      <c r="C33" s="17">
        <f t="shared" si="4"/>
        <v>7739416.8200000003</v>
      </c>
      <c r="D33" s="17">
        <f t="shared" si="4"/>
        <v>109850.38</v>
      </c>
      <c r="E33" s="17">
        <f t="shared" si="4"/>
        <v>242028.61</v>
      </c>
      <c r="F33" s="17">
        <f t="shared" si="4"/>
        <v>9716.33</v>
      </c>
      <c r="G33" s="17">
        <f>SUM(G29:G32)</f>
        <v>762231.74</v>
      </c>
      <c r="H33" s="17">
        <f>SUM(H29:H32)</f>
        <v>283934.37</v>
      </c>
      <c r="I33" s="18">
        <f>SUM(B33:H33)</f>
        <v>11745696.710000001</v>
      </c>
      <c r="J33" s="10"/>
    </row>
    <row r="34" spans="1:10" ht="15.75" thickTop="1" x14ac:dyDescent="0.2">
      <c r="A34" s="12"/>
      <c r="B34" s="9"/>
      <c r="C34" s="9"/>
      <c r="D34" s="9"/>
      <c r="E34" s="9"/>
      <c r="F34" s="9"/>
      <c r="G34" s="10"/>
      <c r="H34" s="10"/>
      <c r="I34" s="11"/>
      <c r="J34" s="10"/>
    </row>
    <row r="35" spans="1:10" ht="15.75" x14ac:dyDescent="0.25">
      <c r="A35" s="13" t="s">
        <v>4</v>
      </c>
      <c r="B35" s="14" t="s">
        <v>23</v>
      </c>
      <c r="C35" s="14" t="s">
        <v>24</v>
      </c>
      <c r="D35" s="14" t="s">
        <v>7</v>
      </c>
      <c r="E35" s="14" t="s">
        <v>25</v>
      </c>
      <c r="F35" s="14" t="s">
        <v>22</v>
      </c>
      <c r="G35" s="14" t="s">
        <v>35</v>
      </c>
      <c r="H35" s="14" t="s">
        <v>37</v>
      </c>
      <c r="I35" s="15" t="s">
        <v>9</v>
      </c>
      <c r="J35" s="10"/>
    </row>
    <row r="36" spans="1:10" ht="15" x14ac:dyDescent="0.2">
      <c r="A36" s="16">
        <v>43876</v>
      </c>
      <c r="B36" s="9">
        <f>317064.03</f>
        <v>317064.03000000003</v>
      </c>
      <c r="C36" s="9">
        <f>1257273.62</f>
        <v>1257273.6200000001</v>
      </c>
      <c r="D36" s="9">
        <f>11859.73</f>
        <v>11859.73</v>
      </c>
      <c r="E36" s="9">
        <f>41780.82</f>
        <v>41780.82</v>
      </c>
      <c r="F36" s="9">
        <f>2311.54</f>
        <v>2311.54</v>
      </c>
      <c r="G36" s="9">
        <f>206420.28</f>
        <v>206420.28</v>
      </c>
      <c r="H36" s="9">
        <f>31950.55</f>
        <v>31950.55</v>
      </c>
      <c r="I36" s="11">
        <f>SUM(B36:H36)</f>
        <v>1868660.5700000003</v>
      </c>
      <c r="J36" s="10"/>
    </row>
    <row r="37" spans="1:10" ht="15" x14ac:dyDescent="0.2">
      <c r="A37" s="16">
        <v>43966</v>
      </c>
      <c r="B37" s="9">
        <f>243425.98</f>
        <v>243425.98</v>
      </c>
      <c r="C37" s="9">
        <f>998745.63</f>
        <v>998745.63</v>
      </c>
      <c r="D37" s="9">
        <f>5358.52</f>
        <v>5358.52</v>
      </c>
      <c r="E37" s="9">
        <f>28153.26</f>
        <v>28153.26</v>
      </c>
      <c r="F37" s="9">
        <f>450.2</f>
        <v>450.2</v>
      </c>
      <c r="G37" s="9">
        <f>130481.78</f>
        <v>130481.78</v>
      </c>
      <c r="H37" s="9">
        <f>15071.26</f>
        <v>15071.26</v>
      </c>
      <c r="I37" s="11">
        <f t="shared" ref="I37:I38" si="5">SUM(B37:H37)</f>
        <v>1421686.6300000001</v>
      </c>
      <c r="J37" s="10"/>
    </row>
    <row r="38" spans="1:10" ht="15" x14ac:dyDescent="0.2">
      <c r="A38" s="16">
        <v>44058</v>
      </c>
      <c r="B38" s="9">
        <v>395263.27</v>
      </c>
      <c r="C38" s="9">
        <v>870534.54</v>
      </c>
      <c r="D38" s="9">
        <v>18452.14</v>
      </c>
      <c r="E38" s="9">
        <v>57841.88</v>
      </c>
      <c r="F38" s="9">
        <v>813.92</v>
      </c>
      <c r="G38" s="9">
        <v>165659.29</v>
      </c>
      <c r="H38" s="9">
        <v>51479.82</v>
      </c>
      <c r="I38" s="11">
        <f t="shared" si="5"/>
        <v>1560044.8599999999</v>
      </c>
      <c r="J38" s="10"/>
    </row>
    <row r="39" spans="1:10" ht="15" x14ac:dyDescent="0.2">
      <c r="A39" s="16">
        <v>44150</v>
      </c>
      <c r="B39" s="9">
        <f>692614.62</f>
        <v>692614.62</v>
      </c>
      <c r="C39" s="9">
        <f>1912390.21</f>
        <v>1912390.21</v>
      </c>
      <c r="D39" s="9">
        <f>50000.12</f>
        <v>50000.12</v>
      </c>
      <c r="E39" s="9">
        <f>66749.84</f>
        <v>66749.84</v>
      </c>
      <c r="F39" s="9">
        <f>2057.39</f>
        <v>2057.39</v>
      </c>
      <c r="G39" s="9">
        <f>178230.49</f>
        <v>178230.49</v>
      </c>
      <c r="H39" s="9">
        <f>102291.07</f>
        <v>102291.07</v>
      </c>
      <c r="I39" s="11">
        <f>SUM(B39:H39)</f>
        <v>3004333.7399999998</v>
      </c>
      <c r="J39" s="10"/>
    </row>
    <row r="40" spans="1:10" ht="16.5" thickBot="1" x14ac:dyDescent="0.3">
      <c r="A40" s="8" t="s">
        <v>40</v>
      </c>
      <c r="B40" s="17">
        <f t="shared" ref="B40:F40" si="6">SUM(B36:B39)</f>
        <v>1648367.9</v>
      </c>
      <c r="C40" s="17">
        <f t="shared" si="6"/>
        <v>5038944</v>
      </c>
      <c r="D40" s="17">
        <f t="shared" si="6"/>
        <v>85670.510000000009</v>
      </c>
      <c r="E40" s="17">
        <f t="shared" si="6"/>
        <v>194525.8</v>
      </c>
      <c r="F40" s="17">
        <f t="shared" si="6"/>
        <v>5633.0499999999993</v>
      </c>
      <c r="G40" s="17">
        <f>SUM(G36:G39)</f>
        <v>680791.84</v>
      </c>
      <c r="H40" s="17">
        <f>SUM(H36:H39)</f>
        <v>200792.7</v>
      </c>
      <c r="I40" s="18">
        <f>SUM(B40:H40)</f>
        <v>7854725.7999999998</v>
      </c>
      <c r="J40" s="10"/>
    </row>
    <row r="41" spans="1:10" ht="15.75" thickTop="1" x14ac:dyDescent="0.2">
      <c r="A41" s="12"/>
      <c r="B41" s="9"/>
      <c r="C41" s="9"/>
      <c r="D41" s="9"/>
      <c r="E41" s="9"/>
      <c r="F41" s="9"/>
      <c r="G41" s="10"/>
      <c r="H41" s="10"/>
      <c r="I41" s="11"/>
      <c r="J41" s="10"/>
    </row>
    <row r="42" spans="1:10" ht="15.75" x14ac:dyDescent="0.25">
      <c r="A42" s="13" t="s">
        <v>4</v>
      </c>
      <c r="B42" s="14" t="s">
        <v>23</v>
      </c>
      <c r="C42" s="14" t="s">
        <v>24</v>
      </c>
      <c r="D42" s="14" t="s">
        <v>7</v>
      </c>
      <c r="E42" s="14" t="s">
        <v>25</v>
      </c>
      <c r="F42" s="14" t="s">
        <v>22</v>
      </c>
      <c r="G42" s="14" t="s">
        <v>35</v>
      </c>
      <c r="H42" s="14" t="s">
        <v>37</v>
      </c>
      <c r="I42" s="15" t="s">
        <v>9</v>
      </c>
      <c r="J42" s="10"/>
    </row>
    <row r="43" spans="1:10" ht="15" x14ac:dyDescent="0.2">
      <c r="A43" s="16">
        <v>43511</v>
      </c>
      <c r="B43" s="9">
        <f>249381.91</f>
        <v>249381.91</v>
      </c>
      <c r="C43" s="9">
        <f>1103062.13</f>
        <v>1103062.1299999999</v>
      </c>
      <c r="D43" s="9">
        <f>14763.3</f>
        <v>14763.3</v>
      </c>
      <c r="E43" s="9">
        <f>41568.08</f>
        <v>41568.080000000002</v>
      </c>
      <c r="F43" s="9">
        <f>2313.79</f>
        <v>2313.79</v>
      </c>
      <c r="G43" s="9">
        <f>153690.43</f>
        <v>153690.43</v>
      </c>
      <c r="H43" s="9">
        <f>39064.7</f>
        <v>39064.699999999997</v>
      </c>
      <c r="I43" s="11">
        <f>SUM(B43:H43)</f>
        <v>1603844.3399999999</v>
      </c>
      <c r="J43" s="10"/>
    </row>
    <row r="44" spans="1:10" ht="15" x14ac:dyDescent="0.2">
      <c r="A44" s="16">
        <v>43600</v>
      </c>
      <c r="B44" s="9">
        <f>409502.88</f>
        <v>409502.88</v>
      </c>
      <c r="C44" s="9">
        <f>1472096.86</f>
        <v>1472096.86</v>
      </c>
      <c r="D44" s="9">
        <f>6410.72</f>
        <v>6410.72</v>
      </c>
      <c r="E44" s="9">
        <f>39354.67</f>
        <v>39354.67</v>
      </c>
      <c r="F44" s="9">
        <f>408.68</f>
        <v>408.68</v>
      </c>
      <c r="G44" s="9">
        <f>153715.4</f>
        <v>153715.4</v>
      </c>
      <c r="H44" s="9">
        <f>23704.19</f>
        <v>23704.19</v>
      </c>
      <c r="I44" s="11">
        <f t="shared" ref="I44:I45" si="7">SUM(B44:H44)</f>
        <v>2105193.4</v>
      </c>
      <c r="J44" s="10"/>
    </row>
    <row r="45" spans="1:10" ht="15" x14ac:dyDescent="0.2">
      <c r="A45" s="16">
        <v>43692</v>
      </c>
      <c r="B45" s="9">
        <f>643553.61</f>
        <v>643553.61</v>
      </c>
      <c r="C45" s="9">
        <f>1761041.01</f>
        <v>1761041.01</v>
      </c>
      <c r="D45" s="9">
        <f>27792.04</f>
        <v>27792.04</v>
      </c>
      <c r="E45" s="9">
        <f>55639.32</f>
        <v>55639.32</v>
      </c>
      <c r="F45" s="9">
        <f>1436.46</f>
        <v>1436.46</v>
      </c>
      <c r="G45" s="9">
        <f>146146.95</f>
        <v>146146.95000000001</v>
      </c>
      <c r="H45" s="9">
        <f>68424.84</f>
        <v>68424.84</v>
      </c>
      <c r="I45" s="11">
        <f t="shared" si="7"/>
        <v>2704034.23</v>
      </c>
      <c r="J45" s="10"/>
    </row>
    <row r="46" spans="1:10" ht="15" x14ac:dyDescent="0.2">
      <c r="A46" s="16">
        <v>43784</v>
      </c>
      <c r="B46" s="9">
        <f>833011.36</f>
        <v>833011.36</v>
      </c>
      <c r="C46" s="9">
        <f>2456060.38</f>
        <v>2456060.38</v>
      </c>
      <c r="D46" s="9">
        <f>47926.43</f>
        <v>47926.43</v>
      </c>
      <c r="E46" s="9">
        <f>59913.28</f>
        <v>59913.279999999999</v>
      </c>
      <c r="F46" s="9">
        <f>2405.07</f>
        <v>2405.0700000000002</v>
      </c>
      <c r="G46" s="9">
        <f>174629.37</f>
        <v>174629.37</v>
      </c>
      <c r="H46" s="9">
        <f>106557.4</f>
        <v>106557.4</v>
      </c>
      <c r="I46" s="11">
        <f>SUM(B46:H46)</f>
        <v>3680503.2899999996</v>
      </c>
      <c r="J46" s="10"/>
    </row>
    <row r="47" spans="1:10" ht="16.5" thickBot="1" x14ac:dyDescent="0.3">
      <c r="A47" s="8" t="s">
        <v>39</v>
      </c>
      <c r="B47" s="17">
        <f t="shared" ref="B47:F47" si="8">SUM(B43:B46)</f>
        <v>2135449.7599999998</v>
      </c>
      <c r="C47" s="17">
        <f t="shared" si="8"/>
        <v>6792260.3799999999</v>
      </c>
      <c r="D47" s="17">
        <f t="shared" si="8"/>
        <v>96892.489999999991</v>
      </c>
      <c r="E47" s="17">
        <f t="shared" si="8"/>
        <v>196475.35</v>
      </c>
      <c r="F47" s="17">
        <f t="shared" si="8"/>
        <v>6564</v>
      </c>
      <c r="G47" s="17">
        <f>SUM(G43:G46)</f>
        <v>628182.14999999991</v>
      </c>
      <c r="H47" s="17">
        <f>SUM(H43:H46)</f>
        <v>237751.12999999998</v>
      </c>
      <c r="I47" s="18">
        <f>SUM(B47:H47)</f>
        <v>10093575.260000002</v>
      </c>
      <c r="J47" s="10"/>
    </row>
    <row r="48" spans="1:10" ht="15.75" thickTop="1" x14ac:dyDescent="0.2">
      <c r="A48" s="12"/>
      <c r="B48" s="9"/>
      <c r="C48" s="9"/>
      <c r="D48" s="9"/>
      <c r="E48" s="9"/>
      <c r="F48" s="9"/>
      <c r="G48" s="10"/>
      <c r="H48" s="10"/>
      <c r="I48" s="11"/>
      <c r="J48" s="10"/>
    </row>
    <row r="49" spans="1:10" ht="15.75" x14ac:dyDescent="0.25">
      <c r="A49" s="13" t="s">
        <v>4</v>
      </c>
      <c r="B49" s="14" t="s">
        <v>23</v>
      </c>
      <c r="C49" s="14" t="s">
        <v>24</v>
      </c>
      <c r="D49" s="14" t="s">
        <v>7</v>
      </c>
      <c r="E49" s="14" t="s">
        <v>25</v>
      </c>
      <c r="F49" s="14" t="s">
        <v>22</v>
      </c>
      <c r="G49" s="14" t="s">
        <v>35</v>
      </c>
      <c r="H49" s="14" t="s">
        <v>37</v>
      </c>
      <c r="I49" s="15" t="s">
        <v>9</v>
      </c>
      <c r="J49" s="10"/>
    </row>
    <row r="50" spans="1:10" ht="15" x14ac:dyDescent="0.2">
      <c r="A50" s="16">
        <v>43146</v>
      </c>
      <c r="B50" s="9">
        <f>326617.56</f>
        <v>326617.56</v>
      </c>
      <c r="C50" s="9">
        <f>1246578.01</f>
        <v>1246578.01</v>
      </c>
      <c r="D50" s="9">
        <f>15581.97</f>
        <v>15581.97</v>
      </c>
      <c r="E50" s="9">
        <f>43476.57</f>
        <v>43476.57</v>
      </c>
      <c r="F50" s="9">
        <f>3323.31</f>
        <v>3323.31</v>
      </c>
      <c r="G50" s="9">
        <f>176939.58</f>
        <v>176939.58</v>
      </c>
      <c r="H50" s="9">
        <f>0</f>
        <v>0</v>
      </c>
      <c r="I50" s="11">
        <f>SUM(B50:H50)</f>
        <v>1812517.0000000002</v>
      </c>
      <c r="J50" s="10"/>
    </row>
    <row r="51" spans="1:10" ht="15" x14ac:dyDescent="0.2">
      <c r="A51" s="16">
        <v>43235</v>
      </c>
      <c r="B51" s="9">
        <f>339293.73</f>
        <v>339293.73</v>
      </c>
      <c r="C51" s="9">
        <f>1463332.29</f>
        <v>1463332.29</v>
      </c>
      <c r="D51" s="9">
        <f>6254.39</f>
        <v>6254.39</v>
      </c>
      <c r="E51" s="9">
        <f>32340.63</f>
        <v>32340.63</v>
      </c>
      <c r="F51" s="9">
        <f>734.17</f>
        <v>734.17</v>
      </c>
      <c r="G51" s="9">
        <f>313209.97</f>
        <v>313209.96999999997</v>
      </c>
      <c r="H51" s="9">
        <f>0</f>
        <v>0</v>
      </c>
      <c r="I51" s="11">
        <f t="shared" ref="I51:I52" si="9">SUM(B51:H51)</f>
        <v>2155165.1799999997</v>
      </c>
      <c r="J51" s="10"/>
    </row>
    <row r="52" spans="1:10" ht="15" x14ac:dyDescent="0.2">
      <c r="A52" s="16">
        <v>43327</v>
      </c>
      <c r="B52" s="9">
        <f>614697.12</f>
        <v>614697.12</v>
      </c>
      <c r="C52" s="9">
        <f>1677118.16</f>
        <v>1677118.16</v>
      </c>
      <c r="D52" s="9">
        <f>24173.44</f>
        <v>24173.439999999999</v>
      </c>
      <c r="E52" s="9">
        <f>48941.33</f>
        <v>48941.33</v>
      </c>
      <c r="F52" s="9">
        <f>1761.52</f>
        <v>1761.52</v>
      </c>
      <c r="G52" s="9">
        <f>173914.01</f>
        <v>173914.01</v>
      </c>
      <c r="H52" s="9">
        <f>3218.7</f>
        <v>3218.7</v>
      </c>
      <c r="I52" s="11">
        <f t="shared" si="9"/>
        <v>2543824.2800000003</v>
      </c>
      <c r="J52" s="10"/>
    </row>
    <row r="53" spans="1:10" ht="15" x14ac:dyDescent="0.2">
      <c r="A53" s="16">
        <v>43419</v>
      </c>
      <c r="B53" s="9">
        <f>837075.57</f>
        <v>837075.57</v>
      </c>
      <c r="C53" s="9">
        <f>2555982.49</f>
        <v>2555982.4900000002</v>
      </c>
      <c r="D53" s="9">
        <f>45303.36</f>
        <v>45303.360000000001</v>
      </c>
      <c r="E53" s="9">
        <f>65790.29</f>
        <v>65790.289999999994</v>
      </c>
      <c r="F53" s="9">
        <f>2586.7</f>
        <v>2586.6999999999998</v>
      </c>
      <c r="G53" s="9">
        <f>169258.69</f>
        <v>169258.69</v>
      </c>
      <c r="H53" s="9">
        <f>113244.5</f>
        <v>113244.5</v>
      </c>
      <c r="I53" s="11">
        <f>SUM(B53:H53)</f>
        <v>3789241.6</v>
      </c>
      <c r="J53" s="10"/>
    </row>
    <row r="54" spans="1:10" ht="16.5" thickBot="1" x14ac:dyDescent="0.3">
      <c r="A54" s="8" t="s">
        <v>38</v>
      </c>
      <c r="B54" s="17">
        <f t="shared" ref="B54:F54" si="10">SUM(B50:B53)</f>
        <v>2117683.98</v>
      </c>
      <c r="C54" s="17">
        <f t="shared" si="10"/>
        <v>6943010.9500000002</v>
      </c>
      <c r="D54" s="17">
        <f t="shared" si="10"/>
        <v>91313.16</v>
      </c>
      <c r="E54" s="17">
        <f t="shared" si="10"/>
        <v>190548.82</v>
      </c>
      <c r="F54" s="17">
        <f t="shared" si="10"/>
        <v>8405.7000000000007</v>
      </c>
      <c r="G54" s="17">
        <f>SUM(G50:G53)</f>
        <v>833322.25</v>
      </c>
      <c r="H54" s="17">
        <f>SUM(H50:H53)</f>
        <v>116463.2</v>
      </c>
      <c r="I54" s="18">
        <f>SUM(B54:H54)</f>
        <v>10300748.059999999</v>
      </c>
      <c r="J54" s="10"/>
    </row>
    <row r="55" spans="1:10" ht="16.5" thickTop="1" x14ac:dyDescent="0.25">
      <c r="A55" s="16"/>
      <c r="B55" s="19"/>
      <c r="C55" s="19"/>
      <c r="D55" s="19"/>
      <c r="E55" s="20"/>
      <c r="F55" s="19"/>
      <c r="G55" s="10"/>
      <c r="H55" s="10"/>
      <c r="I55" s="11"/>
      <c r="J55" s="10"/>
    </row>
    <row r="56" spans="1:10" ht="15.75" x14ac:dyDescent="0.25">
      <c r="A56" s="13" t="s">
        <v>4</v>
      </c>
      <c r="B56" s="14" t="s">
        <v>23</v>
      </c>
      <c r="C56" s="14" t="s">
        <v>24</v>
      </c>
      <c r="D56" s="14" t="s">
        <v>7</v>
      </c>
      <c r="E56" s="14" t="s">
        <v>25</v>
      </c>
      <c r="F56" s="14" t="s">
        <v>22</v>
      </c>
      <c r="G56" s="14" t="s">
        <v>35</v>
      </c>
      <c r="H56" s="14" t="s">
        <v>9</v>
      </c>
      <c r="I56" s="11"/>
      <c r="J56" s="10"/>
    </row>
    <row r="57" spans="1:10" ht="15" x14ac:dyDescent="0.2">
      <c r="A57" s="16">
        <v>42781</v>
      </c>
      <c r="B57" s="9">
        <v>289833.03999999998</v>
      </c>
      <c r="C57" s="9">
        <v>1191729.99</v>
      </c>
      <c r="D57" s="9">
        <v>19398.11</v>
      </c>
      <c r="E57" s="9">
        <v>41777.410000000003</v>
      </c>
      <c r="F57" s="9">
        <v>2490.7399999999998</v>
      </c>
      <c r="G57" s="9">
        <v>5986.34</v>
      </c>
      <c r="H57" s="9">
        <f>SUM(B57:G57)</f>
        <v>1551215.6300000001</v>
      </c>
      <c r="I57" s="11"/>
      <c r="J57" s="10"/>
    </row>
    <row r="58" spans="1:10" ht="15" x14ac:dyDescent="0.2">
      <c r="A58" s="16">
        <v>42870</v>
      </c>
      <c r="B58" s="9">
        <v>286409.65999999997</v>
      </c>
      <c r="C58" s="9">
        <v>1417581.99</v>
      </c>
      <c r="D58" s="9">
        <v>5807.29</v>
      </c>
      <c r="E58" s="9">
        <v>29356.23</v>
      </c>
      <c r="F58" s="9">
        <v>680.76</v>
      </c>
      <c r="G58" s="9">
        <v>77235.67</v>
      </c>
      <c r="H58" s="9">
        <f t="shared" ref="H58:H60" si="11">SUM(B58:G58)</f>
        <v>1817071.5999999999</v>
      </c>
      <c r="I58" s="11"/>
      <c r="J58" s="10"/>
    </row>
    <row r="59" spans="1:10" ht="15" x14ac:dyDescent="0.2">
      <c r="A59" s="16">
        <v>42962</v>
      </c>
      <c r="B59" s="9">
        <v>592031.57999999996</v>
      </c>
      <c r="C59" s="9">
        <v>1797778.49</v>
      </c>
      <c r="D59" s="9">
        <v>22066.34</v>
      </c>
      <c r="E59" s="9">
        <v>47186.71</v>
      </c>
      <c r="F59" s="9">
        <v>1732.24</v>
      </c>
      <c r="G59" s="9">
        <v>108048.94</v>
      </c>
      <c r="H59" s="9">
        <f t="shared" si="11"/>
        <v>2568844.2999999998</v>
      </c>
      <c r="I59" s="11"/>
      <c r="J59" s="10"/>
    </row>
    <row r="60" spans="1:10" ht="15" x14ac:dyDescent="0.2">
      <c r="A60" s="16">
        <v>43054</v>
      </c>
      <c r="B60" s="9">
        <f>820290.97</f>
        <v>820290.97</v>
      </c>
      <c r="C60" s="9">
        <f>2416410.93</f>
        <v>2416410.9300000002</v>
      </c>
      <c r="D60" s="9">
        <f>50089.08</f>
        <v>50089.08</v>
      </c>
      <c r="E60" s="9">
        <f>64443.21</f>
        <v>64443.21</v>
      </c>
      <c r="F60" s="9">
        <f>3107.41</f>
        <v>3107.41</v>
      </c>
      <c r="G60" s="9">
        <f>134309.08</f>
        <v>134309.07999999999</v>
      </c>
      <c r="H60" s="9">
        <f t="shared" si="11"/>
        <v>3488650.6800000006</v>
      </c>
      <c r="I60" s="11"/>
      <c r="J60" s="10"/>
    </row>
    <row r="61" spans="1:10" ht="16.5" thickBot="1" x14ac:dyDescent="0.3">
      <c r="A61" s="8" t="s">
        <v>36</v>
      </c>
      <c r="B61" s="17">
        <f t="shared" ref="B61:F61" si="12">SUM(B57:B60)</f>
        <v>1988565.2499999998</v>
      </c>
      <c r="C61" s="17">
        <f t="shared" si="12"/>
        <v>6823501.4000000004</v>
      </c>
      <c r="D61" s="17">
        <f t="shared" si="12"/>
        <v>97360.82</v>
      </c>
      <c r="E61" s="17">
        <f t="shared" si="12"/>
        <v>182763.56</v>
      </c>
      <c r="F61" s="17">
        <f t="shared" si="12"/>
        <v>8011.15</v>
      </c>
      <c r="G61" s="17">
        <f>SUM(G57:G60)</f>
        <v>325580.03000000003</v>
      </c>
      <c r="H61" s="17">
        <f>SUM(B61:G61)</f>
        <v>9425782.2100000009</v>
      </c>
      <c r="I61" s="11"/>
      <c r="J61" s="10"/>
    </row>
    <row r="62" spans="1:10" ht="16.5" thickTop="1" x14ac:dyDescent="0.25">
      <c r="A62" s="8"/>
      <c r="B62" s="21"/>
      <c r="C62" s="21"/>
      <c r="D62" s="21"/>
      <c r="E62" s="21"/>
      <c r="F62" s="21"/>
      <c r="G62" s="21"/>
      <c r="H62" s="21"/>
      <c r="I62" s="11"/>
      <c r="J62" s="22"/>
    </row>
    <row r="63" spans="1:10" ht="15.75" x14ac:dyDescent="0.25">
      <c r="A63" s="16"/>
      <c r="B63" s="19" t="s">
        <v>1</v>
      </c>
      <c r="C63" s="19" t="s">
        <v>2</v>
      </c>
      <c r="D63" s="19"/>
      <c r="E63" s="19" t="s">
        <v>3</v>
      </c>
      <c r="F63" s="19"/>
      <c r="G63" s="10"/>
      <c r="H63" s="10"/>
      <c r="I63" s="11"/>
      <c r="J63" s="10"/>
    </row>
    <row r="64" spans="1:10" ht="15.75" x14ac:dyDescent="0.25">
      <c r="A64" s="13" t="s">
        <v>4</v>
      </c>
      <c r="B64" s="14" t="s">
        <v>5</v>
      </c>
      <c r="C64" s="14" t="s">
        <v>6</v>
      </c>
      <c r="D64" s="14" t="s">
        <v>7</v>
      </c>
      <c r="E64" s="14" t="s">
        <v>8</v>
      </c>
      <c r="F64" s="14" t="s">
        <v>22</v>
      </c>
      <c r="G64" s="14" t="s">
        <v>9</v>
      </c>
      <c r="H64" s="14"/>
      <c r="I64" s="11"/>
      <c r="J64" s="10"/>
    </row>
    <row r="65" spans="1:10" ht="15" x14ac:dyDescent="0.2">
      <c r="A65" s="16">
        <v>42415</v>
      </c>
      <c r="B65" s="9">
        <v>308639.02</v>
      </c>
      <c r="C65" s="9">
        <v>1161274.7</v>
      </c>
      <c r="D65" s="9">
        <v>15323.15</v>
      </c>
      <c r="E65" s="9">
        <v>43299.06</v>
      </c>
      <c r="F65" s="9">
        <v>2050.59</v>
      </c>
      <c r="G65" s="9">
        <f>SUM(B65:F65)</f>
        <v>1530586.52</v>
      </c>
      <c r="H65" s="9"/>
      <c r="I65" s="11"/>
      <c r="J65" s="10"/>
    </row>
    <row r="66" spans="1:10" ht="15" x14ac:dyDescent="0.2">
      <c r="A66" s="16">
        <v>42505</v>
      </c>
      <c r="B66" s="9">
        <v>328999.21999999997</v>
      </c>
      <c r="C66" s="9">
        <v>1417167.91</v>
      </c>
      <c r="D66" s="9">
        <v>5062.5</v>
      </c>
      <c r="E66" s="9">
        <v>27184.22</v>
      </c>
      <c r="F66" s="9">
        <v>1095.8599999999999</v>
      </c>
      <c r="G66" s="9">
        <f t="shared" ref="G66:G68" si="13">SUM(B66:F66)</f>
        <v>1779509.71</v>
      </c>
      <c r="H66" s="9"/>
      <c r="I66" s="11"/>
      <c r="J66" s="10"/>
    </row>
    <row r="67" spans="1:10" ht="15" x14ac:dyDescent="0.2">
      <c r="A67" s="16">
        <v>42597</v>
      </c>
      <c r="B67" s="9">
        <v>552518.54</v>
      </c>
      <c r="C67" s="9">
        <v>1728883.06</v>
      </c>
      <c r="D67" s="9">
        <v>20893.21</v>
      </c>
      <c r="E67" s="9">
        <v>55479.94</v>
      </c>
      <c r="F67" s="9">
        <v>1930.86</v>
      </c>
      <c r="G67" s="9">
        <f t="shared" si="13"/>
        <v>2359705.61</v>
      </c>
      <c r="H67" s="9"/>
      <c r="I67" s="11"/>
      <c r="J67" s="10"/>
    </row>
    <row r="68" spans="1:10" ht="15" x14ac:dyDescent="0.2">
      <c r="A68" s="16">
        <v>42689</v>
      </c>
      <c r="B68" s="9">
        <v>832394.54</v>
      </c>
      <c r="C68" s="9">
        <v>2487143.69</v>
      </c>
      <c r="D68" s="9">
        <v>41997.9</v>
      </c>
      <c r="E68" s="9">
        <v>65144.56</v>
      </c>
      <c r="F68" s="9">
        <v>2752.09</v>
      </c>
      <c r="G68" s="9">
        <f t="shared" si="13"/>
        <v>3429432.78</v>
      </c>
      <c r="H68" s="9"/>
      <c r="I68" s="11"/>
      <c r="J68" s="10"/>
    </row>
    <row r="69" spans="1:10" ht="16.5" thickBot="1" x14ac:dyDescent="0.3">
      <c r="A69" s="8" t="s">
        <v>34</v>
      </c>
      <c r="B69" s="17">
        <f>SUM(B65:B68)</f>
        <v>2022551.32</v>
      </c>
      <c r="C69" s="17">
        <f>SUM(C65:C68)</f>
        <v>6794469.3599999994</v>
      </c>
      <c r="D69" s="17">
        <f>SUM(D65:D68)</f>
        <v>83276.760000000009</v>
      </c>
      <c r="E69" s="17">
        <f>SUM(E65:E68)</f>
        <v>191107.78</v>
      </c>
      <c r="F69" s="17">
        <f>SUM(F65:F68)</f>
        <v>7829.4</v>
      </c>
      <c r="G69" s="17">
        <f>SUM(B69:F69)</f>
        <v>9099234.6199999992</v>
      </c>
      <c r="H69" s="21"/>
      <c r="I69" s="11"/>
      <c r="J69" s="10"/>
    </row>
    <row r="70" spans="1:10" ht="16.5" thickTop="1" x14ac:dyDescent="0.25">
      <c r="A70" s="8"/>
      <c r="B70" s="21"/>
      <c r="C70" s="21"/>
      <c r="D70" s="21"/>
      <c r="E70" s="21"/>
      <c r="F70" s="21"/>
      <c r="G70" s="21"/>
      <c r="H70" s="21"/>
      <c r="I70" s="11"/>
      <c r="J70" s="10"/>
    </row>
    <row r="71" spans="1:10" ht="15.75" x14ac:dyDescent="0.25">
      <c r="A71" s="16"/>
      <c r="B71" s="19" t="s">
        <v>1</v>
      </c>
      <c r="C71" s="19" t="s">
        <v>2</v>
      </c>
      <c r="D71" s="19"/>
      <c r="E71" s="19" t="s">
        <v>3</v>
      </c>
      <c r="F71" s="19"/>
      <c r="G71" s="10"/>
      <c r="H71" s="10"/>
      <c r="I71" s="11"/>
      <c r="J71" s="10"/>
    </row>
    <row r="72" spans="1:10" ht="15.75" x14ac:dyDescent="0.25">
      <c r="A72" s="13" t="s">
        <v>4</v>
      </c>
      <c r="B72" s="14" t="s">
        <v>5</v>
      </c>
      <c r="C72" s="14" t="s">
        <v>6</v>
      </c>
      <c r="D72" s="14" t="s">
        <v>7</v>
      </c>
      <c r="E72" s="14" t="s">
        <v>8</v>
      </c>
      <c r="F72" s="14" t="s">
        <v>22</v>
      </c>
      <c r="G72" s="14" t="s">
        <v>9</v>
      </c>
      <c r="H72" s="14"/>
      <c r="I72" s="11"/>
      <c r="J72" s="10"/>
    </row>
    <row r="73" spans="1:10" ht="15" x14ac:dyDescent="0.2">
      <c r="A73" s="16">
        <v>42050</v>
      </c>
      <c r="B73" s="9">
        <v>244305.6</v>
      </c>
      <c r="C73" s="9">
        <v>1057602.5</v>
      </c>
      <c r="D73" s="9">
        <v>13066.29</v>
      </c>
      <c r="E73" s="9">
        <v>38065.040000000001</v>
      </c>
      <c r="F73" s="9">
        <v>2237.52</v>
      </c>
      <c r="G73" s="9">
        <f>SUM(B73:F73)</f>
        <v>1355276.9500000002</v>
      </c>
      <c r="H73" s="9"/>
      <c r="I73" s="11"/>
      <c r="J73" s="10"/>
    </row>
    <row r="74" spans="1:10" ht="15" x14ac:dyDescent="0.2">
      <c r="A74" s="16">
        <v>42139</v>
      </c>
      <c r="B74" s="9">
        <v>322521.08</v>
      </c>
      <c r="C74" s="9">
        <v>1358624.27</v>
      </c>
      <c r="D74" s="9">
        <v>6617.36</v>
      </c>
      <c r="E74" s="9">
        <v>29677.88</v>
      </c>
      <c r="F74" s="9">
        <v>671.59</v>
      </c>
      <c r="G74" s="9">
        <f t="shared" ref="G74:G76" si="14">SUM(B74:F74)</f>
        <v>1718112.1800000002</v>
      </c>
      <c r="H74" s="9"/>
      <c r="I74" s="11"/>
      <c r="J74" s="10"/>
    </row>
    <row r="75" spans="1:10" ht="15" x14ac:dyDescent="0.2">
      <c r="A75" s="16">
        <v>42231</v>
      </c>
      <c r="B75" s="9">
        <v>556026.09</v>
      </c>
      <c r="C75" s="9">
        <v>1664076.23</v>
      </c>
      <c r="D75" s="9">
        <v>20838.82</v>
      </c>
      <c r="E75" s="9">
        <v>41804.019999999997</v>
      </c>
      <c r="F75" s="9">
        <v>1378</v>
      </c>
      <c r="G75" s="9">
        <f t="shared" si="14"/>
        <v>2284123.1599999997</v>
      </c>
      <c r="H75" s="9"/>
      <c r="I75" s="11"/>
      <c r="J75" s="10"/>
    </row>
    <row r="76" spans="1:10" ht="15" x14ac:dyDescent="0.2">
      <c r="A76" s="16">
        <v>42323</v>
      </c>
      <c r="B76" s="9">
        <v>757230.32</v>
      </c>
      <c r="C76" s="9">
        <v>2437951.37</v>
      </c>
      <c r="D76" s="9">
        <v>40102.01</v>
      </c>
      <c r="E76" s="9">
        <v>60390.49</v>
      </c>
      <c r="F76" s="9">
        <v>2909.82</v>
      </c>
      <c r="G76" s="9">
        <f t="shared" si="14"/>
        <v>3298584.01</v>
      </c>
      <c r="H76" s="9"/>
      <c r="I76" s="11"/>
      <c r="J76" s="10"/>
    </row>
    <row r="77" spans="1:10" ht="16.5" thickBot="1" x14ac:dyDescent="0.3">
      <c r="A77" s="8" t="s">
        <v>21</v>
      </c>
      <c r="B77" s="17">
        <f>SUM(B73:B76)</f>
        <v>1880083.0899999999</v>
      </c>
      <c r="C77" s="17">
        <f>SUM(C73:C76)</f>
        <v>6518254.3700000001</v>
      </c>
      <c r="D77" s="17">
        <f>SUM(D73:D76)</f>
        <v>80624.48000000001</v>
      </c>
      <c r="E77" s="17">
        <f>SUM(E73:E76)</f>
        <v>169937.43</v>
      </c>
      <c r="F77" s="17">
        <f>SUM(F73:F76)</f>
        <v>7196.93</v>
      </c>
      <c r="G77" s="17">
        <f>SUM(B77:F77)</f>
        <v>8656096.3000000007</v>
      </c>
      <c r="H77" s="21"/>
      <c r="I77" s="11"/>
      <c r="J77" s="10"/>
    </row>
    <row r="78" spans="1:10" ht="16.5" thickTop="1" x14ac:dyDescent="0.25">
      <c r="A78" s="8"/>
      <c r="B78" s="21"/>
      <c r="C78" s="21"/>
      <c r="D78" s="21"/>
      <c r="E78" s="21"/>
      <c r="F78" s="21"/>
      <c r="G78" s="10"/>
      <c r="H78" s="10"/>
      <c r="I78" s="11"/>
      <c r="J78" s="10"/>
    </row>
    <row r="79" spans="1:10" ht="15.75" x14ac:dyDescent="0.25">
      <c r="A79" s="16"/>
      <c r="B79" s="19" t="s">
        <v>1</v>
      </c>
      <c r="C79" s="19" t="s">
        <v>2</v>
      </c>
      <c r="D79" s="19"/>
      <c r="E79" s="19" t="s">
        <v>3</v>
      </c>
      <c r="F79" s="19"/>
      <c r="G79" s="10"/>
      <c r="H79" s="10"/>
      <c r="I79" s="11"/>
      <c r="J79" s="10"/>
    </row>
    <row r="80" spans="1:10" ht="15.75" x14ac:dyDescent="0.25">
      <c r="A80" s="13" t="s">
        <v>4</v>
      </c>
      <c r="B80" s="14" t="s">
        <v>5</v>
      </c>
      <c r="C80" s="14" t="s">
        <v>6</v>
      </c>
      <c r="D80" s="14" t="s">
        <v>7</v>
      </c>
      <c r="E80" s="14" t="s">
        <v>8</v>
      </c>
      <c r="F80" s="14" t="s">
        <v>9</v>
      </c>
      <c r="G80" s="10"/>
      <c r="H80" s="10"/>
      <c r="I80" s="11"/>
      <c r="J80" s="10"/>
    </row>
    <row r="81" spans="1:10" ht="15" x14ac:dyDescent="0.2">
      <c r="A81" s="16">
        <v>41685</v>
      </c>
      <c r="B81" s="9">
        <v>189834.89</v>
      </c>
      <c r="C81" s="9">
        <v>822063.62</v>
      </c>
      <c r="D81" s="9">
        <v>10858.45</v>
      </c>
      <c r="E81" s="9">
        <v>37960.83</v>
      </c>
      <c r="F81" s="9">
        <f>SUM(B81:E81)</f>
        <v>1060717.79</v>
      </c>
      <c r="G81" s="10"/>
      <c r="H81" s="10"/>
      <c r="I81" s="11"/>
      <c r="J81" s="10"/>
    </row>
    <row r="82" spans="1:10" ht="15" x14ac:dyDescent="0.2">
      <c r="A82" s="16">
        <v>41774</v>
      </c>
      <c r="B82" s="9">
        <v>214948.62</v>
      </c>
      <c r="C82" s="9">
        <v>992440.02</v>
      </c>
      <c r="D82" s="9">
        <v>8070.22</v>
      </c>
      <c r="E82" s="9">
        <v>28170.92</v>
      </c>
      <c r="F82" s="9">
        <f>SUM(B82:E82)</f>
        <v>1243629.78</v>
      </c>
      <c r="G82" s="10"/>
      <c r="H82" s="10"/>
      <c r="I82" s="11"/>
      <c r="J82" s="10"/>
    </row>
    <row r="83" spans="1:10" ht="15" x14ac:dyDescent="0.2">
      <c r="A83" s="16">
        <v>41866</v>
      </c>
      <c r="B83" s="9">
        <v>387171.81</v>
      </c>
      <c r="C83" s="9">
        <v>1362108.25</v>
      </c>
      <c r="D83" s="9">
        <v>13973.29</v>
      </c>
      <c r="E83" s="9">
        <v>41285.96</v>
      </c>
      <c r="F83" s="9">
        <f>SUM(B83:E83)</f>
        <v>1804539.31</v>
      </c>
      <c r="G83" s="10"/>
      <c r="H83" s="10"/>
      <c r="I83" s="11"/>
      <c r="J83" s="10"/>
    </row>
    <row r="84" spans="1:10" ht="15" x14ac:dyDescent="0.2">
      <c r="A84" s="16">
        <v>41958</v>
      </c>
      <c r="B84" s="9">
        <v>758727.88</v>
      </c>
      <c r="C84" s="9">
        <v>2200247.59</v>
      </c>
      <c r="D84" s="9">
        <v>39985.4</v>
      </c>
      <c r="E84" s="9">
        <v>58730.01</v>
      </c>
      <c r="F84" s="9">
        <f>SUM(B84:E84)</f>
        <v>3057690.8799999994</v>
      </c>
      <c r="G84" s="10"/>
      <c r="H84" s="10"/>
      <c r="I84" s="11"/>
      <c r="J84" s="10"/>
    </row>
    <row r="85" spans="1:10" ht="16.5" thickBot="1" x14ac:dyDescent="0.3">
      <c r="A85" s="8" t="s">
        <v>20</v>
      </c>
      <c r="B85" s="17">
        <f>SUM(B81:B84)</f>
        <v>1550683.2000000002</v>
      </c>
      <c r="C85" s="17">
        <f>SUM(C81:C84)</f>
        <v>5376859.4800000004</v>
      </c>
      <c r="D85" s="17">
        <f>SUM(D81:D84)</f>
        <v>72887.360000000015</v>
      </c>
      <c r="E85" s="17">
        <f>SUM(E81:E84)</f>
        <v>166147.72</v>
      </c>
      <c r="F85" s="17">
        <f>SUM(F81:F84)</f>
        <v>7166577.7599999998</v>
      </c>
      <c r="G85" s="10"/>
      <c r="H85" s="10"/>
      <c r="I85" s="11"/>
      <c r="J85" s="10"/>
    </row>
    <row r="86" spans="1:10" ht="16.5" thickTop="1" x14ac:dyDescent="0.25">
      <c r="A86" s="8"/>
      <c r="B86" s="21"/>
      <c r="C86" s="21"/>
      <c r="D86" s="21"/>
      <c r="E86" s="21"/>
      <c r="F86" s="21"/>
      <c r="G86" s="10"/>
      <c r="H86" s="10"/>
      <c r="I86" s="11"/>
      <c r="J86" s="10"/>
    </row>
    <row r="87" spans="1:10" ht="15.75" x14ac:dyDescent="0.25">
      <c r="A87" s="16"/>
      <c r="B87" s="19" t="s">
        <v>1</v>
      </c>
      <c r="C87" s="19" t="s">
        <v>2</v>
      </c>
      <c r="D87" s="19"/>
      <c r="E87" s="19" t="s">
        <v>3</v>
      </c>
      <c r="F87" s="19"/>
      <c r="G87" s="10"/>
      <c r="H87" s="10"/>
      <c r="I87" s="11"/>
      <c r="J87" s="10"/>
    </row>
    <row r="88" spans="1:10" ht="15.75" x14ac:dyDescent="0.25">
      <c r="A88" s="13" t="s">
        <v>4</v>
      </c>
      <c r="B88" s="14" t="s">
        <v>5</v>
      </c>
      <c r="C88" s="14" t="s">
        <v>6</v>
      </c>
      <c r="D88" s="14" t="s">
        <v>7</v>
      </c>
      <c r="E88" s="14" t="s">
        <v>8</v>
      </c>
      <c r="F88" s="14" t="s">
        <v>9</v>
      </c>
      <c r="G88" s="10"/>
      <c r="H88" s="10"/>
      <c r="I88" s="11"/>
      <c r="J88" s="10"/>
    </row>
    <row r="89" spans="1:10" ht="15" x14ac:dyDescent="0.2">
      <c r="A89" s="16">
        <v>41320</v>
      </c>
      <c r="B89" s="9">
        <v>70314.58</v>
      </c>
      <c r="C89" s="9">
        <v>901871.12</v>
      </c>
      <c r="D89" s="9">
        <v>11298.66</v>
      </c>
      <c r="E89" s="9">
        <v>36146.32</v>
      </c>
      <c r="F89" s="9">
        <f>SUM(B89:E89)</f>
        <v>1019630.6799999999</v>
      </c>
      <c r="G89" s="10"/>
      <c r="H89" s="10"/>
      <c r="I89" s="11"/>
      <c r="J89" s="10"/>
    </row>
    <row r="90" spans="1:10" ht="15" x14ac:dyDescent="0.2">
      <c r="A90" s="16">
        <v>41409</v>
      </c>
      <c r="B90" s="9">
        <v>225324.27</v>
      </c>
      <c r="C90" s="9">
        <v>939182.87</v>
      </c>
      <c r="D90" s="9">
        <v>8600.73</v>
      </c>
      <c r="E90" s="9">
        <v>30003.38</v>
      </c>
      <c r="F90" s="9">
        <f>SUM(B90:E90)</f>
        <v>1203111.2499999998</v>
      </c>
      <c r="G90" s="10"/>
      <c r="H90" s="10"/>
      <c r="I90" s="11"/>
      <c r="J90" s="10"/>
    </row>
    <row r="91" spans="1:10" ht="15" x14ac:dyDescent="0.2">
      <c r="A91" s="16">
        <v>41501</v>
      </c>
      <c r="B91" s="9">
        <v>372256.38</v>
      </c>
      <c r="C91" s="9">
        <v>1197028.98</v>
      </c>
      <c r="D91" s="9">
        <v>13380.13</v>
      </c>
      <c r="E91" s="9">
        <v>41074.230000000003</v>
      </c>
      <c r="F91" s="9">
        <f>SUM(B91:E91)</f>
        <v>1623739.7199999997</v>
      </c>
      <c r="G91" s="10"/>
      <c r="H91" s="10"/>
      <c r="I91" s="11"/>
      <c r="J91" s="10"/>
    </row>
    <row r="92" spans="1:10" ht="15" x14ac:dyDescent="0.2">
      <c r="A92" s="16">
        <v>41593</v>
      </c>
      <c r="B92" s="9">
        <v>588644.56999999995</v>
      </c>
      <c r="C92" s="9">
        <v>1726904.84</v>
      </c>
      <c r="D92" s="9">
        <v>35260.86</v>
      </c>
      <c r="E92" s="9">
        <v>61832.66</v>
      </c>
      <c r="F92" s="9">
        <f>SUM(B92:E92)</f>
        <v>2412642.9300000002</v>
      </c>
      <c r="G92" s="10"/>
      <c r="H92" s="10"/>
      <c r="I92" s="11"/>
      <c r="J92" s="10"/>
    </row>
    <row r="93" spans="1:10" ht="16.5" thickBot="1" x14ac:dyDescent="0.3">
      <c r="A93" s="8" t="s">
        <v>19</v>
      </c>
      <c r="B93" s="17">
        <f>SUM(B89:B92)</f>
        <v>1256539.7999999998</v>
      </c>
      <c r="C93" s="17">
        <f>SUM(C89:C92)</f>
        <v>4764987.8099999996</v>
      </c>
      <c r="D93" s="17">
        <f>SUM(D89:D92)</f>
        <v>68540.38</v>
      </c>
      <c r="E93" s="17">
        <f>SUM(E89:E92)</f>
        <v>169056.59</v>
      </c>
      <c r="F93" s="17">
        <f>SUM(F89:F92)</f>
        <v>6259124.5800000001</v>
      </c>
      <c r="G93" s="10"/>
      <c r="H93" s="10"/>
      <c r="I93" s="11"/>
      <c r="J93" s="10"/>
    </row>
    <row r="94" spans="1:10" ht="16.5" thickTop="1" x14ac:dyDescent="0.25">
      <c r="A94" s="8"/>
      <c r="B94" s="21"/>
      <c r="C94" s="21"/>
      <c r="D94" s="21"/>
      <c r="E94" s="21"/>
      <c r="F94" s="21"/>
      <c r="G94" s="10"/>
      <c r="H94" s="10"/>
      <c r="I94" s="11"/>
      <c r="J94" s="10"/>
    </row>
    <row r="95" spans="1:10" ht="15.75" x14ac:dyDescent="0.25">
      <c r="A95" s="16"/>
      <c r="B95" s="19" t="s">
        <v>1</v>
      </c>
      <c r="C95" s="19" t="s">
        <v>2</v>
      </c>
      <c r="D95" s="19"/>
      <c r="E95" s="19" t="s">
        <v>3</v>
      </c>
      <c r="F95" s="19"/>
      <c r="G95" s="10"/>
      <c r="H95" s="10"/>
      <c r="I95" s="11"/>
      <c r="J95" s="10"/>
    </row>
    <row r="96" spans="1:10" ht="15.75" x14ac:dyDescent="0.25">
      <c r="A96" s="13" t="s">
        <v>4</v>
      </c>
      <c r="B96" s="14" t="s">
        <v>5</v>
      </c>
      <c r="C96" s="14" t="s">
        <v>6</v>
      </c>
      <c r="D96" s="14" t="s">
        <v>7</v>
      </c>
      <c r="E96" s="14" t="s">
        <v>8</v>
      </c>
      <c r="F96" s="14" t="s">
        <v>9</v>
      </c>
      <c r="G96" s="10"/>
      <c r="H96" s="10"/>
      <c r="I96" s="11"/>
      <c r="J96" s="10"/>
    </row>
    <row r="97" spans="1:10" ht="15" x14ac:dyDescent="0.2">
      <c r="A97" s="16">
        <v>40954</v>
      </c>
      <c r="B97" s="9">
        <v>190285.74</v>
      </c>
      <c r="C97" s="9">
        <v>740900.51</v>
      </c>
      <c r="D97" s="9">
        <v>15019.26</v>
      </c>
      <c r="E97" s="9">
        <v>32623.43</v>
      </c>
      <c r="F97" s="9">
        <f>SUM(B97:E97)</f>
        <v>978828.94000000006</v>
      </c>
      <c r="G97" s="10"/>
      <c r="H97" s="10"/>
      <c r="I97" s="11"/>
      <c r="J97" s="10"/>
    </row>
    <row r="98" spans="1:10" ht="15" x14ac:dyDescent="0.2">
      <c r="A98" s="16">
        <v>41044</v>
      </c>
      <c r="B98" s="9">
        <v>184289.17</v>
      </c>
      <c r="C98" s="9">
        <v>949193.53</v>
      </c>
      <c r="D98" s="9">
        <v>4805.28</v>
      </c>
      <c r="E98" s="9">
        <v>24264.54</v>
      </c>
      <c r="F98" s="9">
        <f>SUM(B98:E98)</f>
        <v>1162552.52</v>
      </c>
      <c r="G98" s="10"/>
      <c r="H98" s="10"/>
      <c r="I98" s="11"/>
      <c r="J98" s="10"/>
    </row>
    <row r="99" spans="1:10" ht="15" x14ac:dyDescent="0.2">
      <c r="A99" s="16">
        <v>41136</v>
      </c>
      <c r="B99" s="9">
        <v>371769.31</v>
      </c>
      <c r="C99" s="9">
        <v>1250537.72</v>
      </c>
      <c r="D99" s="9">
        <v>15062.65</v>
      </c>
      <c r="E99" s="9">
        <v>40491.19</v>
      </c>
      <c r="F99" s="9">
        <f>SUM(B99:E99)</f>
        <v>1677860.8699999999</v>
      </c>
      <c r="G99" s="10"/>
      <c r="H99" s="10"/>
      <c r="I99" s="11"/>
      <c r="J99" s="10"/>
    </row>
    <row r="100" spans="1:10" ht="15" x14ac:dyDescent="0.2">
      <c r="A100" s="16">
        <v>41228</v>
      </c>
      <c r="B100" s="9">
        <v>664441.59</v>
      </c>
      <c r="C100" s="9">
        <v>1615200.2</v>
      </c>
      <c r="D100" s="9">
        <v>39154.160000000003</v>
      </c>
      <c r="E100" s="9">
        <v>56205.24</v>
      </c>
      <c r="F100" s="9">
        <f>SUM(B100:E100)</f>
        <v>2375001.1900000004</v>
      </c>
      <c r="G100" s="10"/>
      <c r="H100" s="10"/>
      <c r="I100" s="11"/>
      <c r="J100" s="10"/>
    </row>
    <row r="101" spans="1:10" ht="16.5" thickBot="1" x14ac:dyDescent="0.3">
      <c r="A101" s="8" t="s">
        <v>18</v>
      </c>
      <c r="B101" s="17">
        <f>SUM(B97:B100)</f>
        <v>1410785.81</v>
      </c>
      <c r="C101" s="17">
        <f>SUM(C97:C100)</f>
        <v>4555831.96</v>
      </c>
      <c r="D101" s="17">
        <f>SUM(D97:D100)</f>
        <v>74041.350000000006</v>
      </c>
      <c r="E101" s="17">
        <f>SUM(E97:E100)</f>
        <v>153584.4</v>
      </c>
      <c r="F101" s="17">
        <f>SUM(F97:F100)</f>
        <v>6194243.5200000005</v>
      </c>
      <c r="G101" s="10"/>
      <c r="H101" s="10"/>
      <c r="I101" s="11"/>
      <c r="J101" s="10"/>
    </row>
    <row r="102" spans="1:10" ht="15.75" thickTop="1" x14ac:dyDescent="0.2">
      <c r="A102" s="12"/>
      <c r="B102" s="9"/>
      <c r="C102" s="9"/>
      <c r="D102" s="9"/>
      <c r="E102" s="9"/>
      <c r="F102" s="9"/>
      <c r="G102" s="10"/>
      <c r="H102" s="10"/>
      <c r="I102" s="11"/>
      <c r="J102" s="10"/>
    </row>
    <row r="103" spans="1:10" ht="15.75" x14ac:dyDescent="0.25">
      <c r="A103" s="16"/>
      <c r="B103" s="19" t="s">
        <v>1</v>
      </c>
      <c r="C103" s="19" t="s">
        <v>2</v>
      </c>
      <c r="D103" s="19"/>
      <c r="E103" s="19" t="s">
        <v>3</v>
      </c>
      <c r="F103" s="19"/>
      <c r="G103" s="10"/>
      <c r="H103" s="10"/>
      <c r="I103" s="11"/>
      <c r="J103" s="10"/>
    </row>
    <row r="104" spans="1:10" ht="15.75" x14ac:dyDescent="0.25">
      <c r="A104" s="13" t="s">
        <v>4</v>
      </c>
      <c r="B104" s="14" t="s">
        <v>5</v>
      </c>
      <c r="C104" s="14" t="s">
        <v>6</v>
      </c>
      <c r="D104" s="14" t="s">
        <v>7</v>
      </c>
      <c r="E104" s="14" t="s">
        <v>8</v>
      </c>
      <c r="F104" s="14" t="s">
        <v>9</v>
      </c>
      <c r="G104" s="10"/>
      <c r="H104" s="10"/>
      <c r="I104" s="11"/>
      <c r="J104" s="10"/>
    </row>
    <row r="105" spans="1:10" ht="15" x14ac:dyDescent="0.2">
      <c r="A105" s="16">
        <v>40589</v>
      </c>
      <c r="B105" s="24">
        <v>216288.46</v>
      </c>
      <c r="C105" s="24">
        <v>776205.39</v>
      </c>
      <c r="D105" s="24">
        <v>10340.89</v>
      </c>
      <c r="E105" s="24">
        <v>36320.25</v>
      </c>
      <c r="F105" s="24">
        <f>SUM(B105:E105)</f>
        <v>1039154.99</v>
      </c>
      <c r="G105" s="10"/>
      <c r="H105" s="10"/>
      <c r="I105" s="11"/>
      <c r="J105" s="10"/>
    </row>
    <row r="106" spans="1:10" ht="15" x14ac:dyDescent="0.2">
      <c r="A106" s="16">
        <v>40678</v>
      </c>
      <c r="B106" s="24">
        <v>99394.92</v>
      </c>
      <c r="C106" s="24">
        <v>1052494.17</v>
      </c>
      <c r="D106" s="24">
        <v>3538.43</v>
      </c>
      <c r="E106" s="24">
        <v>21575.63</v>
      </c>
      <c r="F106" s="24">
        <f>SUM(B106:E106)</f>
        <v>1177003.1499999997</v>
      </c>
      <c r="G106" s="10"/>
      <c r="H106" s="10"/>
      <c r="I106" s="11"/>
      <c r="J106" s="10"/>
    </row>
    <row r="107" spans="1:10" ht="15" x14ac:dyDescent="0.2">
      <c r="A107" s="16">
        <v>40770</v>
      </c>
      <c r="B107" s="24">
        <v>415897.86</v>
      </c>
      <c r="C107" s="24">
        <v>1129067.3</v>
      </c>
      <c r="D107" s="24">
        <v>11975.69</v>
      </c>
      <c r="E107" s="24">
        <v>42334.35</v>
      </c>
      <c r="F107" s="24">
        <f>SUM(B107:E107)</f>
        <v>1599275.2000000002</v>
      </c>
      <c r="G107" s="10"/>
      <c r="H107" s="10"/>
      <c r="I107" s="11"/>
      <c r="J107" s="10"/>
    </row>
    <row r="108" spans="1:10" ht="15" x14ac:dyDescent="0.2">
      <c r="A108" s="16">
        <v>40862</v>
      </c>
      <c r="B108" s="24">
        <v>510654.32</v>
      </c>
      <c r="C108" s="24">
        <v>1721224.45</v>
      </c>
      <c r="D108" s="24">
        <v>30440.97</v>
      </c>
      <c r="E108" s="24">
        <v>58931.18</v>
      </c>
      <c r="F108" s="24">
        <f>SUM(B108:E108)</f>
        <v>2321250.9200000004</v>
      </c>
      <c r="G108" s="10"/>
      <c r="H108" s="10"/>
      <c r="I108" s="11"/>
      <c r="J108" s="10"/>
    </row>
    <row r="109" spans="1:10" ht="16.5" thickBot="1" x14ac:dyDescent="0.3">
      <c r="A109" s="8" t="s">
        <v>17</v>
      </c>
      <c r="B109" s="17">
        <f>SUM(B105:B108)</f>
        <v>1242235.56</v>
      </c>
      <c r="C109" s="17">
        <f>SUM(C105:C108)</f>
        <v>4678991.3100000005</v>
      </c>
      <c r="D109" s="17">
        <f>SUM(D105:D108)</f>
        <v>56295.98</v>
      </c>
      <c r="E109" s="17">
        <f>SUM(E105:E108)</f>
        <v>159161.41</v>
      </c>
      <c r="F109" s="17">
        <f>SUM(F105:F108)</f>
        <v>6136684.2599999998</v>
      </c>
      <c r="G109" s="10"/>
      <c r="H109" s="10"/>
      <c r="I109" s="11"/>
      <c r="J109" s="10"/>
    </row>
    <row r="110" spans="1:10" ht="15.75" thickTop="1" x14ac:dyDescent="0.2">
      <c r="A110" s="16"/>
      <c r="B110" s="9"/>
      <c r="C110" s="9"/>
      <c r="D110" s="9"/>
      <c r="E110" s="9"/>
      <c r="F110" s="9"/>
      <c r="G110" s="10"/>
      <c r="H110" s="10"/>
      <c r="I110" s="11"/>
      <c r="J110" s="10"/>
    </row>
    <row r="111" spans="1:10" ht="15.75" x14ac:dyDescent="0.25">
      <c r="A111" s="16"/>
      <c r="B111" s="19" t="s">
        <v>1</v>
      </c>
      <c r="C111" s="19" t="s">
        <v>2</v>
      </c>
      <c r="D111" s="19"/>
      <c r="E111" s="19" t="s">
        <v>3</v>
      </c>
      <c r="F111" s="19"/>
      <c r="G111" s="10"/>
      <c r="H111" s="10"/>
      <c r="I111" s="11"/>
      <c r="J111" s="10"/>
    </row>
    <row r="112" spans="1:10" ht="15.75" x14ac:dyDescent="0.25">
      <c r="A112" s="13" t="s">
        <v>4</v>
      </c>
      <c r="B112" s="14" t="s">
        <v>5</v>
      </c>
      <c r="C112" s="14" t="s">
        <v>6</v>
      </c>
      <c r="D112" s="14" t="s">
        <v>7</v>
      </c>
      <c r="E112" s="14" t="s">
        <v>8</v>
      </c>
      <c r="F112" s="14" t="s">
        <v>9</v>
      </c>
      <c r="G112" s="10"/>
      <c r="H112" s="10"/>
      <c r="I112" s="11"/>
      <c r="J112" s="10"/>
    </row>
    <row r="113" spans="1:10" ht="15" x14ac:dyDescent="0.2">
      <c r="A113" s="16">
        <v>40224</v>
      </c>
      <c r="B113" s="24">
        <v>88232.639999999999</v>
      </c>
      <c r="C113" s="24">
        <v>366366.95</v>
      </c>
      <c r="D113" s="24">
        <v>11653.75</v>
      </c>
      <c r="E113" s="24">
        <v>29016.28</v>
      </c>
      <c r="F113" s="24">
        <f>SUM(B113:E113)</f>
        <v>495269.62</v>
      </c>
      <c r="G113" s="10"/>
      <c r="H113" s="10"/>
      <c r="I113" s="11"/>
      <c r="J113" s="10"/>
    </row>
    <row r="114" spans="1:10" ht="15" x14ac:dyDescent="0.2">
      <c r="A114" s="16">
        <v>40313</v>
      </c>
      <c r="B114" s="24">
        <v>226750.91</v>
      </c>
      <c r="C114" s="24">
        <v>785486.29</v>
      </c>
      <c r="D114" s="24">
        <v>3791.77</v>
      </c>
      <c r="E114" s="24">
        <v>26682.58</v>
      </c>
      <c r="F114" s="24">
        <f>SUM(B114:E114)</f>
        <v>1042711.55</v>
      </c>
      <c r="G114" s="10"/>
      <c r="H114" s="10"/>
      <c r="I114" s="11"/>
      <c r="J114" s="10"/>
    </row>
    <row r="115" spans="1:10" ht="15" x14ac:dyDescent="0.2">
      <c r="A115" s="16">
        <v>40405</v>
      </c>
      <c r="B115" s="24">
        <v>255131.66</v>
      </c>
      <c r="C115" s="24">
        <v>1094972.49</v>
      </c>
      <c r="D115" s="24">
        <v>14183.18</v>
      </c>
      <c r="E115" s="24">
        <v>37822.21</v>
      </c>
      <c r="F115" s="24">
        <f>SUM(B115:E115)</f>
        <v>1402109.5399999998</v>
      </c>
      <c r="G115" s="22"/>
      <c r="H115" s="22"/>
      <c r="I115" s="11"/>
      <c r="J115" s="10"/>
    </row>
    <row r="116" spans="1:10" ht="15" x14ac:dyDescent="0.2">
      <c r="A116" s="16">
        <v>40497</v>
      </c>
      <c r="B116" s="24">
        <v>588328.55000000005</v>
      </c>
      <c r="C116" s="24">
        <v>1638238.28</v>
      </c>
      <c r="D116" s="24">
        <v>37828.61</v>
      </c>
      <c r="E116" s="24">
        <v>52890.84</v>
      </c>
      <c r="F116" s="24">
        <f>SUM(B116:E116)</f>
        <v>2317286.2799999998</v>
      </c>
      <c r="G116" s="10"/>
      <c r="H116" s="10"/>
      <c r="I116" s="11"/>
      <c r="J116" s="10"/>
    </row>
    <row r="117" spans="1:10" ht="16.5" thickBot="1" x14ac:dyDescent="0.3">
      <c r="A117" s="8" t="s">
        <v>16</v>
      </c>
      <c r="B117" s="17">
        <f>SUM(B113:B116)</f>
        <v>1158443.76</v>
      </c>
      <c r="C117" s="17">
        <f>SUM(C113:C116)</f>
        <v>3885064.01</v>
      </c>
      <c r="D117" s="17">
        <f>SUM(D113:D116)</f>
        <v>67457.31</v>
      </c>
      <c r="E117" s="17">
        <f>SUM(E113:E116)</f>
        <v>146411.91</v>
      </c>
      <c r="F117" s="17">
        <f>SUM(F113:F116)</f>
        <v>5257376.99</v>
      </c>
      <c r="G117" s="10"/>
      <c r="H117" s="10"/>
      <c r="I117" s="11"/>
      <c r="J117" s="10"/>
    </row>
    <row r="118" spans="1:10" ht="16.5" thickTop="1" x14ac:dyDescent="0.25">
      <c r="A118" s="13"/>
      <c r="B118" s="14"/>
      <c r="C118" s="14"/>
      <c r="D118" s="14"/>
      <c r="E118" s="14"/>
      <c r="F118" s="14"/>
      <c r="G118" s="10"/>
      <c r="H118" s="10"/>
      <c r="I118" s="11"/>
      <c r="J118" s="10"/>
    </row>
    <row r="119" spans="1:10" ht="15" x14ac:dyDescent="0.2">
      <c r="A119" s="16">
        <v>39859</v>
      </c>
      <c r="B119" s="9">
        <v>81254.52</v>
      </c>
      <c r="C119" s="9">
        <v>299211.82</v>
      </c>
      <c r="D119" s="9">
        <v>11469.51</v>
      </c>
      <c r="E119" s="9">
        <v>78368.479999999996</v>
      </c>
      <c r="F119" s="9">
        <f>SUM(B119:E119)</f>
        <v>470304.33</v>
      </c>
      <c r="G119" s="10"/>
      <c r="H119" s="10"/>
      <c r="I119" s="11"/>
      <c r="J119" s="10"/>
    </row>
    <row r="120" spans="1:10" ht="15" x14ac:dyDescent="0.2">
      <c r="A120" s="16">
        <v>39948</v>
      </c>
      <c r="B120" s="9">
        <v>121346.26</v>
      </c>
      <c r="C120" s="9">
        <v>421170.08</v>
      </c>
      <c r="D120" s="9">
        <v>4442.05</v>
      </c>
      <c r="E120" s="9">
        <v>0</v>
      </c>
      <c r="F120" s="9">
        <f>SUM(B120:E120)</f>
        <v>546958.39</v>
      </c>
      <c r="G120" s="10"/>
      <c r="H120" s="10"/>
      <c r="I120" s="11"/>
      <c r="J120" s="10"/>
    </row>
    <row r="121" spans="1:10" ht="15" x14ac:dyDescent="0.2">
      <c r="A121" s="16">
        <v>40040</v>
      </c>
      <c r="B121" s="9">
        <v>158107.66</v>
      </c>
      <c r="C121" s="9">
        <v>436509.49</v>
      </c>
      <c r="D121" s="9">
        <v>12756.23</v>
      </c>
      <c r="E121" s="9">
        <v>38973.79</v>
      </c>
      <c r="F121" s="9">
        <f>SUM(B121:E121)</f>
        <v>646347.17000000004</v>
      </c>
      <c r="G121" s="22"/>
      <c r="H121" s="22"/>
      <c r="I121" s="11"/>
      <c r="J121" s="10"/>
    </row>
    <row r="122" spans="1:10" ht="15" x14ac:dyDescent="0.2">
      <c r="A122" s="16">
        <v>40132</v>
      </c>
      <c r="B122" s="9">
        <v>254991.93</v>
      </c>
      <c r="C122" s="9">
        <v>798569.87</v>
      </c>
      <c r="D122" s="9">
        <v>32777.300000000003</v>
      </c>
      <c r="E122" s="9">
        <v>29849.599999999999</v>
      </c>
      <c r="F122" s="9">
        <f>SUM(B122:E122)</f>
        <v>1116188.7000000002</v>
      </c>
      <c r="G122" s="22"/>
      <c r="H122" s="22"/>
      <c r="I122" s="11"/>
      <c r="J122" s="10"/>
    </row>
    <row r="123" spans="1:10" ht="16.5" thickBot="1" x14ac:dyDescent="0.3">
      <c r="A123" s="8" t="s">
        <v>12</v>
      </c>
      <c r="B123" s="17">
        <f>SUM(B119:B122)</f>
        <v>615700.37</v>
      </c>
      <c r="C123" s="17">
        <f>SUM(C119:C122)</f>
        <v>1955461.2600000002</v>
      </c>
      <c r="D123" s="17">
        <f>SUM(D119:D122)</f>
        <v>61445.090000000004</v>
      </c>
      <c r="E123" s="17">
        <f>SUM(E119:E122)</f>
        <v>147191.87</v>
      </c>
      <c r="F123" s="17">
        <f>SUM(F119:F122)</f>
        <v>2779798.5900000003</v>
      </c>
      <c r="G123" s="10"/>
      <c r="H123" s="10"/>
      <c r="I123" s="11"/>
      <c r="J123" s="10"/>
    </row>
    <row r="124" spans="1:10" ht="15.75" thickTop="1" x14ac:dyDescent="0.2">
      <c r="A124" s="16"/>
      <c r="B124" s="9"/>
      <c r="C124" s="9"/>
      <c r="D124" s="9"/>
      <c r="E124" s="9"/>
      <c r="F124" s="9"/>
      <c r="G124" s="10"/>
      <c r="H124" s="10"/>
      <c r="I124" s="11"/>
      <c r="J124" s="10"/>
    </row>
    <row r="125" spans="1:10" ht="15" x14ac:dyDescent="0.2">
      <c r="A125" s="16">
        <v>39501</v>
      </c>
      <c r="B125" s="9">
        <v>101712.23</v>
      </c>
      <c r="C125" s="9">
        <v>392901.89</v>
      </c>
      <c r="D125" s="9">
        <v>11824.79</v>
      </c>
      <c r="E125" s="9">
        <v>34653.769999999997</v>
      </c>
      <c r="F125" s="9">
        <f>SUM(B125:E125)</f>
        <v>541092.67999999993</v>
      </c>
      <c r="G125" s="10"/>
      <c r="H125" s="10"/>
      <c r="I125" s="11"/>
      <c r="J125" s="10"/>
    </row>
    <row r="126" spans="1:10" ht="15" x14ac:dyDescent="0.2">
      <c r="A126" s="16">
        <v>39591</v>
      </c>
      <c r="B126" s="9">
        <v>112698.88</v>
      </c>
      <c r="C126" s="9">
        <v>329495.09000000003</v>
      </c>
      <c r="D126" s="9">
        <v>3947.44</v>
      </c>
      <c r="E126" s="9">
        <v>18128.2</v>
      </c>
      <c r="F126" s="9">
        <f>SUM(B126:E126)</f>
        <v>464269.61000000004</v>
      </c>
      <c r="G126" s="10"/>
      <c r="H126" s="10"/>
      <c r="I126" s="11"/>
      <c r="J126" s="10"/>
    </row>
    <row r="127" spans="1:10" ht="15" x14ac:dyDescent="0.2">
      <c r="A127" s="16">
        <v>39675</v>
      </c>
      <c r="B127" s="9">
        <v>151024.51999999999</v>
      </c>
      <c r="C127" s="9">
        <v>444350.67</v>
      </c>
      <c r="D127" s="9">
        <v>13173.99</v>
      </c>
      <c r="E127" s="9">
        <v>35021.82</v>
      </c>
      <c r="F127" s="9">
        <f>SUM(B127:E127)</f>
        <v>643570.99999999988</v>
      </c>
      <c r="G127" s="10"/>
      <c r="H127" s="10"/>
      <c r="I127" s="11"/>
      <c r="J127" s="10"/>
    </row>
    <row r="128" spans="1:10" ht="15" x14ac:dyDescent="0.2">
      <c r="A128" s="16">
        <v>39767</v>
      </c>
      <c r="B128" s="9">
        <v>284042.08</v>
      </c>
      <c r="C128" s="9">
        <v>671079.78</v>
      </c>
      <c r="D128" s="9">
        <v>32654.69</v>
      </c>
      <c r="E128" s="9">
        <v>51005.33</v>
      </c>
      <c r="F128" s="9">
        <f>SUM(B128:E128)</f>
        <v>1038781.88</v>
      </c>
      <c r="G128" s="10"/>
      <c r="H128" s="10"/>
      <c r="I128" s="11"/>
      <c r="J128" s="10"/>
    </row>
    <row r="129" spans="1:10" ht="16.5" thickBot="1" x14ac:dyDescent="0.3">
      <c r="A129" s="8" t="s">
        <v>11</v>
      </c>
      <c r="B129" s="17">
        <f>SUM(B125:B128)</f>
        <v>649477.71</v>
      </c>
      <c r="C129" s="17">
        <f>SUM(C125:C128)</f>
        <v>1837827.43</v>
      </c>
      <c r="D129" s="17">
        <f>SUM(D125:D128)</f>
        <v>61600.91</v>
      </c>
      <c r="E129" s="17">
        <f>SUM(E125:E128)</f>
        <v>138809.12</v>
      </c>
      <c r="F129" s="17">
        <f>SUM(F125:F128)</f>
        <v>2687715.17</v>
      </c>
      <c r="G129" s="10"/>
      <c r="H129" s="10"/>
      <c r="I129" s="11"/>
      <c r="J129" s="10"/>
    </row>
    <row r="130" spans="1:10" ht="15.75" thickTop="1" x14ac:dyDescent="0.2">
      <c r="A130" s="16"/>
      <c r="B130" s="9"/>
      <c r="C130" s="9"/>
      <c r="D130" s="9"/>
      <c r="E130" s="9"/>
      <c r="F130" s="9"/>
      <c r="G130" s="10"/>
      <c r="H130" s="10"/>
      <c r="I130" s="11"/>
      <c r="J130" s="10"/>
    </row>
    <row r="131" spans="1:10" ht="15" x14ac:dyDescent="0.2">
      <c r="A131" s="16">
        <v>39136</v>
      </c>
      <c r="B131" s="9">
        <v>118895.26</v>
      </c>
      <c r="C131" s="9">
        <v>447194.6</v>
      </c>
      <c r="D131" s="9">
        <v>15049.97</v>
      </c>
      <c r="E131" s="9">
        <v>18181.810000000001</v>
      </c>
      <c r="F131" s="9">
        <f>SUM(B131:E131)</f>
        <v>599321.64</v>
      </c>
      <c r="G131" s="10"/>
      <c r="H131" s="10"/>
      <c r="I131" s="11"/>
      <c r="J131" s="10"/>
    </row>
    <row r="132" spans="1:10" ht="15" x14ac:dyDescent="0.2">
      <c r="A132" s="16">
        <v>39225</v>
      </c>
      <c r="B132" s="9">
        <v>77038.33</v>
      </c>
      <c r="C132" s="9">
        <v>391984.02</v>
      </c>
      <c r="D132" s="9"/>
      <c r="E132" s="9">
        <v>16316</v>
      </c>
      <c r="F132" s="9">
        <f>SUM(B132:E132)</f>
        <v>485338.35000000003</v>
      </c>
      <c r="G132" s="10"/>
      <c r="H132" s="10"/>
      <c r="I132" s="11"/>
      <c r="J132" s="10"/>
    </row>
    <row r="133" spans="1:10" ht="15" x14ac:dyDescent="0.2">
      <c r="A133" s="16">
        <v>39317</v>
      </c>
      <c r="B133" s="9">
        <v>162070.54</v>
      </c>
      <c r="C133" s="9">
        <v>471863.52</v>
      </c>
      <c r="D133" s="9">
        <v>13897.03</v>
      </c>
      <c r="E133" s="9">
        <v>38619.18</v>
      </c>
      <c r="F133" s="9">
        <f>SUM(B133:E133)</f>
        <v>686450.27000000014</v>
      </c>
      <c r="G133" s="10"/>
      <c r="H133" s="10"/>
      <c r="I133" s="11"/>
      <c r="J133" s="10"/>
    </row>
    <row r="134" spans="1:10" ht="15" x14ac:dyDescent="0.2">
      <c r="A134" s="16">
        <v>39406</v>
      </c>
      <c r="B134" s="9">
        <v>170465.23</v>
      </c>
      <c r="C134" s="9">
        <v>609013.91</v>
      </c>
      <c r="D134" s="9">
        <v>22655.599999999999</v>
      </c>
      <c r="E134" s="9">
        <v>40082.400000000001</v>
      </c>
      <c r="F134" s="9">
        <f>SUM(B134:E134)</f>
        <v>842217.14</v>
      </c>
      <c r="G134" s="10"/>
      <c r="H134" s="10"/>
      <c r="I134" s="11"/>
      <c r="J134" s="10"/>
    </row>
    <row r="135" spans="1:10" ht="15" x14ac:dyDescent="0.2">
      <c r="A135" s="16">
        <v>39416</v>
      </c>
      <c r="B135" s="9">
        <v>120811.01</v>
      </c>
      <c r="C135" s="9">
        <v>68730.87</v>
      </c>
      <c r="D135" s="9">
        <v>10793.12</v>
      </c>
      <c r="E135" s="9">
        <v>9463.1</v>
      </c>
      <c r="F135" s="9">
        <f>SUM(B135:E135)</f>
        <v>209798.1</v>
      </c>
      <c r="G135" s="10"/>
      <c r="H135" s="10"/>
      <c r="I135" s="11"/>
      <c r="J135" s="10"/>
    </row>
    <row r="136" spans="1:10" ht="16.5" thickBot="1" x14ac:dyDescent="0.3">
      <c r="A136" s="8" t="s">
        <v>10</v>
      </c>
      <c r="B136" s="17">
        <f>SUM(B131:B135)</f>
        <v>649280.37</v>
      </c>
      <c r="C136" s="17">
        <f>SUM(C131:C135)</f>
        <v>1988786.9200000004</v>
      </c>
      <c r="D136" s="17">
        <f>SUM(D131:D135)</f>
        <v>62395.72</v>
      </c>
      <c r="E136" s="17">
        <f>SUM(E131:E135)</f>
        <v>122662.48999999999</v>
      </c>
      <c r="F136" s="17">
        <f>SUM(F131:F135)</f>
        <v>2823125.5000000005</v>
      </c>
      <c r="G136" s="10"/>
      <c r="H136" s="10"/>
      <c r="I136" s="11"/>
      <c r="J136" s="10"/>
    </row>
    <row r="137" spans="1:10" ht="13.5" thickTop="1" x14ac:dyDescent="0.2"/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8"/>
  <sheetViews>
    <sheetView showGridLines="0" workbookViewId="0">
      <selection activeCell="C23" sqref="C23"/>
    </sheetView>
  </sheetViews>
  <sheetFormatPr defaultColWidth="8.85546875" defaultRowHeight="15" x14ac:dyDescent="0.25"/>
  <cols>
    <col min="1" max="2" width="25" style="1" customWidth="1"/>
    <col min="3" max="4" width="14.7109375" style="1" customWidth="1"/>
    <col min="5" max="5" width="25" style="1" customWidth="1"/>
    <col min="6" max="7" width="14.7109375" style="1" customWidth="1"/>
    <col min="8" max="16384" width="8.85546875" style="1"/>
  </cols>
  <sheetData>
    <row r="1" spans="1:7" x14ac:dyDescent="0.25">
      <c r="A1" s="7" t="s">
        <v>33</v>
      </c>
      <c r="B1" s="7" t="s">
        <v>32</v>
      </c>
      <c r="C1" s="6" t="s">
        <v>31</v>
      </c>
      <c r="D1" s="6" t="s">
        <v>30</v>
      </c>
      <c r="E1" s="7" t="s">
        <v>29</v>
      </c>
      <c r="F1" s="6" t="s">
        <v>28</v>
      </c>
      <c r="G1" s="6" t="s">
        <v>27</v>
      </c>
    </row>
    <row r="2" spans="1:7" x14ac:dyDescent="0.25">
      <c r="A2" s="5" t="s">
        <v>26</v>
      </c>
      <c r="B2" s="5"/>
      <c r="C2" s="4">
        <v>0</v>
      </c>
      <c r="D2" s="4">
        <v>0</v>
      </c>
      <c r="E2" s="5"/>
      <c r="F2" s="4">
        <v>0</v>
      </c>
      <c r="G2" s="4">
        <v>52952.3</v>
      </c>
    </row>
    <row r="3" spans="1:7" x14ac:dyDescent="0.25">
      <c r="A3" s="5" t="s">
        <v>7</v>
      </c>
      <c r="B3" s="5"/>
      <c r="C3" s="4">
        <v>0</v>
      </c>
      <c r="D3" s="4">
        <v>5062.5</v>
      </c>
      <c r="E3" s="5"/>
      <c r="F3" s="4">
        <v>0</v>
      </c>
      <c r="G3" s="4">
        <v>0</v>
      </c>
    </row>
    <row r="4" spans="1:7" x14ac:dyDescent="0.25">
      <c r="A4" s="5" t="s">
        <v>25</v>
      </c>
      <c r="B4" s="5"/>
      <c r="C4" s="4">
        <v>0</v>
      </c>
      <c r="D4" s="4">
        <v>27184.22</v>
      </c>
      <c r="E4" s="5"/>
      <c r="F4" s="4">
        <v>0</v>
      </c>
      <c r="G4" s="4">
        <v>0</v>
      </c>
    </row>
    <row r="5" spans="1:7" x14ac:dyDescent="0.25">
      <c r="A5" s="5" t="s">
        <v>24</v>
      </c>
      <c r="B5" s="5"/>
      <c r="C5" s="4">
        <v>0</v>
      </c>
      <c r="D5" s="4">
        <v>1417167.91</v>
      </c>
      <c r="E5" s="5"/>
      <c r="F5" s="4">
        <v>0</v>
      </c>
      <c r="G5" s="4">
        <v>0</v>
      </c>
    </row>
    <row r="6" spans="1:7" x14ac:dyDescent="0.25">
      <c r="A6" s="5" t="s">
        <v>22</v>
      </c>
      <c r="B6" s="5"/>
      <c r="C6" s="4">
        <v>0</v>
      </c>
      <c r="D6" s="4">
        <v>1095.8599999999999</v>
      </c>
      <c r="E6" s="5"/>
      <c r="F6" s="4">
        <v>0</v>
      </c>
      <c r="G6" s="4">
        <v>0</v>
      </c>
    </row>
    <row r="7" spans="1:7" ht="15.75" thickBot="1" x14ac:dyDescent="0.3">
      <c r="A7" s="5" t="s">
        <v>23</v>
      </c>
      <c r="B7" s="5"/>
      <c r="C7" s="4">
        <v>0</v>
      </c>
      <c r="D7" s="4">
        <v>328999.21999999997</v>
      </c>
      <c r="E7" s="5"/>
      <c r="F7" s="4">
        <v>0</v>
      </c>
      <c r="G7" s="4">
        <v>0</v>
      </c>
    </row>
    <row r="8" spans="1:7" x14ac:dyDescent="0.25">
      <c r="A8" s="3"/>
      <c r="B8" s="3"/>
      <c r="C8" s="2">
        <f>SUBTOTAL(9,C2:C7)</f>
        <v>0</v>
      </c>
      <c r="D8" s="2">
        <f>SUBTOTAL(9,D2:D7)</f>
        <v>1779509.71</v>
      </c>
      <c r="E8" s="3"/>
      <c r="F8" s="2">
        <f>SUBTOTAL(9,F2:F7)</f>
        <v>0</v>
      </c>
      <c r="G8" s="2">
        <f>SUBTOTAL(9,G2:G7)</f>
        <v>52952.3</v>
      </c>
    </row>
  </sheetData>
  <autoFilter ref="A1:G7" xr:uid="{00000000-0009-0000-0000-000001000000}"/>
  <pageMargins left="0.75" right="0.75" top="1" bottom="1" header="0.5" footer="0.5"/>
  <pageSetup orientation="landscape" r:id="rId1"/>
  <headerFooter>
    <oddHeader>Distribution Sub-Groups</oddHeader>
    <oddFooter>Printed &amp;D &amp;T, &amp;F, 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24BF8B79AF6B84B9E84ABAAC1B3A307" ma:contentTypeVersion="13" ma:contentTypeDescription="Create a new document." ma:contentTypeScope="" ma:versionID="0895c33d271f84b07d280a4f612fe5c4">
  <xsd:schema xmlns:xsd="http://www.w3.org/2001/XMLSchema" xmlns:xs="http://www.w3.org/2001/XMLSchema" xmlns:p="http://schemas.microsoft.com/office/2006/metadata/properties" xmlns:ns2="bb65cc95-6d4e-4879-a879-9838761499af" xmlns:ns3="9e30f06f-ad7a-453a-8e08-8a8878e30bd1" xmlns:ns4="7b1f4bc1-1c69-4382-97c7-524a76d943bf" targetNamespace="http://schemas.microsoft.com/office/2006/metadata/properties" ma:root="true" ma:fieldsID="ae095e5ba2d57578bcb9ca3356dde08c" ns2:_="" ns3:_="" ns4:_="">
    <xsd:import namespace="bb65cc95-6d4e-4879-a879-9838761499af"/>
    <xsd:import namespace="9e30f06f-ad7a-453a-8e08-8a8878e30bd1"/>
    <xsd:import namespace="7b1f4bc1-1c69-4382-97c7-524a76d943b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_x002e_DocumentType" minOccurs="0"/>
                <xsd:element ref="ns3:_x002e_Owner" minOccurs="0"/>
                <xsd:element ref="ns3:_x002e_Owner_x003a_Title" minOccurs="0"/>
                <xsd:element ref="ns3:_x002e_DocumentYear" minOccurs="0"/>
                <xsd:element ref="ns4:EffectiveDate" minOccurs="0"/>
                <xsd:element ref="ns3:SharedWithUsers" minOccurs="0"/>
                <xsd:element ref="ns4:Coun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65cc95-6d4e-4879-a879-9838761499af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30f06f-ad7a-453a-8e08-8a8878e30bd1" elementFormDefault="qualified">
    <xsd:import namespace="http://schemas.microsoft.com/office/2006/documentManagement/types"/>
    <xsd:import namespace="http://schemas.microsoft.com/office/infopath/2007/PartnerControls"/>
    <xsd:element name="_x002e_DocumentType" ma:index="11" nillable="true" ma:displayName=".DocumentType" ma:list="{16749d5e-cea4-48ae-a28f-956a510190bc}" ma:internalName="_x002E_DocumentType" ma:showField="Title" ma:web="9e30f06f-ad7a-453a-8e08-8a8878e30bd1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Owner" ma:index="12" nillable="true" ma:displayName=".Owner" ma:list="{29e46617-3f90-47c2-81cb-c15a8896bebd}" ma:internalName="_x002E_Owner" ma:showField="Title" ma:web="9e30f06f-ad7a-453a-8e08-8a8878e30bd1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Owner_x003a_Title" ma:index="13" nillable="true" ma:displayName=".Owner:Title" ma:list="{29e46617-3f90-47c2-81cb-c15a8896bebd}" ma:internalName="_x002E_Owner_x003A_Title" ma:readOnly="true" ma:showField="Title" ma:web="9e30f06f-ad7a-453a-8e08-8a8878e30bd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DocumentYear" ma:index="14" nillable="true" ma:displayName=".DocumentYear" ma:description="Year(s) the document applies to." ma:format="Dropdown" ma:internalName="_x002E_DocumentYear">
      <xsd:simpleType>
        <xsd:restriction base="dms:Choice">
          <xsd:enumeration value="multi-year"/>
          <xsd:enumeration value="2025"/>
          <xsd:enumeration value="2024"/>
          <xsd:enumeration value="2023"/>
          <xsd:enumeration value="2022"/>
          <xsd:enumeration value="2021"/>
          <xsd:enumeration value="2020"/>
          <xsd:enumeration value="2019"/>
          <xsd:enumeration value="2018"/>
          <xsd:enumeration value="2017"/>
          <xsd:enumeration value="2016"/>
          <xsd:enumeration value="2015"/>
          <xsd:enumeration value="2014"/>
          <xsd:enumeration value="2013"/>
          <xsd:enumeration value="2012"/>
          <xsd:enumeration value="2011"/>
          <xsd:enumeration value="2010"/>
          <xsd:enumeration value="2009"/>
          <xsd:enumeration value="2008"/>
          <xsd:enumeration value="2007"/>
          <xsd:enumeration value="2006"/>
          <xsd:enumeration value="2005"/>
          <xsd:enumeration value="2004"/>
          <xsd:enumeration value="2003"/>
          <xsd:enumeration value="2002"/>
          <xsd:enumeration value="2001"/>
          <xsd:enumeration value="2000"/>
          <xsd:enumeration value="1999"/>
          <xsd:enumeration value="1998"/>
          <xsd:enumeration value="1997"/>
          <xsd:enumeration value="1996"/>
          <xsd:enumeration value="1995"/>
          <xsd:enumeration value="1994"/>
          <xsd:enumeration value="1993"/>
          <xsd:enumeration value="1992"/>
          <xsd:enumeration value="1991"/>
          <xsd:enumeration value="1990"/>
          <xsd:enumeration value="1989"/>
          <xsd:enumeration value="1988"/>
          <xsd:enumeration value="1987"/>
          <xsd:enumeration value="1986"/>
          <xsd:enumeration value="1985"/>
          <xsd:enumeration value="1984"/>
          <xsd:enumeration value="1983"/>
          <xsd:enumeration value="1982"/>
          <xsd:enumeration value="1981"/>
          <xsd:enumeration value="1980"/>
          <xsd:enumeration value="1979"/>
          <xsd:enumeration value="1978"/>
          <xsd:enumeration value="1977"/>
          <xsd:enumeration value="1976"/>
          <xsd:enumeration value="1975"/>
          <xsd:enumeration value="1974"/>
          <xsd:enumeration value="1973"/>
          <xsd:enumeration value="1972"/>
          <xsd:enumeration value="1971"/>
          <xsd:enumeration value="1970"/>
          <xsd:enumeration value="1969"/>
          <xsd:enumeration value="1968"/>
          <xsd:enumeration value="1967"/>
          <xsd:enumeration value="1966"/>
          <xsd:enumeration value="1965"/>
        </xsd:restriction>
      </xsd:simpleType>
    </xsd:element>
    <xsd:element name="SharedWithUsers" ma:index="17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1f4bc1-1c69-4382-97c7-524a76d943bf" elementFormDefault="qualified">
    <xsd:import namespace="http://schemas.microsoft.com/office/2006/documentManagement/types"/>
    <xsd:import namespace="http://schemas.microsoft.com/office/infopath/2007/PartnerControls"/>
    <xsd:element name="EffectiveDate" ma:index="16" nillable="true" ma:displayName="EffectiveDate" ma:description="effective date for STRB files" ma:internalName="EffectiveDate">
      <xsd:simpleType>
        <xsd:restriction base="dms:Text">
          <xsd:maxLength value="255"/>
        </xsd:restriction>
      </xsd:simpleType>
    </xsd:element>
    <xsd:element name="County" ma:index="18" nillable="true" ma:displayName="County" ma:description="Holds county name" ma:internalName="County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ffectiveDate xmlns="7b1f4bc1-1c69-4382-97c7-524a76d943bf" xsi:nil="true"/>
    <_x002e_DocumentType xmlns="9e30f06f-ad7a-453a-8e08-8a8878e30bd1">
      <Value>123</Value>
    </_x002e_DocumentType>
    <_x002e_DocumentYear xmlns="9e30f06f-ad7a-453a-8e08-8a8878e30bd1">multi-year</_x002e_DocumentYear>
    <County xmlns="7b1f4bc1-1c69-4382-97c7-524a76d943bf" xsi:nil="true"/>
    <_dlc_DocId xmlns="bb65cc95-6d4e-4879-a879-9838761499af">33E6D4FPPFNA-16-4731</_dlc_DocId>
    <_x002e_Owner xmlns="9e30f06f-ad7a-453a-8e08-8a8878e30bd1">
      <Value>47</Value>
    </_x002e_Owner>
    <_dlc_DocIdUrl xmlns="bb65cc95-6d4e-4879-a879-9838761499af">
      <Url>https://revenue-auth-prod.wi.gov/_layouts/15/DocIdRedir.aspx?ID=33E6D4FPPFNA-16-4731</Url>
      <Description>33E6D4FPPFNA-16-4731</Description>
    </_dlc_DocIdUrl>
  </documentManagement>
</p:properties>
</file>

<file path=customXml/itemProps1.xml><?xml version="1.0" encoding="utf-8"?>
<ds:datastoreItem xmlns:ds="http://schemas.openxmlformats.org/officeDocument/2006/customXml" ds:itemID="{7A2AE5C8-1A37-4750-BC2D-346AB7B8E393}"/>
</file>

<file path=customXml/itemProps2.xml><?xml version="1.0" encoding="utf-8"?>
<ds:datastoreItem xmlns:ds="http://schemas.openxmlformats.org/officeDocument/2006/customXml" ds:itemID="{8BD882B9-E481-401C-8423-55D82BB97ABC}"/>
</file>

<file path=customXml/itemProps3.xml><?xml version="1.0" encoding="utf-8"?>
<ds:datastoreItem xmlns:ds="http://schemas.openxmlformats.org/officeDocument/2006/customXml" ds:itemID="{1866C774-3B69-449C-AC34-C88D72023C84}"/>
</file>

<file path=customXml/itemProps4.xml><?xml version="1.0" encoding="utf-8"?>
<ds:datastoreItem xmlns:ds="http://schemas.openxmlformats.org/officeDocument/2006/customXml" ds:itemID="{45A59235-D287-43EA-B364-09280893B9C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Premier Resort</vt:lpstr>
      <vt:lpstr>Sheet1</vt:lpstr>
      <vt:lpstr>May 2016</vt:lpstr>
      <vt:lpstr>'Premier Resort'!Print_Area</vt:lpstr>
      <vt:lpstr>Sheet1!Print_Area</vt:lpstr>
      <vt:lpstr>'May 2016'!Print_Titles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Premier Resort Tax Distributions</dc:title>
  <dc:creator>Steinfeldt, Craig A;FTE;09/02/2006</dc:creator>
  <cp:lastModifiedBy>Hampton, Michael F - DOR</cp:lastModifiedBy>
  <cp:lastPrinted>2025-03-17T12:02:43Z</cp:lastPrinted>
  <dcterms:created xsi:type="dcterms:W3CDTF">1996-10-14T23:33:28Z</dcterms:created>
  <dcterms:modified xsi:type="dcterms:W3CDTF">2025-03-17T15:52:16Z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0x010100324BF8B79AF6B84B9E84ABAAC1B3A307</vt:lpwstr>
  </property>
  <property fmtid="{D5CDD505-2E9C-101B-9397-08002B2CF9AE}" pid="3" name="_dlc_DocIdItemGuid">
    <vt:lpwstr>7e37533f-e5be-4d5e-874b-5a99a03aa41e</vt:lpwstr>
  </property>
</Properties>
</file>