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mptmfzww\Downloads\"/>
    </mc:Choice>
  </mc:AlternateContent>
  <xr:revisionPtr revIDLastSave="0" documentId="8_{786FEB47-E76F-4AA4-8B7B-13BA361CFB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PO Tax Distributions" sheetId="1" r:id="rId1"/>
    <sheet name="Sheet1" sheetId="2" r:id="rId2"/>
  </sheets>
  <definedNames>
    <definedName name="_xlnm.Print_Area" localSheetId="0">'EXPO Tax Distributions'!$A$184:$G$304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D13" i="1"/>
  <c r="C13" i="1"/>
  <c r="C22" i="1" s="1"/>
  <c r="B13" i="1"/>
  <c r="F11" i="1"/>
  <c r="F12" i="1"/>
  <c r="F14" i="1"/>
  <c r="F15" i="1"/>
  <c r="F16" i="1"/>
  <c r="F17" i="1"/>
  <c r="F18" i="1"/>
  <c r="F19" i="1"/>
  <c r="F20" i="1"/>
  <c r="F21" i="1"/>
  <c r="F10" i="1"/>
  <c r="D22" i="1"/>
  <c r="B28" i="1"/>
  <c r="C28" i="1"/>
  <c r="D28" i="1"/>
  <c r="E28" i="1"/>
  <c r="B29" i="1"/>
  <c r="C29" i="1"/>
  <c r="D29" i="1"/>
  <c r="E29" i="1"/>
  <c r="F29" i="1"/>
  <c r="B30" i="1"/>
  <c r="C30" i="1"/>
  <c r="D30" i="1"/>
  <c r="E30" i="1"/>
  <c r="B31" i="1"/>
  <c r="F31" i="1" s="1"/>
  <c r="C31" i="1"/>
  <c r="D31" i="1"/>
  <c r="E31" i="1"/>
  <c r="F32" i="1"/>
  <c r="F33" i="1"/>
  <c r="B34" i="1"/>
  <c r="F34" i="1" s="1"/>
  <c r="C34" i="1"/>
  <c r="D34" i="1"/>
  <c r="E34" i="1"/>
  <c r="F35" i="1"/>
  <c r="B36" i="1"/>
  <c r="C36" i="1"/>
  <c r="D36" i="1"/>
  <c r="E36" i="1"/>
  <c r="B37" i="1"/>
  <c r="C37" i="1"/>
  <c r="D37" i="1"/>
  <c r="E37" i="1"/>
  <c r="F37" i="1"/>
  <c r="B38" i="1"/>
  <c r="F38" i="1" s="1"/>
  <c r="C38" i="1"/>
  <c r="D38" i="1"/>
  <c r="E38" i="1"/>
  <c r="B39" i="1"/>
  <c r="F39" i="1" s="1"/>
  <c r="C39" i="1"/>
  <c r="D39" i="1"/>
  <c r="E39" i="1"/>
  <c r="B100" i="1"/>
  <c r="C100" i="1"/>
  <c r="D100" i="1"/>
  <c r="E100" i="1"/>
  <c r="B101" i="1"/>
  <c r="C101" i="1"/>
  <c r="D101" i="1"/>
  <c r="E101" i="1"/>
  <c r="F101" i="1"/>
  <c r="B102" i="1"/>
  <c r="F102" i="1" s="1"/>
  <c r="C102" i="1"/>
  <c r="D102" i="1"/>
  <c r="E102" i="1"/>
  <c r="B103" i="1"/>
  <c r="C103" i="1"/>
  <c r="D103" i="1"/>
  <c r="E103" i="1"/>
  <c r="B104" i="1"/>
  <c r="C104" i="1"/>
  <c r="D104" i="1"/>
  <c r="E104" i="1"/>
  <c r="F105" i="1"/>
  <c r="B106" i="1"/>
  <c r="C106" i="1"/>
  <c r="D106" i="1"/>
  <c r="E106" i="1"/>
  <c r="F107" i="1"/>
  <c r="F108" i="1"/>
  <c r="B109" i="1"/>
  <c r="C109" i="1"/>
  <c r="D109" i="1"/>
  <c r="E109" i="1"/>
  <c r="B110" i="1"/>
  <c r="C110" i="1"/>
  <c r="D110" i="1"/>
  <c r="E110" i="1"/>
  <c r="B111" i="1"/>
  <c r="F111" i="1" s="1"/>
  <c r="C111" i="1"/>
  <c r="D111" i="1"/>
  <c r="E111" i="1"/>
  <c r="F13" i="1" l="1"/>
  <c r="F22" i="1" s="1"/>
  <c r="B22" i="1"/>
  <c r="G10" i="1"/>
  <c r="G11" i="1"/>
  <c r="G12" i="1" s="1"/>
  <c r="E22" i="1"/>
  <c r="F110" i="1"/>
  <c r="F30" i="1"/>
  <c r="F104" i="1"/>
  <c r="E112" i="1"/>
  <c r="F109" i="1"/>
  <c r="B112" i="1"/>
  <c r="D112" i="1"/>
  <c r="F36" i="1"/>
  <c r="C112" i="1"/>
  <c r="F106" i="1"/>
  <c r="F100" i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F28" i="1"/>
  <c r="G28" i="1" s="1"/>
  <c r="G29" i="1" s="1"/>
  <c r="F103" i="1"/>
  <c r="G13" i="1" l="1"/>
  <c r="G14" i="1" s="1"/>
  <c r="G15" i="1" s="1"/>
  <c r="G16" i="1" s="1"/>
  <c r="G17" i="1" s="1"/>
  <c r="G18" i="1" s="1"/>
  <c r="G19" i="1" s="1"/>
  <c r="G20" i="1" s="1"/>
  <c r="G21" i="1" s="1"/>
  <c r="F112" i="1"/>
  <c r="G30" i="1"/>
  <c r="G31" i="1" s="1"/>
  <c r="G32" i="1" s="1"/>
  <c r="G33" i="1" s="1"/>
  <c r="G34" i="1" s="1"/>
  <c r="G35" i="1" s="1"/>
  <c r="G36" i="1" s="1"/>
  <c r="G37" i="1" s="1"/>
  <c r="G38" i="1" s="1"/>
  <c r="G39" i="1" s="1"/>
  <c r="E287" i="2"/>
  <c r="D287" i="2"/>
  <c r="C287" i="2"/>
  <c r="B287" i="2"/>
  <c r="F286" i="2"/>
  <c r="F285" i="2"/>
  <c r="F284" i="2"/>
  <c r="F283" i="2"/>
  <c r="F282" i="2"/>
  <c r="F281" i="2"/>
  <c r="F280" i="2"/>
  <c r="F279" i="2"/>
  <c r="F278" i="2"/>
  <c r="F277" i="2"/>
  <c r="F276" i="2"/>
  <c r="G275" i="2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F275" i="2"/>
  <c r="F287" i="2" s="1"/>
  <c r="E272" i="2"/>
  <c r="D272" i="2"/>
  <c r="C272" i="2"/>
  <c r="B272" i="2"/>
  <c r="F271" i="2"/>
  <c r="F270" i="2"/>
  <c r="F269" i="2"/>
  <c r="F268" i="2"/>
  <c r="F267" i="2"/>
  <c r="F266" i="2"/>
  <c r="F265" i="2"/>
  <c r="F264" i="2"/>
  <c r="F263" i="2"/>
  <c r="F262" i="2"/>
  <c r="F261" i="2"/>
  <c r="G260" i="2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F260" i="2"/>
  <c r="F272" i="2" s="1"/>
  <c r="E257" i="2"/>
  <c r="D257" i="2"/>
  <c r="C257" i="2"/>
  <c r="B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57" i="2" s="1"/>
  <c r="E242" i="2"/>
  <c r="D242" i="2"/>
  <c r="C242" i="2"/>
  <c r="B242" i="2"/>
  <c r="F241" i="2"/>
  <c r="F240" i="2"/>
  <c r="F239" i="2"/>
  <c r="F238" i="2"/>
  <c r="F237" i="2"/>
  <c r="F236" i="2"/>
  <c r="F235" i="2"/>
  <c r="F234" i="2"/>
  <c r="F233" i="2"/>
  <c r="F232" i="2"/>
  <c r="F242" i="2" s="1"/>
  <c r="G231" i="2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F231" i="2"/>
  <c r="E228" i="2"/>
  <c r="D228" i="2"/>
  <c r="C228" i="2"/>
  <c r="B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28" i="2" s="1"/>
  <c r="E213" i="2"/>
  <c r="D213" i="2"/>
  <c r="C213" i="2"/>
  <c r="B213" i="2"/>
  <c r="F212" i="2"/>
  <c r="F211" i="2"/>
  <c r="F210" i="2"/>
  <c r="F209" i="2"/>
  <c r="F208" i="2"/>
  <c r="F207" i="2"/>
  <c r="F206" i="2"/>
  <c r="F205" i="2"/>
  <c r="F204" i="2"/>
  <c r="F203" i="2"/>
  <c r="F213" i="2" s="1"/>
  <c r="G202" i="2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F202" i="2"/>
  <c r="G201" i="2"/>
  <c r="F201" i="2"/>
  <c r="E195" i="2"/>
  <c r="D195" i="2"/>
  <c r="C195" i="2"/>
  <c r="B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95" i="2" s="1"/>
  <c r="E180" i="2"/>
  <c r="D180" i="2"/>
  <c r="C180" i="2"/>
  <c r="B180" i="2"/>
  <c r="F179" i="2"/>
  <c r="F178" i="2"/>
  <c r="F177" i="2"/>
  <c r="F176" i="2"/>
  <c r="F175" i="2"/>
  <c r="F174" i="2"/>
  <c r="F173" i="2"/>
  <c r="F172" i="2"/>
  <c r="F171" i="2"/>
  <c r="G171" i="2" s="1"/>
  <c r="G172" i="2" s="1"/>
  <c r="G173" i="2" s="1"/>
  <c r="G174" i="2" s="1"/>
  <c r="F170" i="2"/>
  <c r="F169" i="2"/>
  <c r="G168" i="2"/>
  <c r="G169" i="2" s="1"/>
  <c r="G170" i="2" s="1"/>
  <c r="F168" i="2"/>
  <c r="F180" i="2" s="1"/>
  <c r="E165" i="2"/>
  <c r="D165" i="2"/>
  <c r="C165" i="2"/>
  <c r="B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G153" i="2" s="1"/>
  <c r="G154" i="2" s="1"/>
  <c r="E147" i="2"/>
  <c r="D147" i="2"/>
  <c r="C147" i="2"/>
  <c r="F147" i="2" s="1"/>
  <c r="B147" i="2"/>
  <c r="E146" i="2"/>
  <c r="F146" i="2" s="1"/>
  <c r="D146" i="2"/>
  <c r="C146" i="2"/>
  <c r="B146" i="2"/>
  <c r="E145" i="2"/>
  <c r="D145" i="2"/>
  <c r="C145" i="2"/>
  <c r="B145" i="2"/>
  <c r="F145" i="2" s="1"/>
  <c r="E144" i="2"/>
  <c r="E148" i="2" s="1"/>
  <c r="D144" i="2"/>
  <c r="D148" i="2" s="1"/>
  <c r="C144" i="2"/>
  <c r="C148" i="2" s="1"/>
  <c r="B144" i="2"/>
  <c r="F144" i="2" s="1"/>
  <c r="F143" i="2"/>
  <c r="F142" i="2"/>
  <c r="F141" i="2"/>
  <c r="F140" i="2"/>
  <c r="F139" i="2"/>
  <c r="F138" i="2"/>
  <c r="F137" i="2"/>
  <c r="F136" i="2"/>
  <c r="E130" i="2"/>
  <c r="D130" i="2"/>
  <c r="F130" i="2" s="1"/>
  <c r="C130" i="2"/>
  <c r="B130" i="2"/>
  <c r="E129" i="2"/>
  <c r="D129" i="2"/>
  <c r="C129" i="2"/>
  <c r="B129" i="2"/>
  <c r="F129" i="2" s="1"/>
  <c r="E128" i="2"/>
  <c r="D128" i="2"/>
  <c r="C128" i="2"/>
  <c r="B128" i="2"/>
  <c r="F128" i="2" s="1"/>
  <c r="F127" i="2"/>
  <c r="E127" i="2"/>
  <c r="D127" i="2"/>
  <c r="C127" i="2"/>
  <c r="B127" i="2"/>
  <c r="E126" i="2"/>
  <c r="D126" i="2"/>
  <c r="F126" i="2" s="1"/>
  <c r="C126" i="2"/>
  <c r="B126" i="2"/>
  <c r="E125" i="2"/>
  <c r="D125" i="2"/>
  <c r="C125" i="2"/>
  <c r="B125" i="2"/>
  <c r="F125" i="2" s="1"/>
  <c r="F124" i="2"/>
  <c r="E123" i="2"/>
  <c r="D123" i="2"/>
  <c r="C123" i="2"/>
  <c r="B123" i="2"/>
  <c r="F123" i="2" s="1"/>
  <c r="E122" i="2"/>
  <c r="D122" i="2"/>
  <c r="C122" i="2"/>
  <c r="B122" i="2"/>
  <c r="F122" i="2" s="1"/>
  <c r="F121" i="2"/>
  <c r="E121" i="2"/>
  <c r="D121" i="2"/>
  <c r="C121" i="2"/>
  <c r="B121" i="2"/>
  <c r="E120" i="2"/>
  <c r="D120" i="2"/>
  <c r="F120" i="2" s="1"/>
  <c r="C120" i="2"/>
  <c r="B120" i="2"/>
  <c r="E119" i="2"/>
  <c r="E131" i="2" s="1"/>
  <c r="D119" i="2"/>
  <c r="D131" i="2" s="1"/>
  <c r="C119" i="2"/>
  <c r="C131" i="2" s="1"/>
  <c r="B119" i="2"/>
  <c r="F119" i="2" s="1"/>
  <c r="E112" i="2"/>
  <c r="F112" i="2" s="1"/>
  <c r="D112" i="2"/>
  <c r="C112" i="2"/>
  <c r="B112" i="2"/>
  <c r="E111" i="2"/>
  <c r="D111" i="2"/>
  <c r="C111" i="2"/>
  <c r="B111" i="2"/>
  <c r="F111" i="2" s="1"/>
  <c r="E110" i="2"/>
  <c r="D110" i="2"/>
  <c r="C110" i="2"/>
  <c r="B110" i="2"/>
  <c r="F110" i="2" s="1"/>
  <c r="E109" i="2"/>
  <c r="D109" i="2"/>
  <c r="C109" i="2"/>
  <c r="B109" i="2"/>
  <c r="F109" i="2" s="1"/>
  <c r="E108" i="2"/>
  <c r="F108" i="2" s="1"/>
  <c r="D108" i="2"/>
  <c r="C108" i="2"/>
  <c r="B108" i="2"/>
  <c r="E107" i="2"/>
  <c r="D107" i="2"/>
  <c r="C107" i="2"/>
  <c r="F107" i="2" s="1"/>
  <c r="B107" i="2"/>
  <c r="E106" i="2"/>
  <c r="D106" i="2"/>
  <c r="C106" i="2"/>
  <c r="B106" i="2"/>
  <c r="F106" i="2" s="1"/>
  <c r="E105" i="2"/>
  <c r="D105" i="2"/>
  <c r="C105" i="2"/>
  <c r="B105" i="2"/>
  <c r="F105" i="2" s="1"/>
  <c r="E104" i="2"/>
  <c r="F104" i="2" s="1"/>
  <c r="D104" i="2"/>
  <c r="C104" i="2"/>
  <c r="B104" i="2"/>
  <c r="E103" i="2"/>
  <c r="D103" i="2"/>
  <c r="C103" i="2"/>
  <c r="B103" i="2"/>
  <c r="F103" i="2" s="1"/>
  <c r="E102" i="2"/>
  <c r="D102" i="2"/>
  <c r="C102" i="2"/>
  <c r="B102" i="2"/>
  <c r="F102" i="2" s="1"/>
  <c r="E101" i="2"/>
  <c r="E113" i="2" s="1"/>
  <c r="D101" i="2"/>
  <c r="D113" i="2" s="1"/>
  <c r="C101" i="2"/>
  <c r="C113" i="2" s="1"/>
  <c r="B101" i="2"/>
  <c r="F101" i="2" s="1"/>
  <c r="D95" i="2"/>
  <c r="E94" i="2"/>
  <c r="D94" i="2"/>
  <c r="C94" i="2"/>
  <c r="B94" i="2"/>
  <c r="F94" i="2" s="1"/>
  <c r="E93" i="2"/>
  <c r="D93" i="2"/>
  <c r="C93" i="2"/>
  <c r="B93" i="2"/>
  <c r="F93" i="2" s="1"/>
  <c r="F92" i="2"/>
  <c r="E92" i="2"/>
  <c r="D92" i="2"/>
  <c r="C92" i="2"/>
  <c r="B92" i="2"/>
  <c r="F91" i="2"/>
  <c r="F90" i="2"/>
  <c r="E89" i="2"/>
  <c r="D89" i="2"/>
  <c r="C89" i="2"/>
  <c r="B89" i="2"/>
  <c r="F89" i="2" s="1"/>
  <c r="F88" i="2"/>
  <c r="E87" i="2"/>
  <c r="D87" i="2"/>
  <c r="C87" i="2"/>
  <c r="B87" i="2"/>
  <c r="F87" i="2" s="1"/>
  <c r="F86" i="2"/>
  <c r="E86" i="2"/>
  <c r="D86" i="2"/>
  <c r="C86" i="2"/>
  <c r="B86" i="2"/>
  <c r="E85" i="2"/>
  <c r="E95" i="2" s="1"/>
  <c r="D85" i="2"/>
  <c r="F85" i="2" s="1"/>
  <c r="C85" i="2"/>
  <c r="B85" i="2"/>
  <c r="E84" i="2"/>
  <c r="D84" i="2"/>
  <c r="C84" i="2"/>
  <c r="B84" i="2"/>
  <c r="F84" i="2" s="1"/>
  <c r="E83" i="2"/>
  <c r="D83" i="2"/>
  <c r="C83" i="2"/>
  <c r="C95" i="2" s="1"/>
  <c r="B83" i="2"/>
  <c r="B95" i="2" s="1"/>
  <c r="E76" i="2"/>
  <c r="D76" i="2"/>
  <c r="C76" i="2"/>
  <c r="B76" i="2"/>
  <c r="F76" i="2" s="1"/>
  <c r="E75" i="2"/>
  <c r="D75" i="2"/>
  <c r="C75" i="2"/>
  <c r="B75" i="2"/>
  <c r="F75" i="2" s="1"/>
  <c r="E74" i="2"/>
  <c r="D74" i="2"/>
  <c r="C74" i="2"/>
  <c r="F74" i="2" s="1"/>
  <c r="B74" i="2"/>
  <c r="E73" i="2"/>
  <c r="F73" i="2" s="1"/>
  <c r="D73" i="2"/>
  <c r="C73" i="2"/>
  <c r="B73" i="2"/>
  <c r="E72" i="2"/>
  <c r="D72" i="2"/>
  <c r="C72" i="2"/>
  <c r="B72" i="2"/>
  <c r="F72" i="2" s="1"/>
  <c r="E71" i="2"/>
  <c r="D71" i="2"/>
  <c r="C71" i="2"/>
  <c r="B71" i="2"/>
  <c r="F71" i="2" s="1"/>
  <c r="E70" i="2"/>
  <c r="D70" i="2"/>
  <c r="C70" i="2"/>
  <c r="F70" i="2" s="1"/>
  <c r="B70" i="2"/>
  <c r="E69" i="2"/>
  <c r="F69" i="2" s="1"/>
  <c r="D69" i="2"/>
  <c r="C69" i="2"/>
  <c r="B69" i="2"/>
  <c r="E68" i="2"/>
  <c r="D68" i="2"/>
  <c r="C68" i="2"/>
  <c r="B68" i="2"/>
  <c r="F68" i="2" s="1"/>
  <c r="E67" i="2"/>
  <c r="D67" i="2"/>
  <c r="C67" i="2"/>
  <c r="B67" i="2"/>
  <c r="F67" i="2" s="1"/>
  <c r="E66" i="2"/>
  <c r="D66" i="2"/>
  <c r="C66" i="2"/>
  <c r="F66" i="2" s="1"/>
  <c r="B66" i="2"/>
  <c r="E65" i="2"/>
  <c r="E77" i="2" s="1"/>
  <c r="D65" i="2"/>
  <c r="D77" i="2" s="1"/>
  <c r="C65" i="2"/>
  <c r="C77" i="2" s="1"/>
  <c r="B65" i="2"/>
  <c r="B77" i="2" s="1"/>
  <c r="E58" i="2"/>
  <c r="D58" i="2"/>
  <c r="C58" i="2"/>
  <c r="B58" i="2"/>
  <c r="F58" i="2" s="1"/>
  <c r="F57" i="2"/>
  <c r="E56" i="2"/>
  <c r="D56" i="2"/>
  <c r="C56" i="2"/>
  <c r="B56" i="2"/>
  <c r="F56" i="2" s="1"/>
  <c r="F55" i="2"/>
  <c r="E54" i="2"/>
  <c r="D54" i="2"/>
  <c r="C54" i="2"/>
  <c r="B54" i="2"/>
  <c r="F54" i="2" s="1"/>
  <c r="F53" i="2"/>
  <c r="E52" i="2"/>
  <c r="D52" i="2"/>
  <c r="C52" i="2"/>
  <c r="B52" i="2"/>
  <c r="F52" i="2" s="1"/>
  <c r="F51" i="2"/>
  <c r="E51" i="2"/>
  <c r="D51" i="2"/>
  <c r="C51" i="2"/>
  <c r="B51" i="2"/>
  <c r="E50" i="2"/>
  <c r="D50" i="2"/>
  <c r="F50" i="2" s="1"/>
  <c r="C50" i="2"/>
  <c r="B50" i="2"/>
  <c r="E49" i="2"/>
  <c r="D49" i="2"/>
  <c r="C49" i="2"/>
  <c r="C59" i="2" s="1"/>
  <c r="B49" i="2"/>
  <c r="F49" i="2" s="1"/>
  <c r="E48" i="2"/>
  <c r="D48" i="2"/>
  <c r="C48" i="2"/>
  <c r="B48" i="2"/>
  <c r="F48" i="2" s="1"/>
  <c r="F47" i="2"/>
  <c r="G47" i="2" s="1"/>
  <c r="G48" i="2" s="1"/>
  <c r="G49" i="2" s="1"/>
  <c r="E47" i="2"/>
  <c r="E59" i="2" s="1"/>
  <c r="D47" i="2"/>
  <c r="D59" i="2" s="1"/>
  <c r="C47" i="2"/>
  <c r="B47" i="2"/>
  <c r="E40" i="2"/>
  <c r="D40" i="2"/>
  <c r="C40" i="2"/>
  <c r="B40" i="2"/>
  <c r="F40" i="2" s="1"/>
  <c r="E39" i="2"/>
  <c r="D39" i="2"/>
  <c r="C39" i="2"/>
  <c r="F39" i="2" s="1"/>
  <c r="B39" i="2"/>
  <c r="E38" i="2"/>
  <c r="F38" i="2" s="1"/>
  <c r="D38" i="2"/>
  <c r="C38" i="2"/>
  <c r="B38" i="2"/>
  <c r="E37" i="2"/>
  <c r="D37" i="2"/>
  <c r="C37" i="2"/>
  <c r="B37" i="2"/>
  <c r="F37" i="2" s="1"/>
  <c r="E36" i="2"/>
  <c r="D36" i="2"/>
  <c r="C36" i="2"/>
  <c r="B36" i="2"/>
  <c r="F36" i="2" s="1"/>
  <c r="E35" i="2"/>
  <c r="D35" i="2"/>
  <c r="C35" i="2"/>
  <c r="F35" i="2" s="1"/>
  <c r="B35" i="2"/>
  <c r="E34" i="2"/>
  <c r="F34" i="2" s="1"/>
  <c r="D34" i="2"/>
  <c r="C34" i="2"/>
  <c r="B34" i="2"/>
  <c r="E33" i="2"/>
  <c r="D33" i="2"/>
  <c r="D41" i="2" s="1"/>
  <c r="C33" i="2"/>
  <c r="C41" i="2" s="1"/>
  <c r="B33" i="2"/>
  <c r="F33" i="2" s="1"/>
  <c r="E32" i="2"/>
  <c r="D32" i="2"/>
  <c r="C32" i="2"/>
  <c r="B32" i="2"/>
  <c r="F32" i="2" s="1"/>
  <c r="E31" i="2"/>
  <c r="D31" i="2"/>
  <c r="C31" i="2"/>
  <c r="F31" i="2" s="1"/>
  <c r="B31" i="2"/>
  <c r="E30" i="2"/>
  <c r="F30" i="2" s="1"/>
  <c r="D30" i="2"/>
  <c r="C30" i="2"/>
  <c r="B30" i="2"/>
  <c r="B41" i="2" s="1"/>
  <c r="G29" i="2"/>
  <c r="F29" i="2"/>
  <c r="E23" i="2"/>
  <c r="D23" i="2"/>
  <c r="E11" i="2"/>
  <c r="D11" i="2"/>
  <c r="C11" i="2"/>
  <c r="C23" i="2" s="1"/>
  <c r="B11" i="2"/>
  <c r="B23" i="2" s="1"/>
  <c r="B40" i="1"/>
  <c r="E40" i="1"/>
  <c r="D57" i="1"/>
  <c r="E57" i="1"/>
  <c r="C57" i="1"/>
  <c r="B57" i="1"/>
  <c r="E56" i="1"/>
  <c r="D56" i="1"/>
  <c r="C56" i="1"/>
  <c r="B56" i="1"/>
  <c r="E55" i="1"/>
  <c r="D55" i="1"/>
  <c r="C55" i="1"/>
  <c r="B55" i="1"/>
  <c r="E54" i="1"/>
  <c r="D54" i="1"/>
  <c r="C54" i="1"/>
  <c r="B54" i="1"/>
  <c r="E53" i="1"/>
  <c r="D53" i="1"/>
  <c r="C53" i="1"/>
  <c r="B53" i="1"/>
  <c r="E52" i="1"/>
  <c r="D52" i="1"/>
  <c r="C52" i="1"/>
  <c r="B52" i="1"/>
  <c r="E51" i="1"/>
  <c r="D51" i="1"/>
  <c r="C51" i="1"/>
  <c r="B51" i="1"/>
  <c r="E50" i="1"/>
  <c r="D50" i="1"/>
  <c r="C50" i="1"/>
  <c r="B50" i="1"/>
  <c r="E49" i="1"/>
  <c r="D49" i="1"/>
  <c r="C49" i="1"/>
  <c r="B49" i="1"/>
  <c r="E48" i="1"/>
  <c r="D48" i="1"/>
  <c r="C48" i="1"/>
  <c r="B48" i="1"/>
  <c r="E47" i="1"/>
  <c r="D47" i="1"/>
  <c r="C47" i="1"/>
  <c r="B47" i="1"/>
  <c r="F292" i="1"/>
  <c r="G292" i="1"/>
  <c r="F293" i="1"/>
  <c r="F294" i="1"/>
  <c r="F295" i="1"/>
  <c r="F296" i="1"/>
  <c r="F297" i="1"/>
  <c r="F298" i="1"/>
  <c r="F299" i="1"/>
  <c r="F300" i="1"/>
  <c r="F301" i="1"/>
  <c r="F302" i="1"/>
  <c r="F303" i="1"/>
  <c r="B304" i="1"/>
  <c r="C304" i="1"/>
  <c r="D304" i="1"/>
  <c r="E304" i="1"/>
  <c r="E75" i="1"/>
  <c r="D75" i="1"/>
  <c r="C75" i="1"/>
  <c r="B75" i="1"/>
  <c r="F74" i="1"/>
  <c r="D40" i="1" l="1"/>
  <c r="C40" i="1"/>
  <c r="F41" i="2"/>
  <c r="F148" i="2"/>
  <c r="G144" i="2"/>
  <c r="G145" i="2" s="1"/>
  <c r="G146" i="2" s="1"/>
  <c r="G147" i="2" s="1"/>
  <c r="G175" i="2"/>
  <c r="G176" i="2" s="1"/>
  <c r="G177" i="2" s="1"/>
  <c r="G178" i="2" s="1"/>
  <c r="G179" i="2" s="1"/>
  <c r="G30" i="2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F113" i="2"/>
  <c r="G101" i="2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F131" i="2"/>
  <c r="G119" i="2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50" i="2"/>
  <c r="G51" i="2" s="1"/>
  <c r="G52" i="2" s="1"/>
  <c r="G53" i="2" s="1"/>
  <c r="G54" i="2" s="1"/>
  <c r="G55" i="2" s="1"/>
  <c r="G56" i="2" s="1"/>
  <c r="G57" i="2" s="1"/>
  <c r="G58" i="2" s="1"/>
  <c r="G155" i="2"/>
  <c r="G156" i="2" s="1"/>
  <c r="G157" i="2" s="1"/>
  <c r="G158" i="2" s="1"/>
  <c r="G159" i="2" s="1"/>
  <c r="G160" i="2" s="1"/>
  <c r="G161" i="2" s="1"/>
  <c r="G162" i="2" s="1"/>
  <c r="G163" i="2" s="1"/>
  <c r="G164" i="2" s="1"/>
  <c r="G140" i="2"/>
  <c r="G141" i="2" s="1"/>
  <c r="G142" i="2" s="1"/>
  <c r="G143" i="2" s="1"/>
  <c r="G183" i="2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E41" i="2"/>
  <c r="G136" i="2"/>
  <c r="G137" i="2" s="1"/>
  <c r="G138" i="2" s="1"/>
  <c r="G139" i="2" s="1"/>
  <c r="F165" i="2"/>
  <c r="B148" i="2"/>
  <c r="B113" i="2"/>
  <c r="G216" i="2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45" i="2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B59" i="2"/>
  <c r="F59" i="2"/>
  <c r="F65" i="2"/>
  <c r="B131" i="2"/>
  <c r="F11" i="2"/>
  <c r="F83" i="2"/>
  <c r="F55" i="1"/>
  <c r="F57" i="1"/>
  <c r="F52" i="1"/>
  <c r="F49" i="1"/>
  <c r="F53" i="1"/>
  <c r="F50" i="1"/>
  <c r="F54" i="1"/>
  <c r="F51" i="1"/>
  <c r="E58" i="1"/>
  <c r="F47" i="1"/>
  <c r="F56" i="1"/>
  <c r="D58" i="1"/>
  <c r="C58" i="1"/>
  <c r="B58" i="1"/>
  <c r="F75" i="1"/>
  <c r="F48" i="1"/>
  <c r="F46" i="1"/>
  <c r="F304" i="1"/>
  <c r="G293" i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E73" i="1"/>
  <c r="D73" i="1"/>
  <c r="C73" i="1"/>
  <c r="B73" i="1"/>
  <c r="F72" i="1"/>
  <c r="E71" i="1"/>
  <c r="D71" i="1"/>
  <c r="C71" i="1"/>
  <c r="B71" i="1"/>
  <c r="F218" i="1"/>
  <c r="G218" i="1" s="1"/>
  <c r="F219" i="1"/>
  <c r="F220" i="1"/>
  <c r="F221" i="1"/>
  <c r="F222" i="1"/>
  <c r="F223" i="1"/>
  <c r="F224" i="1"/>
  <c r="F225" i="1"/>
  <c r="F226" i="1"/>
  <c r="F227" i="1"/>
  <c r="F228" i="1"/>
  <c r="F229" i="1"/>
  <c r="B230" i="1"/>
  <c r="C230" i="1"/>
  <c r="D230" i="1"/>
  <c r="E230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B245" i="1"/>
  <c r="C245" i="1"/>
  <c r="D245" i="1"/>
  <c r="E245" i="1"/>
  <c r="F248" i="1"/>
  <c r="G248" i="1" s="1"/>
  <c r="F249" i="1"/>
  <c r="F250" i="1"/>
  <c r="F251" i="1"/>
  <c r="F252" i="1"/>
  <c r="F253" i="1"/>
  <c r="F254" i="1"/>
  <c r="F255" i="1"/>
  <c r="F256" i="1"/>
  <c r="F257" i="1"/>
  <c r="F258" i="1"/>
  <c r="B259" i="1"/>
  <c r="C259" i="1"/>
  <c r="D259" i="1"/>
  <c r="E259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B274" i="1"/>
  <c r="C274" i="1"/>
  <c r="D274" i="1"/>
  <c r="E274" i="1"/>
  <c r="F277" i="1"/>
  <c r="G277" i="1" s="1"/>
  <c r="F278" i="1"/>
  <c r="F279" i="1"/>
  <c r="F280" i="1"/>
  <c r="F281" i="1"/>
  <c r="F282" i="1"/>
  <c r="F283" i="1"/>
  <c r="F284" i="1"/>
  <c r="F285" i="1"/>
  <c r="F286" i="1"/>
  <c r="F287" i="1"/>
  <c r="F288" i="1"/>
  <c r="B289" i="1"/>
  <c r="C289" i="1"/>
  <c r="D289" i="1"/>
  <c r="E289" i="1"/>
  <c r="F70" i="1"/>
  <c r="E69" i="1"/>
  <c r="D69" i="1"/>
  <c r="C69" i="1"/>
  <c r="B69" i="1"/>
  <c r="E68" i="1"/>
  <c r="D68" i="1"/>
  <c r="C68" i="1"/>
  <c r="B68" i="1"/>
  <c r="C67" i="1"/>
  <c r="E67" i="1"/>
  <c r="D67" i="1"/>
  <c r="B67" i="1"/>
  <c r="E66" i="1"/>
  <c r="D66" i="1"/>
  <c r="C66" i="1"/>
  <c r="B66" i="1"/>
  <c r="E65" i="1"/>
  <c r="D65" i="1"/>
  <c r="C65" i="1"/>
  <c r="B65" i="1"/>
  <c r="E64" i="1"/>
  <c r="D64" i="1"/>
  <c r="C64" i="1"/>
  <c r="B64" i="1"/>
  <c r="E93" i="1"/>
  <c r="D93" i="1"/>
  <c r="C93" i="1"/>
  <c r="B93" i="1"/>
  <c r="E92" i="1"/>
  <c r="D92" i="1"/>
  <c r="C92" i="1"/>
  <c r="B92" i="1"/>
  <c r="E91" i="1"/>
  <c r="D91" i="1"/>
  <c r="C91" i="1"/>
  <c r="B91" i="1"/>
  <c r="E90" i="1"/>
  <c r="D90" i="1"/>
  <c r="C90" i="1"/>
  <c r="B90" i="1"/>
  <c r="E89" i="1"/>
  <c r="D89" i="1"/>
  <c r="C89" i="1"/>
  <c r="B89" i="1"/>
  <c r="G83" i="2" l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F95" i="2"/>
  <c r="G11" i="2"/>
  <c r="F23" i="2"/>
  <c r="F77" i="2"/>
  <c r="G65" i="2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F40" i="1"/>
  <c r="G46" i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F58" i="1"/>
  <c r="F73" i="1"/>
  <c r="F71" i="1"/>
  <c r="D76" i="1"/>
  <c r="G249" i="1"/>
  <c r="G250" i="1" s="1"/>
  <c r="G251" i="1" s="1"/>
  <c r="G252" i="1" s="1"/>
  <c r="G253" i="1" s="1"/>
  <c r="G254" i="1" s="1"/>
  <c r="G255" i="1" s="1"/>
  <c r="G256" i="1" s="1"/>
  <c r="G257" i="1" s="1"/>
  <c r="G258" i="1" s="1"/>
  <c r="F69" i="1"/>
  <c r="F66" i="1"/>
  <c r="G278" i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F65" i="1"/>
  <c r="F289" i="1"/>
  <c r="F68" i="1"/>
  <c r="F245" i="1"/>
  <c r="G219" i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F67" i="1"/>
  <c r="E76" i="1"/>
  <c r="F259" i="1"/>
  <c r="F230" i="1"/>
  <c r="F274" i="1"/>
  <c r="G262" i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33" i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B76" i="1"/>
  <c r="C76" i="1"/>
  <c r="F64" i="1"/>
  <c r="E88" i="1"/>
  <c r="D88" i="1"/>
  <c r="C88" i="1"/>
  <c r="B88" i="1"/>
  <c r="F76" i="1" l="1"/>
  <c r="G64" i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E87" i="1"/>
  <c r="D87" i="1"/>
  <c r="C87" i="1"/>
  <c r="B87" i="1"/>
  <c r="E86" i="1" l="1"/>
  <c r="D86" i="1"/>
  <c r="C86" i="1"/>
  <c r="B86" i="1"/>
  <c r="E85" i="1" l="1"/>
  <c r="D85" i="1"/>
  <c r="C85" i="1"/>
  <c r="B85" i="1"/>
  <c r="E84" i="1" l="1"/>
  <c r="D84" i="1"/>
  <c r="C84" i="1"/>
  <c r="B84" i="1"/>
  <c r="E83" i="1" l="1"/>
  <c r="D83" i="1"/>
  <c r="C83" i="1"/>
  <c r="B83" i="1"/>
  <c r="E82" i="1" l="1"/>
  <c r="D82" i="1"/>
  <c r="C82" i="1"/>
  <c r="B82" i="1"/>
  <c r="B94" i="1" s="1"/>
  <c r="F90" i="1"/>
  <c r="F89" i="1"/>
  <c r="F87" i="1"/>
  <c r="D94" i="1" l="1"/>
  <c r="F82" i="1"/>
  <c r="G82" i="1" s="1"/>
  <c r="F85" i="1"/>
  <c r="F86" i="1"/>
  <c r="E94" i="1"/>
  <c r="F91" i="1"/>
  <c r="F88" i="1"/>
  <c r="F93" i="1"/>
  <c r="F83" i="1"/>
  <c r="F84" i="1"/>
  <c r="F92" i="1"/>
  <c r="C94" i="1"/>
  <c r="G83" i="1" l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F94" i="1"/>
  <c r="E129" i="1" l="1"/>
  <c r="D129" i="1"/>
  <c r="C129" i="1"/>
  <c r="B129" i="1"/>
  <c r="F129" i="1" l="1"/>
  <c r="E128" i="1"/>
  <c r="D128" i="1"/>
  <c r="C128" i="1"/>
  <c r="B128" i="1"/>
  <c r="F128" i="1" l="1"/>
  <c r="E127" i="1"/>
  <c r="D127" i="1"/>
  <c r="C127" i="1"/>
  <c r="B127" i="1"/>
  <c r="F127" i="1" l="1"/>
  <c r="E126" i="1" l="1"/>
  <c r="D126" i="1"/>
  <c r="C126" i="1"/>
  <c r="B126" i="1"/>
  <c r="F126" i="1" l="1"/>
  <c r="E125" i="1"/>
  <c r="D125" i="1"/>
  <c r="C125" i="1"/>
  <c r="B125" i="1"/>
  <c r="F125" i="1" l="1"/>
  <c r="E124" i="1"/>
  <c r="D124" i="1"/>
  <c r="C124" i="1"/>
  <c r="B124" i="1"/>
  <c r="F124" i="1" l="1"/>
  <c r="E123" i="1"/>
  <c r="D123" i="1"/>
  <c r="C123" i="1"/>
  <c r="B123" i="1"/>
  <c r="F123" i="1" l="1"/>
  <c r="E122" i="1"/>
  <c r="D122" i="1"/>
  <c r="C122" i="1"/>
  <c r="B122" i="1"/>
  <c r="F122" i="1" l="1"/>
  <c r="E121" i="1"/>
  <c r="D121" i="1"/>
  <c r="C121" i="1"/>
  <c r="B121" i="1"/>
  <c r="F121" i="1" l="1"/>
  <c r="E120" i="1"/>
  <c r="D120" i="1"/>
  <c r="C120" i="1"/>
  <c r="B120" i="1"/>
  <c r="F120" i="1" l="1"/>
  <c r="E119" i="1"/>
  <c r="D119" i="1"/>
  <c r="C119" i="1"/>
  <c r="B119" i="1"/>
  <c r="F119" i="1" l="1"/>
  <c r="E118" i="1"/>
  <c r="D118" i="1"/>
  <c r="C118" i="1"/>
  <c r="B118" i="1"/>
  <c r="F118" i="1" l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E130" i="1"/>
  <c r="D130" i="1"/>
  <c r="C130" i="1"/>
  <c r="B130" i="1" l="1"/>
  <c r="E147" i="1"/>
  <c r="D147" i="1"/>
  <c r="C147" i="1"/>
  <c r="B147" i="1"/>
  <c r="F130" i="1" l="1"/>
  <c r="E146" i="1"/>
  <c r="D146" i="1"/>
  <c r="C146" i="1"/>
  <c r="B146" i="1"/>
  <c r="E145" i="1" l="1"/>
  <c r="D145" i="1"/>
  <c r="C145" i="1"/>
  <c r="B145" i="1"/>
  <c r="E144" i="1" l="1"/>
  <c r="D144" i="1"/>
  <c r="C144" i="1"/>
  <c r="B144" i="1"/>
  <c r="E143" i="1" l="1"/>
  <c r="D143" i="1"/>
  <c r="C143" i="1"/>
  <c r="B143" i="1"/>
  <c r="E142" i="1" l="1"/>
  <c r="D142" i="1"/>
  <c r="C142" i="1"/>
  <c r="B142" i="1"/>
  <c r="B140" i="1" l="1"/>
  <c r="C140" i="1"/>
  <c r="D140" i="1"/>
  <c r="E140" i="1"/>
  <c r="F140" i="1" l="1"/>
  <c r="E139" i="1"/>
  <c r="D139" i="1"/>
  <c r="C139" i="1"/>
  <c r="B139" i="1"/>
  <c r="C138" i="1" l="1"/>
  <c r="E138" i="1"/>
  <c r="D138" i="1"/>
  <c r="B138" i="1"/>
  <c r="E137" i="1" l="1"/>
  <c r="D137" i="1"/>
  <c r="C137" i="1"/>
  <c r="B137" i="1"/>
  <c r="E136" i="1" l="1"/>
  <c r="D136" i="1"/>
  <c r="C136" i="1"/>
  <c r="B136" i="1"/>
  <c r="E148" i="1" l="1"/>
  <c r="D148" i="1"/>
  <c r="C148" i="1"/>
  <c r="F143" i="1"/>
  <c r="F142" i="1"/>
  <c r="F141" i="1"/>
  <c r="F139" i="1"/>
  <c r="F138" i="1"/>
  <c r="F137" i="1"/>
  <c r="F136" i="1"/>
  <c r="F144" i="1" l="1"/>
  <c r="F145" i="1"/>
  <c r="F146" i="1"/>
  <c r="F147" i="1"/>
  <c r="B148" i="1"/>
  <c r="G136" i="1"/>
  <c r="G137" i="1" s="1"/>
  <c r="G138" i="1" s="1"/>
  <c r="G139" i="1" s="1"/>
  <c r="G140" i="1" s="1"/>
  <c r="G141" i="1" s="1"/>
  <c r="G142" i="1" s="1"/>
  <c r="G143" i="1" s="1"/>
  <c r="E164" i="1"/>
  <c r="D164" i="1"/>
  <c r="C164" i="1"/>
  <c r="B164" i="1"/>
  <c r="G144" i="1" l="1"/>
  <c r="G145" i="1" s="1"/>
  <c r="G146" i="1" s="1"/>
  <c r="G147" i="1" s="1"/>
  <c r="F148" i="1"/>
  <c r="E163" i="1"/>
  <c r="D163" i="1"/>
  <c r="C163" i="1"/>
  <c r="B163" i="1"/>
  <c r="E162" i="1" l="1"/>
  <c r="D162" i="1"/>
  <c r="C162" i="1"/>
  <c r="B162" i="1"/>
  <c r="E161" i="1" l="1"/>
  <c r="D161" i="1"/>
  <c r="C161" i="1"/>
  <c r="B161" i="1"/>
  <c r="F157" i="1" l="1"/>
  <c r="F155" i="1" l="1"/>
  <c r="E165" i="1" l="1"/>
  <c r="D165" i="1"/>
  <c r="C165" i="1"/>
  <c r="B165" i="1"/>
  <c r="F164" i="1"/>
  <c r="F163" i="1"/>
  <c r="F162" i="1"/>
  <c r="F161" i="1"/>
  <c r="F160" i="1"/>
  <c r="F159" i="1"/>
  <c r="F158" i="1"/>
  <c r="F156" i="1"/>
  <c r="F154" i="1"/>
  <c r="F153" i="1"/>
  <c r="G153" i="1" s="1"/>
  <c r="G154" i="1" l="1"/>
  <c r="G155" i="1" s="1"/>
  <c r="G156" i="1" s="1"/>
  <c r="F165" i="1"/>
  <c r="F174" i="1"/>
  <c r="G157" i="1" l="1"/>
  <c r="G158" i="1" s="1"/>
  <c r="G159" i="1" s="1"/>
  <c r="G160" i="1" s="1"/>
  <c r="G161" i="1" s="1"/>
  <c r="G162" i="1" s="1"/>
  <c r="G163" i="1" s="1"/>
  <c r="G164" i="1" s="1"/>
  <c r="E182" i="1"/>
  <c r="D182" i="1"/>
  <c r="C182" i="1"/>
  <c r="B182" i="1"/>
  <c r="F181" i="1"/>
  <c r="F180" i="1"/>
  <c r="F179" i="1"/>
  <c r="F178" i="1"/>
  <c r="F177" i="1"/>
  <c r="F176" i="1"/>
  <c r="F175" i="1"/>
  <c r="F173" i="1"/>
  <c r="F172" i="1"/>
  <c r="F171" i="1"/>
  <c r="F170" i="1"/>
  <c r="G170" i="1" s="1"/>
  <c r="G171" i="1" l="1"/>
  <c r="G172" i="1" s="1"/>
  <c r="G173" i="1" s="1"/>
  <c r="F182" i="1"/>
  <c r="F196" i="1"/>
  <c r="G174" i="1" l="1"/>
  <c r="G175" i="1" s="1"/>
  <c r="G176" i="1" s="1"/>
  <c r="G177" i="1" s="1"/>
  <c r="G178" i="1" s="1"/>
  <c r="G179" i="1" s="1"/>
  <c r="G180" i="1" s="1"/>
  <c r="G181" i="1" s="1"/>
  <c r="F195" i="1"/>
  <c r="F194" i="1" l="1"/>
  <c r="F193" i="1" l="1"/>
  <c r="F192" i="1" l="1"/>
  <c r="F191" i="1" l="1"/>
  <c r="F190" i="1" l="1"/>
  <c r="F189" i="1" l="1"/>
  <c r="F188" i="1" l="1"/>
  <c r="F203" i="1"/>
  <c r="F187" i="1" l="1"/>
  <c r="F186" i="1" l="1"/>
  <c r="E197" i="1" l="1"/>
  <c r="D197" i="1"/>
  <c r="C197" i="1"/>
  <c r="B197" i="1"/>
  <c r="F185" i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F197" i="1" l="1"/>
  <c r="E212" i="1"/>
  <c r="D212" i="1"/>
  <c r="C212" i="1"/>
  <c r="B212" i="1"/>
  <c r="F211" i="1"/>
  <c r="F210" i="1"/>
  <c r="F209" i="1"/>
  <c r="F208" i="1"/>
  <c r="F207" i="1"/>
  <c r="F206" i="1"/>
  <c r="F205" i="1"/>
  <c r="F204" i="1"/>
  <c r="F202" i="1"/>
  <c r="F201" i="1"/>
  <c r="F200" i="1"/>
  <c r="G200" i="1" s="1"/>
  <c r="G201" i="1" l="1"/>
  <c r="G202" i="1" s="1"/>
  <c r="F212" i="1"/>
  <c r="G203" i="1" l="1"/>
  <c r="G204" i="1" s="1"/>
  <c r="G205" i="1" s="1"/>
  <c r="G206" i="1" s="1"/>
  <c r="G207" i="1" s="1"/>
  <c r="G208" i="1" s="1"/>
  <c r="G209" i="1" s="1"/>
  <c r="G210" i="1" s="1"/>
  <c r="G211" i="1" s="1"/>
</calcChain>
</file>

<file path=xl/sharedStrings.xml><?xml version="1.0" encoding="utf-8"?>
<sst xmlns="http://schemas.openxmlformats.org/spreadsheetml/2006/main" count="316" uniqueCount="32">
  <si>
    <t>Wisconsin Department of Revenue</t>
  </si>
  <si>
    <t xml:space="preserve">Basic </t>
  </si>
  <si>
    <t>Additional</t>
  </si>
  <si>
    <t xml:space="preserve">Food and </t>
  </si>
  <si>
    <t>Car</t>
  </si>
  <si>
    <t xml:space="preserve">Monthly </t>
  </si>
  <si>
    <t xml:space="preserve">Cumulative </t>
  </si>
  <si>
    <t>Date</t>
  </si>
  <si>
    <t>Room Tax</t>
  </si>
  <si>
    <t>Room tax</t>
  </si>
  <si>
    <t>Rental</t>
  </si>
  <si>
    <t>Total</t>
  </si>
  <si>
    <t>Enterprise Services Division</t>
  </si>
  <si>
    <t>The following worksheet shows Expo tax distributed to the Wisconsin Center District Bond Fund.</t>
  </si>
  <si>
    <t>Exposition (EXPO) Tax Distribution</t>
  </si>
  <si>
    <t>Total 2010</t>
  </si>
  <si>
    <t>Total 2011</t>
  </si>
  <si>
    <t>Total 2012</t>
  </si>
  <si>
    <t>Total 2013</t>
  </si>
  <si>
    <t>Total 2014</t>
  </si>
  <si>
    <t>Total 2015</t>
  </si>
  <si>
    <t>Beverage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</si>
  <si>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</si>
  <si>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</si>
  <si>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</si>
  <si>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</si>
  <si>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</si>
  <si>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</si>
  <si>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</si>
  <si>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</si>
  <si>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Total 2024</t>
  </si>
  <si>
    <t>Total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</si>
</sst>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8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164" fontId="5" fillId="0" borderId="0" xfId="0" applyNumberFormat="1" applyFont="1"/>
    <xf numFmtId="44" fontId="6" fillId="0" borderId="0" xfId="1" applyFont="1" applyAlignment="1">
      <alignment horizontal="center"/>
    </xf>
    <xf numFmtId="0" fontId="5" fillId="0" borderId="0" xfId="0" applyNumberFormat="1" applyFont="1" applyAlignment="1">
      <alignment horizontal="left"/>
    </xf>
    <xf numFmtId="164" fontId="7" fillId="0" borderId="0" xfId="0" applyNumberFormat="1" applyFont="1"/>
    <xf numFmtId="44" fontId="7" fillId="0" borderId="0" xfId="1" applyFont="1" applyAlignment="1">
      <alignment horizontal="center"/>
    </xf>
    <xf numFmtId="44" fontId="6" fillId="0" borderId="1" xfId="1" applyFont="1" applyBorder="1" applyAlignment="1">
      <alignment horizontal="center"/>
    </xf>
    <xf numFmtId="44" fontId="7" fillId="0" borderId="0" xfId="1" applyFont="1"/>
    <xf numFmtId="0" fontId="7" fillId="0" borderId="0" xfId="0" applyFont="1"/>
    <xf numFmtId="164" fontId="7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44" fontId="6" fillId="0" borderId="0" xfId="1" applyFont="1" applyAlignment="1">
      <alignment horizontal="right"/>
    </xf>
    <xf numFmtId="44" fontId="7" fillId="0" borderId="0" xfId="1" applyFont="1" applyAlignment="1">
      <alignment horizontal="right"/>
    </xf>
    <xf numFmtId="44" fontId="4" fillId="0" borderId="0" xfId="1" applyFont="1" applyAlignment="1">
      <alignment horizontal="right"/>
    </xf>
    <xf numFmtId="44" fontId="6" fillId="0" borderId="0" xfId="1" applyFont="1" applyBorder="1" applyAlignment="1">
      <alignment horizontal="center"/>
    </xf>
    <xf numFmtId="49" fontId="7" fillId="0" borderId="0" xfId="0" applyNumberFormat="1" applyFont="1" applyBorder="1"/>
    <xf numFmtId="164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4" fontId="5" fillId="0" borderId="0" xfId="1" applyFont="1" applyAlignment="1">
      <alignment horizontal="center"/>
    </xf>
    <xf numFmtId="164" fontId="5" fillId="0" borderId="0" xfId="0" applyNumberFormat="1" applyFont="1" applyBorder="1"/>
    <xf numFmtId="44" fontId="7" fillId="0" borderId="0" xfId="1" applyFont="1" applyBorder="1"/>
    <xf numFmtId="0" fontId="7" fillId="0" borderId="0" xfId="0" applyFont="1" applyBorder="1"/>
    <xf numFmtId="164" fontId="7" fillId="0" borderId="0" xfId="0" applyNumberFormat="1" applyFont="1" applyBorder="1" applyAlignment="1">
      <alignment horizontal="right"/>
    </xf>
    <xf numFmtId="44" fontId="5" fillId="0" borderId="0" xfId="1" applyFont="1" applyBorder="1" applyAlignment="1">
      <alignment horizontal="center"/>
    </xf>
    <xf numFmtId="164" fontId="6" fillId="0" borderId="0" xfId="0" applyNumberFormat="1" applyFont="1" applyBorder="1" applyAlignment="1">
      <alignment horizontal="right"/>
    </xf>
    <xf numFmtId="44" fontId="6" fillId="0" borderId="0" xfId="1" applyFont="1" applyBorder="1" applyAlignment="1">
      <alignment horizontal="right"/>
    </xf>
    <xf numFmtId="0" fontId="5" fillId="0" borderId="0" xfId="0" applyNumberFormat="1" applyFont="1" applyBorder="1" applyAlignment="1">
      <alignment horizontal="left"/>
    </xf>
    <xf numFmtId="44" fontId="4" fillId="0" borderId="0" xfId="1" applyFont="1" applyBorder="1" applyAlignment="1">
      <alignment horizontal="right"/>
    </xf>
    <xf numFmtId="164" fontId="7" fillId="0" borderId="0" xfId="0" applyNumberFormat="1" applyFont="1" applyBorder="1"/>
    <xf numFmtId="164" fontId="5" fillId="0" borderId="0" xfId="0" applyNumberFormat="1" applyFont="1" applyBorder="1" applyAlignment="1">
      <alignment horizontal="right"/>
    </xf>
    <xf numFmtId="44" fontId="7" fillId="0" borderId="0" xfId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44" fontId="7" fillId="0" borderId="0" xfId="1" applyFont="1" applyBorder="1" applyAlignment="1">
      <alignment horizontal="center"/>
    </xf>
  </cellXfs>
  <cellStyles count="5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G304"/>
  <sheetViews>
    <sheetView tabSelected="1" defaultGridColor="0" colorId="22" zoomScale="87" zoomScaleNormal="87" workbookViewId="0"/>
  </sheetViews>
  <sheetFormatPr defaultColWidth="8.88671875" defaultRowHeight="12.75" x14ac:dyDescent="0.2"/>
  <cols>
    <col min="1" max="1" width="26.6640625" style="28" bestFit="1" customWidth="1"/>
    <col min="2" max="2" width="16.21875" style="20" bestFit="1" customWidth="1"/>
    <col min="3" max="3" width="16" style="20" bestFit="1" customWidth="1"/>
    <col min="4" max="4" width="16.21875" style="20" bestFit="1" customWidth="1"/>
    <col min="5" max="5" width="15.5546875" style="20" bestFit="1" customWidth="1"/>
    <col min="6" max="6" width="17.21875" style="20" bestFit="1" customWidth="1"/>
    <col min="7" max="7" width="15.21875" style="20" bestFit="1" customWidth="1"/>
    <col min="8" max="16384" width="8.88671875" style="21"/>
  </cols>
  <sheetData>
    <row r="1" spans="1:7" x14ac:dyDescent="0.2">
      <c r="A1" s="19" t="s">
        <v>0</v>
      </c>
    </row>
    <row r="2" spans="1:7" x14ac:dyDescent="0.2">
      <c r="A2" s="19" t="s">
        <v>12</v>
      </c>
    </row>
    <row r="3" spans="1:7" x14ac:dyDescent="0.2">
      <c r="A3" s="19" t="s">
        <v>14</v>
      </c>
    </row>
    <row r="4" spans="1:7" x14ac:dyDescent="0.2">
      <c r="A4" s="15" t="s">
        <v>13</v>
      </c>
    </row>
    <row r="5" spans="1:7" x14ac:dyDescent="0.2">
      <c r="A5" s="15"/>
    </row>
    <row r="6" spans="1:7" x14ac:dyDescent="0.2">
      <c r="A6" s="22"/>
      <c r="B6" s="23" t="s">
        <v>1</v>
      </c>
      <c r="C6" s="23" t="s">
        <v>2</v>
      </c>
      <c r="D6" s="23" t="s">
        <v>3</v>
      </c>
      <c r="E6" s="23" t="s">
        <v>4</v>
      </c>
      <c r="F6" s="23" t="s">
        <v>5</v>
      </c>
      <c r="G6" s="23" t="s">
        <v>6</v>
      </c>
    </row>
    <row r="7" spans="1:7" x14ac:dyDescent="0.2">
      <c r="A7" s="24" t="s">
        <v>7</v>
      </c>
      <c r="B7" s="14" t="s">
        <v>8</v>
      </c>
      <c r="C7" s="14" t="s">
        <v>9</v>
      </c>
      <c r="D7" s="14" t="s">
        <v>21</v>
      </c>
      <c r="E7" s="14" t="s">
        <v>10</v>
      </c>
      <c r="F7" s="14" t="s">
        <v>11</v>
      </c>
      <c r="G7" s="14" t="s">
        <v>11</v>
      </c>
    </row>
    <row r="8" spans="1:7" x14ac:dyDescent="0.2">
      <c r="A8" s="21"/>
      <c r="B8" s="25"/>
      <c r="C8" s="25"/>
      <c r="D8" s="25"/>
      <c r="E8" s="25"/>
      <c r="F8" s="25"/>
      <c r="G8" s="25"/>
    </row>
    <row r="9" spans="1:7" x14ac:dyDescent="0.2">
      <c r="A9" s="26">
        <v>2025</v>
      </c>
      <c r="B9" s="25"/>
      <c r="C9" s="25"/>
      <c r="D9" s="25"/>
      <c r="E9" s="25"/>
      <c r="F9" s="25"/>
      <c r="G9" s="25"/>
    </row>
    <row r="10" spans="1:7" x14ac:dyDescent="0.2">
      <c r="A10" s="22">
        <v>45672</v>
      </c>
      <c r="B10" s="27">
        <v>316143.75</v>
      </c>
      <c r="C10" s="27">
        <v>581833.41</v>
      </c>
      <c r="D10" s="27">
        <v>1126432.52</v>
      </c>
      <c r="E10" s="27">
        <v>228626.3</v>
      </c>
      <c r="F10" s="27">
        <f t="shared" ref="F10:F21" si="0">SUM(B10:E10)</f>
        <v>2253035.98</v>
      </c>
      <c r="G10" s="27">
        <f>SUM(F10)</f>
        <v>2253035.98</v>
      </c>
    </row>
    <row r="11" spans="1:7" x14ac:dyDescent="0.2">
      <c r="A11" s="22">
        <v>45703</v>
      </c>
      <c r="B11" s="27">
        <v>1295650.96</v>
      </c>
      <c r="C11" s="27">
        <v>2021755.49</v>
      </c>
      <c r="D11" s="27">
        <v>1971390.91</v>
      </c>
      <c r="E11" s="27">
        <v>322107.87</v>
      </c>
      <c r="F11" s="27">
        <f t="shared" si="0"/>
        <v>5610905.2300000004</v>
      </c>
      <c r="G11" s="27">
        <f t="shared" ref="G11:G21" si="1">F11+G10</f>
        <v>7863941.2100000009</v>
      </c>
    </row>
    <row r="12" spans="1:7" x14ac:dyDescent="0.2">
      <c r="A12" s="22">
        <v>45731</v>
      </c>
      <c r="B12" s="27">
        <v>436714.55</v>
      </c>
      <c r="C12" s="27">
        <v>807244.04</v>
      </c>
      <c r="D12" s="27">
        <v>770844.34</v>
      </c>
      <c r="E12" s="27">
        <v>170061.2</v>
      </c>
      <c r="F12" s="27">
        <f t="shared" si="0"/>
        <v>2184864.1300000004</v>
      </c>
      <c r="G12" s="27">
        <f t="shared" si="1"/>
        <v>10048805.340000002</v>
      </c>
    </row>
    <row r="13" spans="1:7" x14ac:dyDescent="0.2">
      <c r="A13" s="22">
        <v>45762</v>
      </c>
      <c r="B13" s="27">
        <f>361094.56</f>
        <v>361094.56</v>
      </c>
      <c r="C13" s="27">
        <f>619740.41</f>
        <v>619740.41</v>
      </c>
      <c r="D13" s="27">
        <f>904418.67</f>
        <v>904418.67</v>
      </c>
      <c r="E13" s="27">
        <f>156181.55</f>
        <v>156181.54999999999</v>
      </c>
      <c r="F13" s="27">
        <f t="shared" si="0"/>
        <v>2041435.1900000002</v>
      </c>
      <c r="G13" s="27">
        <f t="shared" si="1"/>
        <v>12090240.530000001</v>
      </c>
    </row>
    <row r="14" spans="1:7" x14ac:dyDescent="0.2">
      <c r="A14" s="22">
        <v>45792</v>
      </c>
      <c r="B14" s="27"/>
      <c r="C14" s="27"/>
      <c r="D14" s="27"/>
      <c r="E14" s="27"/>
      <c r="F14" s="27">
        <f t="shared" si="0"/>
        <v>0</v>
      </c>
      <c r="G14" s="27">
        <f t="shared" si="1"/>
        <v>12090240.530000001</v>
      </c>
    </row>
    <row r="15" spans="1:7" x14ac:dyDescent="0.2">
      <c r="A15" s="22">
        <v>45823</v>
      </c>
      <c r="B15" s="27"/>
      <c r="C15" s="27"/>
      <c r="D15" s="27"/>
      <c r="E15" s="27"/>
      <c r="F15" s="27">
        <f t="shared" si="0"/>
        <v>0</v>
      </c>
      <c r="G15" s="27">
        <f t="shared" si="1"/>
        <v>12090240.530000001</v>
      </c>
    </row>
    <row r="16" spans="1:7" x14ac:dyDescent="0.2">
      <c r="A16" s="22">
        <v>45853</v>
      </c>
      <c r="B16" s="27"/>
      <c r="C16" s="27"/>
      <c r="D16" s="27"/>
      <c r="E16" s="27"/>
      <c r="F16" s="27">
        <f t="shared" si="0"/>
        <v>0</v>
      </c>
      <c r="G16" s="27">
        <f t="shared" si="1"/>
        <v>12090240.530000001</v>
      </c>
    </row>
    <row r="17" spans="1:7" x14ac:dyDescent="0.2">
      <c r="A17" s="22">
        <v>45884</v>
      </c>
      <c r="B17" s="27"/>
      <c r="C17" s="27"/>
      <c r="D17" s="27"/>
      <c r="E17" s="27"/>
      <c r="F17" s="27">
        <f t="shared" si="0"/>
        <v>0</v>
      </c>
      <c r="G17" s="27">
        <f t="shared" si="1"/>
        <v>12090240.530000001</v>
      </c>
    </row>
    <row r="18" spans="1:7" x14ac:dyDescent="0.2">
      <c r="A18" s="22">
        <v>45915</v>
      </c>
      <c r="B18" s="27"/>
      <c r="C18" s="27"/>
      <c r="D18" s="27"/>
      <c r="E18" s="27"/>
      <c r="F18" s="27">
        <f t="shared" si="0"/>
        <v>0</v>
      </c>
      <c r="G18" s="27">
        <f t="shared" si="1"/>
        <v>12090240.530000001</v>
      </c>
    </row>
    <row r="19" spans="1:7" x14ac:dyDescent="0.2">
      <c r="A19" s="22">
        <v>45945</v>
      </c>
      <c r="B19" s="27"/>
      <c r="C19" s="27"/>
      <c r="D19" s="27"/>
      <c r="E19" s="27"/>
      <c r="F19" s="27">
        <f t="shared" si="0"/>
        <v>0</v>
      </c>
      <c r="G19" s="27">
        <f t="shared" si="1"/>
        <v>12090240.530000001</v>
      </c>
    </row>
    <row r="20" spans="1:7" x14ac:dyDescent="0.2">
      <c r="A20" s="22">
        <v>45976</v>
      </c>
      <c r="B20" s="27"/>
      <c r="C20" s="27"/>
      <c r="D20" s="27"/>
      <c r="E20" s="27"/>
      <c r="F20" s="27">
        <f t="shared" si="0"/>
        <v>0</v>
      </c>
      <c r="G20" s="27">
        <f t="shared" si="1"/>
        <v>12090240.530000001</v>
      </c>
    </row>
    <row r="21" spans="1:7" x14ac:dyDescent="0.2">
      <c r="A21" s="22">
        <v>46006</v>
      </c>
      <c r="B21" s="27"/>
      <c r="C21" s="27"/>
      <c r="D21" s="27"/>
      <c r="E21" s="27"/>
      <c r="F21" s="27">
        <f t="shared" si="0"/>
        <v>0</v>
      </c>
      <c r="G21" s="27">
        <f t="shared" si="1"/>
        <v>12090240.530000001</v>
      </c>
    </row>
    <row r="22" spans="1:7" x14ac:dyDescent="0.2">
      <c r="A22" s="19" t="s">
        <v>31</v>
      </c>
      <c r="B22" s="14">
        <f>SUM(B10:B21)</f>
        <v>2409603.8199999998</v>
      </c>
      <c r="C22" s="14">
        <f>SUM(C10:C21)</f>
        <v>4030573.35</v>
      </c>
      <c r="D22" s="14">
        <f>SUM(D10:D21)</f>
        <v>4773086.4399999995</v>
      </c>
      <c r="E22" s="14">
        <f>SUM(E10:E21)</f>
        <v>876976.91999999993</v>
      </c>
      <c r="F22" s="14">
        <f>SUM(F10:F21)</f>
        <v>12090240.530000001</v>
      </c>
      <c r="G22" s="25"/>
    </row>
    <row r="23" spans="1:7" x14ac:dyDescent="0.2">
      <c r="A23" s="15"/>
    </row>
    <row r="24" spans="1:7" x14ac:dyDescent="0.2">
      <c r="A24" s="22"/>
      <c r="B24" s="23" t="s">
        <v>1</v>
      </c>
      <c r="C24" s="23" t="s">
        <v>2</v>
      </c>
      <c r="D24" s="23" t="s">
        <v>3</v>
      </c>
      <c r="E24" s="23" t="s">
        <v>4</v>
      </c>
      <c r="F24" s="23" t="s">
        <v>5</v>
      </c>
      <c r="G24" s="23" t="s">
        <v>6</v>
      </c>
    </row>
    <row r="25" spans="1:7" x14ac:dyDescent="0.2">
      <c r="A25" s="24" t="s">
        <v>7</v>
      </c>
      <c r="B25" s="14" t="s">
        <v>8</v>
      </c>
      <c r="C25" s="14" t="s">
        <v>9</v>
      </c>
      <c r="D25" s="14" t="s">
        <v>21</v>
      </c>
      <c r="E25" s="14" t="s">
        <v>10</v>
      </c>
      <c r="F25" s="14" t="s">
        <v>11</v>
      </c>
      <c r="G25" s="14" t="s">
        <v>11</v>
      </c>
    </row>
    <row r="26" spans="1:7" x14ac:dyDescent="0.2">
      <c r="A26" s="21"/>
      <c r="B26" s="25"/>
      <c r="C26" s="25"/>
      <c r="D26" s="25"/>
      <c r="E26" s="25"/>
      <c r="F26" s="25"/>
      <c r="G26" s="25"/>
    </row>
    <row r="27" spans="1:7" x14ac:dyDescent="0.2">
      <c r="A27" s="26">
        <v>2024</v>
      </c>
      <c r="B27" s="25"/>
      <c r="C27" s="25"/>
      <c r="D27" s="25"/>
      <c r="E27" s="25"/>
      <c r="F27" s="25"/>
      <c r="G27" s="25"/>
    </row>
    <row r="28" spans="1:7" x14ac:dyDescent="0.2">
      <c r="A28" s="22">
        <v>45306</v>
      </c>
      <c r="B28" s="27">
        <f>310582.21</f>
        <v>310582.21000000002</v>
      </c>
      <c r="C28" s="27">
        <f>550881.92</f>
        <v>550881.92000000004</v>
      </c>
      <c r="D28" s="27">
        <f>800399.46</f>
        <v>800399.46</v>
      </c>
      <c r="E28" s="27">
        <f>228433.64</f>
        <v>228433.64</v>
      </c>
      <c r="F28" s="27">
        <f t="shared" ref="F28:F39" si="2">SUM(B28:E28)</f>
        <v>1890297.23</v>
      </c>
      <c r="G28" s="27">
        <f>SUM(F28)</f>
        <v>1890297.23</v>
      </c>
    </row>
    <row r="29" spans="1:7" x14ac:dyDescent="0.2">
      <c r="A29" s="22">
        <v>45337</v>
      </c>
      <c r="B29" s="27">
        <f>1256186.18</f>
        <v>1256186.18</v>
      </c>
      <c r="C29" s="27">
        <f>1951001.33</f>
        <v>1951001.33</v>
      </c>
      <c r="D29" s="27">
        <f>2213530.52</f>
        <v>2213530.52</v>
      </c>
      <c r="E29" s="27">
        <f>257505.83</f>
        <v>257505.83</v>
      </c>
      <c r="F29" s="27">
        <f t="shared" si="2"/>
        <v>5678223.8599999994</v>
      </c>
      <c r="G29" s="27">
        <f t="shared" ref="G29:G39" si="3">F29+G28</f>
        <v>7568521.0899999999</v>
      </c>
    </row>
    <row r="30" spans="1:7" x14ac:dyDescent="0.2">
      <c r="A30" s="22">
        <v>45366</v>
      </c>
      <c r="B30" s="27">
        <f>281268.72</f>
        <v>281268.71999999997</v>
      </c>
      <c r="C30" s="27">
        <f>557572.58</f>
        <v>557572.57999999996</v>
      </c>
      <c r="D30" s="27">
        <f>750890.97</f>
        <v>750890.97</v>
      </c>
      <c r="E30" s="27">
        <f>174185.81</f>
        <v>174185.81</v>
      </c>
      <c r="F30" s="27">
        <f t="shared" si="2"/>
        <v>1763918.08</v>
      </c>
      <c r="G30" s="27">
        <f t="shared" si="3"/>
        <v>9332439.1699999999</v>
      </c>
    </row>
    <row r="31" spans="1:7" x14ac:dyDescent="0.2">
      <c r="A31" s="22">
        <v>45397</v>
      </c>
      <c r="B31" s="27">
        <f>430915.9</f>
        <v>430915.9</v>
      </c>
      <c r="C31" s="27">
        <f>778819.27</f>
        <v>778819.27</v>
      </c>
      <c r="D31" s="27">
        <f>931197.2</f>
        <v>931197.2</v>
      </c>
      <c r="E31" s="27">
        <f>324102.94</f>
        <v>324102.94</v>
      </c>
      <c r="F31" s="27">
        <f t="shared" si="2"/>
        <v>2465035.31</v>
      </c>
      <c r="G31" s="27">
        <f t="shared" si="3"/>
        <v>11797474.48</v>
      </c>
    </row>
    <row r="32" spans="1:7" x14ac:dyDescent="0.2">
      <c r="A32" s="22">
        <v>45427</v>
      </c>
      <c r="B32" s="27">
        <v>1238638.23</v>
      </c>
      <c r="C32" s="27">
        <v>1980858.8</v>
      </c>
      <c r="D32" s="27">
        <v>1781922.8</v>
      </c>
      <c r="E32" s="27">
        <v>156253.04999999999</v>
      </c>
      <c r="F32" s="27">
        <f t="shared" si="2"/>
        <v>5157672.88</v>
      </c>
      <c r="G32" s="27">
        <f t="shared" si="3"/>
        <v>16955147.359999999</v>
      </c>
    </row>
    <row r="33" spans="1:7" x14ac:dyDescent="0.2">
      <c r="A33" s="22">
        <v>45458</v>
      </c>
      <c r="B33" s="27">
        <v>460049.8</v>
      </c>
      <c r="C33" s="27">
        <v>927919.79</v>
      </c>
      <c r="D33" s="27">
        <v>875563.16</v>
      </c>
      <c r="E33" s="27">
        <v>391982.99</v>
      </c>
      <c r="F33" s="27">
        <f t="shared" si="2"/>
        <v>2655515.7400000002</v>
      </c>
      <c r="G33" s="27">
        <f t="shared" si="3"/>
        <v>19610663.100000001</v>
      </c>
    </row>
    <row r="34" spans="1:7" x14ac:dyDescent="0.2">
      <c r="A34" s="22">
        <v>45488</v>
      </c>
      <c r="B34" s="27">
        <f>673022.07</f>
        <v>673022.07</v>
      </c>
      <c r="C34" s="27">
        <f>1131019.77</f>
        <v>1131019.77</v>
      </c>
      <c r="D34" s="27">
        <f>913923.84</f>
        <v>913923.84</v>
      </c>
      <c r="E34" s="27">
        <f>135052.39</f>
        <v>135052.39000000001</v>
      </c>
      <c r="F34" s="27">
        <f t="shared" si="2"/>
        <v>2853018.07</v>
      </c>
      <c r="G34" s="27">
        <f t="shared" si="3"/>
        <v>22463681.170000002</v>
      </c>
    </row>
    <row r="35" spans="1:7" x14ac:dyDescent="0.2">
      <c r="A35" s="22">
        <v>45519</v>
      </c>
      <c r="B35" s="27">
        <v>2083269.47</v>
      </c>
      <c r="C35" s="27">
        <v>3377297.41</v>
      </c>
      <c r="D35" s="27">
        <v>2018594.96</v>
      </c>
      <c r="E35" s="27">
        <v>402670.43</v>
      </c>
      <c r="F35" s="27">
        <f t="shared" si="2"/>
        <v>7881832.2699999996</v>
      </c>
      <c r="G35" s="27">
        <f t="shared" si="3"/>
        <v>30345513.440000001</v>
      </c>
    </row>
    <row r="36" spans="1:7" x14ac:dyDescent="0.2">
      <c r="A36" s="22">
        <v>45550</v>
      </c>
      <c r="B36" s="27">
        <f>902931.71</f>
        <v>902931.71</v>
      </c>
      <c r="C36" s="27">
        <f>1776987.59</f>
        <v>1776987.59</v>
      </c>
      <c r="D36" s="27">
        <f>925108</f>
        <v>925108</v>
      </c>
      <c r="E36" s="27">
        <f>465083.1</f>
        <v>465083.1</v>
      </c>
      <c r="F36" s="27">
        <f t="shared" si="2"/>
        <v>4070110.4</v>
      </c>
      <c r="G36" s="27">
        <f t="shared" si="3"/>
        <v>34415623.840000004</v>
      </c>
    </row>
    <row r="37" spans="1:7" x14ac:dyDescent="0.2">
      <c r="A37" s="22">
        <v>45580</v>
      </c>
      <c r="B37" s="27">
        <f>604191.19</f>
        <v>604191.18999999994</v>
      </c>
      <c r="C37" s="27">
        <f>1084152.92</f>
        <v>1084152.92</v>
      </c>
      <c r="D37" s="27">
        <f>1054549.27</f>
        <v>1054549.27</v>
      </c>
      <c r="E37" s="27">
        <f>393674.52</f>
        <v>393674.52</v>
      </c>
      <c r="F37" s="27">
        <f t="shared" si="2"/>
        <v>3136567.9</v>
      </c>
      <c r="G37" s="27">
        <f t="shared" si="3"/>
        <v>37552191.740000002</v>
      </c>
    </row>
    <row r="38" spans="1:7" x14ac:dyDescent="0.2">
      <c r="A38" s="22">
        <v>45611</v>
      </c>
      <c r="B38" s="27">
        <f>2549679.71</f>
        <v>2549679.71</v>
      </c>
      <c r="C38" s="27">
        <f>4145922.52</f>
        <v>4145922.52</v>
      </c>
      <c r="D38" s="27">
        <f>1904019.01</f>
        <v>1904019.01</v>
      </c>
      <c r="E38" s="27">
        <f>385921.79</f>
        <v>385921.79</v>
      </c>
      <c r="F38" s="27">
        <f t="shared" si="2"/>
        <v>8985543.0299999993</v>
      </c>
      <c r="G38" s="27">
        <f t="shared" si="3"/>
        <v>46537734.770000003</v>
      </c>
    </row>
    <row r="39" spans="1:7" x14ac:dyDescent="0.2">
      <c r="A39" s="22">
        <v>45641</v>
      </c>
      <c r="B39" s="27">
        <f>437857.25</f>
        <v>437857.25</v>
      </c>
      <c r="C39" s="27">
        <f>891729.59</f>
        <v>891729.59</v>
      </c>
      <c r="D39" s="27">
        <f>831453</f>
        <v>831453</v>
      </c>
      <c r="E39" s="27">
        <f>308825.48</f>
        <v>308825.48</v>
      </c>
      <c r="F39" s="27">
        <f t="shared" si="2"/>
        <v>2469865.3199999998</v>
      </c>
      <c r="G39" s="27">
        <f t="shared" si="3"/>
        <v>49007600.090000004</v>
      </c>
    </row>
    <row r="40" spans="1:7" x14ac:dyDescent="0.2">
      <c r="A40" s="19" t="s">
        <v>30</v>
      </c>
      <c r="B40" s="14">
        <f>SUM(B28:B39)</f>
        <v>11228592.439999998</v>
      </c>
      <c r="C40" s="14">
        <f>SUM(C28:C39)</f>
        <v>19154163.490000002</v>
      </c>
      <c r="D40" s="14">
        <f>SUM(D28:D39)</f>
        <v>15001152.189999999</v>
      </c>
      <c r="E40" s="14">
        <f>SUM(E28:E39)</f>
        <v>3623691.9699999997</v>
      </c>
      <c r="F40" s="14">
        <f>SUM(F28:F39)</f>
        <v>49007600.090000004</v>
      </c>
      <c r="G40" s="25"/>
    </row>
    <row r="42" spans="1:7" x14ac:dyDescent="0.2">
      <c r="A42" s="22"/>
      <c r="B42" s="23" t="s">
        <v>1</v>
      </c>
      <c r="C42" s="23" t="s">
        <v>2</v>
      </c>
      <c r="D42" s="23" t="s">
        <v>3</v>
      </c>
      <c r="E42" s="23" t="s">
        <v>4</v>
      </c>
      <c r="F42" s="23" t="s">
        <v>5</v>
      </c>
      <c r="G42" s="23" t="s">
        <v>6</v>
      </c>
    </row>
    <row r="43" spans="1:7" x14ac:dyDescent="0.2">
      <c r="A43" s="24" t="s">
        <v>7</v>
      </c>
      <c r="B43" s="14" t="s">
        <v>8</v>
      </c>
      <c r="C43" s="14" t="s">
        <v>9</v>
      </c>
      <c r="D43" s="14" t="s">
        <v>21</v>
      </c>
      <c r="E43" s="14" t="s">
        <v>10</v>
      </c>
      <c r="F43" s="14" t="s">
        <v>11</v>
      </c>
      <c r="G43" s="14" t="s">
        <v>11</v>
      </c>
    </row>
    <row r="44" spans="1:7" x14ac:dyDescent="0.2">
      <c r="A44" s="21"/>
      <c r="B44" s="25"/>
      <c r="C44" s="25"/>
      <c r="D44" s="25"/>
      <c r="E44" s="25"/>
      <c r="F44" s="25"/>
      <c r="G44" s="25"/>
    </row>
    <row r="45" spans="1:7" x14ac:dyDescent="0.2">
      <c r="A45" s="26">
        <v>2023</v>
      </c>
      <c r="B45" s="25"/>
      <c r="C45" s="25"/>
      <c r="D45" s="25"/>
      <c r="E45" s="25"/>
      <c r="F45" s="25"/>
      <c r="G45" s="25"/>
    </row>
    <row r="46" spans="1:7" x14ac:dyDescent="0.2">
      <c r="A46" s="22">
        <v>44941</v>
      </c>
      <c r="B46" s="27">
        <v>313783.02</v>
      </c>
      <c r="C46" s="27">
        <v>493397.24</v>
      </c>
      <c r="D46" s="27">
        <v>746669.85</v>
      </c>
      <c r="E46" s="27">
        <v>238696.98</v>
      </c>
      <c r="F46" s="27">
        <f t="shared" ref="F46:F53" si="4">SUM(B46:E46)</f>
        <v>1792547.0899999999</v>
      </c>
      <c r="G46" s="27">
        <f>SUM(F46)</f>
        <v>1792547.0899999999</v>
      </c>
    </row>
    <row r="47" spans="1:7" x14ac:dyDescent="0.2">
      <c r="A47" s="22">
        <v>44972</v>
      </c>
      <c r="B47" s="27">
        <f>1150850.02</f>
        <v>1150850.02</v>
      </c>
      <c r="C47" s="27">
        <f>1774323.67</f>
        <v>1774323.67</v>
      </c>
      <c r="D47" s="27">
        <f>2146946.85</f>
        <v>2146946.85</v>
      </c>
      <c r="E47" s="27">
        <f>243027.02</f>
        <v>243027.02</v>
      </c>
      <c r="F47" s="27">
        <f t="shared" si="4"/>
        <v>5315147.5599999996</v>
      </c>
      <c r="G47" s="27">
        <f t="shared" ref="G47:G53" si="5">G46+F47</f>
        <v>7107694.6499999994</v>
      </c>
    </row>
    <row r="48" spans="1:7" x14ac:dyDescent="0.2">
      <c r="A48" s="22">
        <v>45000</v>
      </c>
      <c r="B48" s="27">
        <f>303756.98</f>
        <v>303756.98</v>
      </c>
      <c r="C48" s="27">
        <f>595837.81</f>
        <v>595837.81000000006</v>
      </c>
      <c r="D48" s="27">
        <f>739816.02</f>
        <v>739816.02</v>
      </c>
      <c r="E48" s="27">
        <f>270758.2</f>
        <v>270758.2</v>
      </c>
      <c r="F48" s="27">
        <f t="shared" si="4"/>
        <v>1910169.01</v>
      </c>
      <c r="G48" s="27">
        <f t="shared" si="5"/>
        <v>9017863.6600000001</v>
      </c>
    </row>
    <row r="49" spans="1:7" x14ac:dyDescent="0.2">
      <c r="A49" s="22">
        <v>45031</v>
      </c>
      <c r="B49" s="27">
        <f>380169.24</f>
        <v>380169.24</v>
      </c>
      <c r="C49" s="27">
        <f>711358.22</f>
        <v>711358.22</v>
      </c>
      <c r="D49" s="27">
        <f>846576.56</f>
        <v>846576.56</v>
      </c>
      <c r="E49" s="27">
        <f>80801.35</f>
        <v>80801.350000000006</v>
      </c>
      <c r="F49" s="27">
        <f t="shared" si="4"/>
        <v>2018905.37</v>
      </c>
      <c r="G49" s="27">
        <f t="shared" si="5"/>
        <v>11036769.030000001</v>
      </c>
    </row>
    <row r="50" spans="1:7" x14ac:dyDescent="0.2">
      <c r="A50" s="22">
        <v>45061</v>
      </c>
      <c r="B50" s="27">
        <f>1143792.31</f>
        <v>1143792.31</v>
      </c>
      <c r="C50" s="27">
        <f>1828453.98</f>
        <v>1828453.98</v>
      </c>
      <c r="D50" s="27">
        <f>1680737.77</f>
        <v>1680737.77</v>
      </c>
      <c r="E50" s="27">
        <f>242404.92</f>
        <v>242404.92</v>
      </c>
      <c r="F50" s="27">
        <f t="shared" si="4"/>
        <v>4895388.9800000004</v>
      </c>
      <c r="G50" s="27">
        <f t="shared" si="5"/>
        <v>15932158.010000002</v>
      </c>
    </row>
    <row r="51" spans="1:7" x14ac:dyDescent="0.2">
      <c r="A51" s="22">
        <v>45092</v>
      </c>
      <c r="B51" s="27">
        <f>436065.15</f>
        <v>436065.15</v>
      </c>
      <c r="C51" s="27">
        <f>810606.74</f>
        <v>810606.74</v>
      </c>
      <c r="D51" s="27">
        <f>873600.21</f>
        <v>873600.21</v>
      </c>
      <c r="E51" s="27">
        <f>221849.62</f>
        <v>221849.62</v>
      </c>
      <c r="F51" s="27">
        <f t="shared" si="4"/>
        <v>2342121.7200000002</v>
      </c>
      <c r="G51" s="27">
        <f t="shared" si="5"/>
        <v>18274279.73</v>
      </c>
    </row>
    <row r="52" spans="1:7" x14ac:dyDescent="0.2">
      <c r="A52" s="22">
        <v>45122</v>
      </c>
      <c r="B52" s="27">
        <f>520040.93</f>
        <v>520040.93</v>
      </c>
      <c r="C52" s="27">
        <f>902940.39</f>
        <v>902940.39</v>
      </c>
      <c r="D52" s="27">
        <f>903157.92</f>
        <v>903157.92</v>
      </c>
      <c r="E52" s="27">
        <f>262268.56</f>
        <v>262268.56</v>
      </c>
      <c r="F52" s="27">
        <f t="shared" si="4"/>
        <v>2588407.8000000003</v>
      </c>
      <c r="G52" s="27">
        <f t="shared" si="5"/>
        <v>20862687.530000001</v>
      </c>
    </row>
    <row r="53" spans="1:7" x14ac:dyDescent="0.2">
      <c r="A53" s="22">
        <v>45153</v>
      </c>
      <c r="B53" s="27">
        <f>1887157.13</f>
        <v>1887157.13</v>
      </c>
      <c r="C53" s="27">
        <f>3101253.51</f>
        <v>3101253.51</v>
      </c>
      <c r="D53" s="27">
        <f>2026249.67</f>
        <v>2026249.67</v>
      </c>
      <c r="E53" s="27">
        <f>339853.85</f>
        <v>339853.85</v>
      </c>
      <c r="F53" s="27">
        <f t="shared" si="4"/>
        <v>7354514.1599999992</v>
      </c>
      <c r="G53" s="27">
        <f t="shared" si="5"/>
        <v>28217201.690000001</v>
      </c>
    </row>
    <row r="54" spans="1:7" x14ac:dyDescent="0.2">
      <c r="A54" s="22">
        <v>45184</v>
      </c>
      <c r="B54" s="27">
        <f>590360.81</f>
        <v>590360.81000000006</v>
      </c>
      <c r="C54" s="27">
        <f>1188847.75</f>
        <v>1188847.75</v>
      </c>
      <c r="D54" s="27">
        <f>937938.7</f>
        <v>937938.7</v>
      </c>
      <c r="E54" s="27">
        <f>401153.74</f>
        <v>401153.74</v>
      </c>
      <c r="F54" s="27">
        <f t="shared" ref="F54:F56" si="6">SUM(B54:E54)</f>
        <v>3118301</v>
      </c>
      <c r="G54" s="27">
        <f>G53+F54</f>
        <v>31335502.690000001</v>
      </c>
    </row>
    <row r="55" spans="1:7" x14ac:dyDescent="0.2">
      <c r="A55" s="22">
        <v>45214</v>
      </c>
      <c r="B55" s="27">
        <f>674840.75</f>
        <v>674840.75</v>
      </c>
      <c r="C55" s="27">
        <f>1245421.48</f>
        <v>1245421.48</v>
      </c>
      <c r="D55" s="27">
        <f>915098.36</f>
        <v>915098.36</v>
      </c>
      <c r="E55" s="27">
        <f>391194.55</f>
        <v>391194.55</v>
      </c>
      <c r="F55" s="27">
        <f t="shared" si="6"/>
        <v>3226555.1399999997</v>
      </c>
      <c r="G55" s="27">
        <f>G54+F55</f>
        <v>34562057.829999998</v>
      </c>
    </row>
    <row r="56" spans="1:7" x14ac:dyDescent="0.2">
      <c r="A56" s="22">
        <v>45245</v>
      </c>
      <c r="B56" s="27">
        <f>2245797.75</f>
        <v>2245797.75</v>
      </c>
      <c r="C56" s="27">
        <f>3536424.46</f>
        <v>3536424.46</v>
      </c>
      <c r="D56" s="27">
        <f>1910639.89</f>
        <v>1910639.89</v>
      </c>
      <c r="E56" s="27">
        <f>483639.73</f>
        <v>483639.73</v>
      </c>
      <c r="F56" s="27">
        <f t="shared" si="6"/>
        <v>8176501.8300000001</v>
      </c>
      <c r="G56" s="27">
        <f>G55+F56</f>
        <v>42738559.659999996</v>
      </c>
    </row>
    <row r="57" spans="1:7" x14ac:dyDescent="0.2">
      <c r="A57" s="22">
        <v>45275</v>
      </c>
      <c r="B57" s="27">
        <f>581030.29</f>
        <v>581030.29</v>
      </c>
      <c r="C57" s="27">
        <f>1183343.04</f>
        <v>1183343.04</v>
      </c>
      <c r="D57" s="27">
        <f>897829.65</f>
        <v>897829.65</v>
      </c>
      <c r="E57" s="27">
        <f>153566.04</f>
        <v>153566.04</v>
      </c>
      <c r="F57" s="27">
        <f>SUM(B57:E57)</f>
        <v>2815769.02</v>
      </c>
      <c r="G57" s="27">
        <f>G56+F57</f>
        <v>45554328.68</v>
      </c>
    </row>
    <row r="58" spans="1:7" x14ac:dyDescent="0.2">
      <c r="A58" s="19" t="s">
        <v>29</v>
      </c>
      <c r="B58" s="14">
        <f>SUM(B46:B57)</f>
        <v>10227644.379999999</v>
      </c>
      <c r="C58" s="14">
        <f>SUM(C46:C57)</f>
        <v>17372208.289999999</v>
      </c>
      <c r="D58" s="14">
        <f>SUM(D46:D57)</f>
        <v>14625261.450000001</v>
      </c>
      <c r="E58" s="14">
        <f>SUM(E46:E57)</f>
        <v>3329214.56</v>
      </c>
      <c r="F58" s="14">
        <f>SUM(F46:F57)</f>
        <v>45554328.68</v>
      </c>
      <c r="G58" s="25"/>
    </row>
    <row r="60" spans="1:7" x14ac:dyDescent="0.2">
      <c r="A60" s="22"/>
      <c r="B60" s="23" t="s">
        <v>1</v>
      </c>
      <c r="C60" s="23" t="s">
        <v>2</v>
      </c>
      <c r="D60" s="23" t="s">
        <v>3</v>
      </c>
      <c r="E60" s="23" t="s">
        <v>4</v>
      </c>
      <c r="F60" s="23" t="s">
        <v>5</v>
      </c>
      <c r="G60" s="23" t="s">
        <v>6</v>
      </c>
    </row>
    <row r="61" spans="1:7" x14ac:dyDescent="0.2">
      <c r="A61" s="24" t="s">
        <v>7</v>
      </c>
      <c r="B61" s="14" t="s">
        <v>8</v>
      </c>
      <c r="C61" s="14" t="s">
        <v>9</v>
      </c>
      <c r="D61" s="14" t="s">
        <v>21</v>
      </c>
      <c r="E61" s="14" t="s">
        <v>10</v>
      </c>
      <c r="F61" s="14" t="s">
        <v>11</v>
      </c>
      <c r="G61" s="14" t="s">
        <v>11</v>
      </c>
    </row>
    <row r="62" spans="1:7" x14ac:dyDescent="0.2">
      <c r="A62" s="21"/>
      <c r="B62" s="25"/>
      <c r="C62" s="25"/>
      <c r="D62" s="25"/>
      <c r="E62" s="25"/>
      <c r="F62" s="25"/>
      <c r="G62" s="25"/>
    </row>
    <row r="63" spans="1:7" x14ac:dyDescent="0.2">
      <c r="A63" s="26">
        <v>2022</v>
      </c>
      <c r="B63" s="25"/>
      <c r="C63" s="25"/>
      <c r="D63" s="25"/>
      <c r="E63" s="25"/>
      <c r="F63" s="25"/>
      <c r="G63" s="25"/>
    </row>
    <row r="64" spans="1:7" x14ac:dyDescent="0.2">
      <c r="A64" s="22">
        <v>44576</v>
      </c>
      <c r="B64" s="27">
        <f>323699.14</f>
        <v>323699.14</v>
      </c>
      <c r="C64" s="27">
        <f>580748.55</f>
        <v>580748.55000000005</v>
      </c>
      <c r="D64" s="27">
        <f>642855.58</f>
        <v>642855.57999999996</v>
      </c>
      <c r="E64" s="27">
        <f>214566.96</f>
        <v>214566.96</v>
      </c>
      <c r="F64" s="27">
        <f t="shared" ref="F64:F71" si="7">SUM(B64:E64)</f>
        <v>1761870.23</v>
      </c>
      <c r="G64" s="27">
        <f>SUM(F64)</f>
        <v>1761870.23</v>
      </c>
    </row>
    <row r="65" spans="1:7" x14ac:dyDescent="0.2">
      <c r="A65" s="22">
        <v>44607</v>
      </c>
      <c r="B65" s="27">
        <f>1061435.28</f>
        <v>1061435.28</v>
      </c>
      <c r="C65" s="27">
        <f>1705190.46</f>
        <v>1705190.46</v>
      </c>
      <c r="D65" s="27">
        <f>1843930.31</f>
        <v>1843930.31</v>
      </c>
      <c r="E65" s="27">
        <f>219264.45</f>
        <v>219264.45</v>
      </c>
      <c r="F65" s="27">
        <f t="shared" si="7"/>
        <v>4829820.5000000009</v>
      </c>
      <c r="G65" s="27">
        <f t="shared" ref="G65:G69" si="8">G64+F65</f>
        <v>6591690.7300000004</v>
      </c>
    </row>
    <row r="66" spans="1:7" x14ac:dyDescent="0.2">
      <c r="A66" s="22">
        <v>44635</v>
      </c>
      <c r="B66" s="27">
        <f>202455.23</f>
        <v>202455.23</v>
      </c>
      <c r="C66" s="27">
        <f>369536.62</f>
        <v>369536.62</v>
      </c>
      <c r="D66" s="27">
        <f>570691.87</f>
        <v>570691.87</v>
      </c>
      <c r="E66" s="27">
        <f>191681.38</f>
        <v>191681.38</v>
      </c>
      <c r="F66" s="27">
        <f t="shared" si="7"/>
        <v>1334365.1000000001</v>
      </c>
      <c r="G66" s="27">
        <f t="shared" si="8"/>
        <v>7926055.8300000001</v>
      </c>
    </row>
    <row r="67" spans="1:7" x14ac:dyDescent="0.2">
      <c r="A67" s="22">
        <v>44666</v>
      </c>
      <c r="B67" s="27">
        <f>397407.06</f>
        <v>397407.06</v>
      </c>
      <c r="C67" s="27">
        <f>598077.46</f>
        <v>598077.46</v>
      </c>
      <c r="D67" s="27">
        <f>659624.21</f>
        <v>659624.21</v>
      </c>
      <c r="E67" s="27">
        <f>102291.3</f>
        <v>102291.3</v>
      </c>
      <c r="F67" s="27">
        <f t="shared" si="7"/>
        <v>1757400.03</v>
      </c>
      <c r="G67" s="27">
        <f t="shared" si="8"/>
        <v>9683455.8599999994</v>
      </c>
    </row>
    <row r="68" spans="1:7" x14ac:dyDescent="0.2">
      <c r="A68" s="22">
        <v>44696</v>
      </c>
      <c r="B68" s="27">
        <f>984056.83</f>
        <v>984056.83</v>
      </c>
      <c r="C68" s="27">
        <f>1587528.48</f>
        <v>1587528.48</v>
      </c>
      <c r="D68" s="27">
        <f>1495428.92</f>
        <v>1495428.92</v>
      </c>
      <c r="E68" s="27">
        <f>188462.97</f>
        <v>188462.97</v>
      </c>
      <c r="F68" s="27">
        <f t="shared" si="7"/>
        <v>4255477.2</v>
      </c>
      <c r="G68" s="27">
        <f t="shared" si="8"/>
        <v>13938933.059999999</v>
      </c>
    </row>
    <row r="69" spans="1:7" x14ac:dyDescent="0.2">
      <c r="A69" s="22">
        <v>44727</v>
      </c>
      <c r="B69" s="27">
        <f>390373.89</f>
        <v>390373.89</v>
      </c>
      <c r="C69" s="27">
        <f>721889.62</f>
        <v>721889.62</v>
      </c>
      <c r="D69" s="27">
        <f>722385.44</f>
        <v>722385.44</v>
      </c>
      <c r="E69" s="27">
        <f>237836.89</f>
        <v>237836.89</v>
      </c>
      <c r="F69" s="27">
        <f t="shared" si="7"/>
        <v>2072485.8399999999</v>
      </c>
      <c r="G69" s="27">
        <f t="shared" si="8"/>
        <v>16011418.899999999</v>
      </c>
    </row>
    <row r="70" spans="1:7" x14ac:dyDescent="0.2">
      <c r="A70" s="22">
        <v>44757</v>
      </c>
      <c r="B70" s="27">
        <v>500868.9</v>
      </c>
      <c r="C70" s="27">
        <v>866584.34</v>
      </c>
      <c r="D70" s="27">
        <v>781076.72</v>
      </c>
      <c r="E70" s="27">
        <v>388671.13</v>
      </c>
      <c r="F70" s="27">
        <f t="shared" si="7"/>
        <v>2537201.09</v>
      </c>
      <c r="G70" s="27">
        <f t="shared" ref="G70:G75" si="9">G69+F70</f>
        <v>18548619.989999998</v>
      </c>
    </row>
    <row r="71" spans="1:7" x14ac:dyDescent="0.2">
      <c r="A71" s="22">
        <v>44788</v>
      </c>
      <c r="B71" s="27">
        <f>1768535.27</f>
        <v>1768535.27</v>
      </c>
      <c r="C71" s="27">
        <f>2957436.46</f>
        <v>2957436.46</v>
      </c>
      <c r="D71" s="27">
        <f>1795260.07</f>
        <v>1795260.07</v>
      </c>
      <c r="E71" s="27">
        <f>179015.51</f>
        <v>179015.51</v>
      </c>
      <c r="F71" s="27">
        <f t="shared" si="7"/>
        <v>6700247.3100000005</v>
      </c>
      <c r="G71" s="27">
        <f t="shared" si="9"/>
        <v>25248867.299999997</v>
      </c>
    </row>
    <row r="72" spans="1:7" x14ac:dyDescent="0.2">
      <c r="A72" s="22">
        <v>44819</v>
      </c>
      <c r="B72" s="27">
        <v>533786.67000000004</v>
      </c>
      <c r="C72" s="27">
        <v>835639.84</v>
      </c>
      <c r="D72" s="27">
        <v>812783.42</v>
      </c>
      <c r="E72" s="27">
        <v>359214.03</v>
      </c>
      <c r="F72" s="27">
        <f t="shared" ref="F72:F75" si="10">SUM(B72:E72)</f>
        <v>2541423.96</v>
      </c>
      <c r="G72" s="27">
        <f t="shared" si="9"/>
        <v>27790291.259999998</v>
      </c>
    </row>
    <row r="73" spans="1:7" x14ac:dyDescent="0.2">
      <c r="A73" s="22">
        <v>44849</v>
      </c>
      <c r="B73" s="27">
        <f>590242.59</f>
        <v>590242.59</v>
      </c>
      <c r="C73" s="27">
        <f>823556.34</f>
        <v>823556.34</v>
      </c>
      <c r="D73" s="27">
        <f>790325.35</f>
        <v>790325.35</v>
      </c>
      <c r="E73" s="27">
        <f>352922.07</f>
        <v>352922.07</v>
      </c>
      <c r="F73" s="27">
        <f t="shared" si="10"/>
        <v>2557046.3499999996</v>
      </c>
      <c r="G73" s="27">
        <f t="shared" si="9"/>
        <v>30347337.609999999</v>
      </c>
    </row>
    <row r="74" spans="1:7" x14ac:dyDescent="0.2">
      <c r="A74" s="22">
        <v>44880</v>
      </c>
      <c r="B74" s="27">
        <v>1950848.59</v>
      </c>
      <c r="C74" s="27">
        <v>3318033.54</v>
      </c>
      <c r="D74" s="27">
        <v>1896733.76</v>
      </c>
      <c r="E74" s="27">
        <v>304843.69</v>
      </c>
      <c r="F74" s="27">
        <f t="shared" si="10"/>
        <v>7470459.5800000001</v>
      </c>
      <c r="G74" s="27">
        <f t="shared" si="9"/>
        <v>37817797.189999998</v>
      </c>
    </row>
    <row r="75" spans="1:7" x14ac:dyDescent="0.2">
      <c r="A75" s="22">
        <v>44910</v>
      </c>
      <c r="B75" s="27">
        <f>430410.11</f>
        <v>430410.11</v>
      </c>
      <c r="C75" s="27">
        <f>855690.04</f>
        <v>855690.04</v>
      </c>
      <c r="D75" s="27">
        <f>761416.07</f>
        <v>761416.07</v>
      </c>
      <c r="E75" s="27">
        <f>281255.21</f>
        <v>281255.21000000002</v>
      </c>
      <c r="F75" s="27">
        <f t="shared" si="10"/>
        <v>2328771.4299999997</v>
      </c>
      <c r="G75" s="27">
        <f t="shared" si="9"/>
        <v>40146568.619999997</v>
      </c>
    </row>
    <row r="76" spans="1:7" x14ac:dyDescent="0.2">
      <c r="A76" s="19" t="s">
        <v>28</v>
      </c>
      <c r="B76" s="14">
        <f>SUM(B64:B75)</f>
        <v>9134119.5599999987</v>
      </c>
      <c r="C76" s="14">
        <f>SUM(C64:C75)</f>
        <v>15219911.75</v>
      </c>
      <c r="D76" s="14">
        <f>SUM(D64:D75)</f>
        <v>12772511.719999999</v>
      </c>
      <c r="E76" s="14">
        <f>SUM(E64:E75)</f>
        <v>3020025.59</v>
      </c>
      <c r="F76" s="14">
        <f>SUM(F64:F75)</f>
        <v>40146568.619999997</v>
      </c>
      <c r="G76" s="25"/>
    </row>
    <row r="78" spans="1:7" x14ac:dyDescent="0.2">
      <c r="A78" s="22"/>
      <c r="B78" s="23" t="s">
        <v>1</v>
      </c>
      <c r="C78" s="23" t="s">
        <v>2</v>
      </c>
      <c r="D78" s="23" t="s">
        <v>3</v>
      </c>
      <c r="E78" s="23" t="s">
        <v>4</v>
      </c>
      <c r="F78" s="23" t="s">
        <v>5</v>
      </c>
      <c r="G78" s="23" t="s">
        <v>6</v>
      </c>
    </row>
    <row r="79" spans="1:7" x14ac:dyDescent="0.2">
      <c r="A79" s="24" t="s">
        <v>7</v>
      </c>
      <c r="B79" s="14" t="s">
        <v>8</v>
      </c>
      <c r="C79" s="14" t="s">
        <v>9</v>
      </c>
      <c r="D79" s="14" t="s">
        <v>21</v>
      </c>
      <c r="E79" s="14" t="s">
        <v>10</v>
      </c>
      <c r="F79" s="14" t="s">
        <v>11</v>
      </c>
      <c r="G79" s="14" t="s">
        <v>11</v>
      </c>
    </row>
    <row r="80" spans="1:7" x14ac:dyDescent="0.2">
      <c r="A80" s="21"/>
      <c r="B80" s="25"/>
      <c r="C80" s="25"/>
      <c r="D80" s="25"/>
      <c r="E80" s="25"/>
      <c r="F80" s="25"/>
      <c r="G80" s="25"/>
    </row>
    <row r="81" spans="1:7" x14ac:dyDescent="0.2">
      <c r="A81" s="26">
        <v>2021</v>
      </c>
      <c r="B81" s="25"/>
      <c r="C81" s="25"/>
      <c r="D81" s="25"/>
      <c r="E81" s="25"/>
      <c r="F81" s="25"/>
      <c r="G81" s="25"/>
    </row>
    <row r="82" spans="1:7" x14ac:dyDescent="0.2">
      <c r="A82" s="22">
        <v>44211</v>
      </c>
      <c r="B82" s="27">
        <f>93144.57</f>
        <v>93144.57</v>
      </c>
      <c r="C82" s="27">
        <f>174048.28</f>
        <v>174048.28</v>
      </c>
      <c r="D82" s="27">
        <f>453353.02</f>
        <v>453353.02</v>
      </c>
      <c r="E82" s="27">
        <f>119641.83</f>
        <v>119641.83</v>
      </c>
      <c r="F82" s="27">
        <f t="shared" ref="F82:F93" si="11">SUM(B82:E82)</f>
        <v>840187.7</v>
      </c>
      <c r="G82" s="27">
        <f>SUM(F82)</f>
        <v>840187.7</v>
      </c>
    </row>
    <row r="83" spans="1:7" x14ac:dyDescent="0.2">
      <c r="A83" s="22">
        <v>44242</v>
      </c>
      <c r="B83" s="27">
        <f>332630.22</f>
        <v>332630.21999999997</v>
      </c>
      <c r="C83" s="27">
        <f>577856.26</f>
        <v>577856.26</v>
      </c>
      <c r="D83" s="27">
        <f>1333539.23</f>
        <v>1333539.23</v>
      </c>
      <c r="E83" s="27">
        <f>112069.64</f>
        <v>112069.64</v>
      </c>
      <c r="F83" s="27">
        <f t="shared" si="11"/>
        <v>2356095.35</v>
      </c>
      <c r="G83" s="27">
        <f>G82+F83</f>
        <v>3196283.05</v>
      </c>
    </row>
    <row r="84" spans="1:7" x14ac:dyDescent="0.2">
      <c r="A84" s="22">
        <v>44270</v>
      </c>
      <c r="B84" s="27">
        <f>101261.42</f>
        <v>101261.42</v>
      </c>
      <c r="C84" s="27">
        <f>157579.19</f>
        <v>157579.19</v>
      </c>
      <c r="D84" s="27">
        <f>445070.78</f>
        <v>445070.78</v>
      </c>
      <c r="E84" s="27">
        <f>96630.46</f>
        <v>96630.46</v>
      </c>
      <c r="F84" s="27">
        <f t="shared" si="11"/>
        <v>800541.85</v>
      </c>
      <c r="G84" s="27">
        <f t="shared" ref="G84:G93" si="12">G83+F84</f>
        <v>3996824.9</v>
      </c>
    </row>
    <row r="85" spans="1:7" x14ac:dyDescent="0.2">
      <c r="A85" s="22">
        <v>44301</v>
      </c>
      <c r="B85" s="27">
        <f>121719.47</f>
        <v>121719.47</v>
      </c>
      <c r="C85" s="27">
        <f>180601.67</f>
        <v>180601.67</v>
      </c>
      <c r="D85" s="27">
        <f>460458.24</f>
        <v>460458.23999999999</v>
      </c>
      <c r="E85" s="27">
        <f>97732.45</f>
        <v>97732.45</v>
      </c>
      <c r="F85" s="27">
        <f t="shared" si="11"/>
        <v>860511.83</v>
      </c>
      <c r="G85" s="27">
        <f t="shared" si="12"/>
        <v>4857336.7299999995</v>
      </c>
    </row>
    <row r="86" spans="1:7" x14ac:dyDescent="0.2">
      <c r="A86" s="22">
        <v>44331</v>
      </c>
      <c r="B86" s="27">
        <f>606070.91</f>
        <v>606070.91</v>
      </c>
      <c r="C86" s="27">
        <f>1023771.85</f>
        <v>1023771.85</v>
      </c>
      <c r="D86" s="27">
        <f>1330488.99</f>
        <v>1330488.99</v>
      </c>
      <c r="E86" s="27">
        <f>156644.44</f>
        <v>156644.44</v>
      </c>
      <c r="F86" s="27">
        <f t="shared" si="11"/>
        <v>3116976.19</v>
      </c>
      <c r="G86" s="27">
        <f t="shared" si="12"/>
        <v>7974312.9199999999</v>
      </c>
    </row>
    <row r="87" spans="1:7" x14ac:dyDescent="0.2">
      <c r="A87" s="22">
        <v>44362</v>
      </c>
      <c r="B87" s="27">
        <f>205706.69</f>
        <v>205706.69</v>
      </c>
      <c r="C87" s="27">
        <f>340216.52</f>
        <v>340216.52</v>
      </c>
      <c r="D87" s="27">
        <f>524247.29</f>
        <v>524247.29</v>
      </c>
      <c r="E87" s="27">
        <f>180069.39</f>
        <v>180069.39</v>
      </c>
      <c r="F87" s="27">
        <f t="shared" si="11"/>
        <v>1250239.8900000001</v>
      </c>
      <c r="G87" s="27">
        <f t="shared" si="12"/>
        <v>9224552.8100000005</v>
      </c>
    </row>
    <row r="88" spans="1:7" x14ac:dyDescent="0.2">
      <c r="A88" s="22">
        <v>44392</v>
      </c>
      <c r="B88" s="27">
        <f>405964.86</f>
        <v>405964.86</v>
      </c>
      <c r="C88" s="27">
        <f>627203.84</f>
        <v>627203.83999999997</v>
      </c>
      <c r="D88" s="27">
        <f>642808.58</f>
        <v>642808.57999999996</v>
      </c>
      <c r="E88" s="27">
        <f>211407.74</f>
        <v>211407.74</v>
      </c>
      <c r="F88" s="27">
        <f t="shared" si="11"/>
        <v>1887385.0199999998</v>
      </c>
      <c r="G88" s="27">
        <f t="shared" si="12"/>
        <v>11111937.83</v>
      </c>
    </row>
    <row r="89" spans="1:7" x14ac:dyDescent="0.2">
      <c r="A89" s="22">
        <v>44423</v>
      </c>
      <c r="B89" s="27">
        <f>951250.74</f>
        <v>951250.74</v>
      </c>
      <c r="C89" s="27">
        <f>1555932.25</f>
        <v>1555932.25</v>
      </c>
      <c r="D89" s="27">
        <f>1603334.47</f>
        <v>1603334.47</v>
      </c>
      <c r="E89" s="27">
        <f>287060.81</f>
        <v>287060.81</v>
      </c>
      <c r="F89" s="27">
        <f t="shared" si="11"/>
        <v>4397578.2699999996</v>
      </c>
      <c r="G89" s="27">
        <f t="shared" si="12"/>
        <v>15509516.1</v>
      </c>
    </row>
    <row r="90" spans="1:7" x14ac:dyDescent="0.2">
      <c r="A90" s="22">
        <v>44454</v>
      </c>
      <c r="B90" s="27">
        <f>419399.82</f>
        <v>419399.82</v>
      </c>
      <c r="C90" s="27">
        <f>768705.88</f>
        <v>768705.88</v>
      </c>
      <c r="D90" s="27">
        <f>698768.04</f>
        <v>698768.04</v>
      </c>
      <c r="E90" s="27">
        <f>336971.85</f>
        <v>336971.85</v>
      </c>
      <c r="F90" s="27">
        <f t="shared" si="11"/>
        <v>2223845.59</v>
      </c>
      <c r="G90" s="27">
        <f t="shared" si="12"/>
        <v>17733361.689999998</v>
      </c>
    </row>
    <row r="91" spans="1:7" x14ac:dyDescent="0.2">
      <c r="A91" s="22">
        <v>44484</v>
      </c>
      <c r="B91" s="27">
        <f>768725.24</f>
        <v>768725.24</v>
      </c>
      <c r="C91" s="27">
        <f>1360427.05</f>
        <v>1360427.05</v>
      </c>
      <c r="D91" s="27">
        <f>702423.92</f>
        <v>702423.92</v>
      </c>
      <c r="E91" s="27">
        <f>345702.59</f>
        <v>345702.59</v>
      </c>
      <c r="F91" s="27">
        <f t="shared" si="11"/>
        <v>3177278.8</v>
      </c>
      <c r="G91" s="27">
        <f t="shared" si="12"/>
        <v>20910640.489999998</v>
      </c>
    </row>
    <row r="92" spans="1:7" x14ac:dyDescent="0.2">
      <c r="A92" s="22">
        <v>44515</v>
      </c>
      <c r="B92" s="27">
        <f>1494955.31</f>
        <v>1494955.31</v>
      </c>
      <c r="C92" s="27">
        <f>2465990.13</f>
        <v>2465990.13</v>
      </c>
      <c r="D92" s="27">
        <f>1707342.09</f>
        <v>1707342.09</v>
      </c>
      <c r="E92" s="27">
        <f>194144.55</f>
        <v>194144.55</v>
      </c>
      <c r="F92" s="27">
        <f t="shared" si="11"/>
        <v>5862432.0800000001</v>
      </c>
      <c r="G92" s="27">
        <f t="shared" si="12"/>
        <v>26773072.57</v>
      </c>
    </row>
    <row r="93" spans="1:7" x14ac:dyDescent="0.2">
      <c r="A93" s="22">
        <v>44545</v>
      </c>
      <c r="B93" s="27">
        <f>367194.95</f>
        <v>367194.95</v>
      </c>
      <c r="C93" s="27">
        <f>704385.71</f>
        <v>704385.71</v>
      </c>
      <c r="D93" s="27">
        <f>702391.4</f>
        <v>702391.4</v>
      </c>
      <c r="E93" s="27">
        <f>263027.55</f>
        <v>263027.55</v>
      </c>
      <c r="F93" s="27">
        <f t="shared" si="11"/>
        <v>2036999.61</v>
      </c>
      <c r="G93" s="27">
        <f t="shared" si="12"/>
        <v>28810072.18</v>
      </c>
    </row>
    <row r="94" spans="1:7" x14ac:dyDescent="0.2">
      <c r="A94" s="19" t="s">
        <v>27</v>
      </c>
      <c r="B94" s="14">
        <f>SUM(B82:B93)</f>
        <v>5868024.2000000002</v>
      </c>
      <c r="C94" s="14">
        <f>SUM(C82:C93)</f>
        <v>9936718.629999999</v>
      </c>
      <c r="D94" s="14">
        <f>SUM(D82:D93)</f>
        <v>10604226.050000001</v>
      </c>
      <c r="E94" s="14">
        <f>SUM(E82:E93)</f>
        <v>2401103.2999999998</v>
      </c>
      <c r="F94" s="14">
        <f>SUM(F82:F93)</f>
        <v>28810072.18</v>
      </c>
      <c r="G94" s="25"/>
    </row>
    <row r="96" spans="1:7" x14ac:dyDescent="0.2">
      <c r="A96" s="22"/>
      <c r="B96" s="23" t="s">
        <v>1</v>
      </c>
      <c r="C96" s="23" t="s">
        <v>2</v>
      </c>
      <c r="D96" s="23" t="s">
        <v>3</v>
      </c>
      <c r="E96" s="23" t="s">
        <v>4</v>
      </c>
      <c r="F96" s="23" t="s">
        <v>5</v>
      </c>
      <c r="G96" s="23" t="s">
        <v>6</v>
      </c>
    </row>
    <row r="97" spans="1:7" x14ac:dyDescent="0.2">
      <c r="A97" s="24" t="s">
        <v>7</v>
      </c>
      <c r="B97" s="14" t="s">
        <v>8</v>
      </c>
      <c r="C97" s="14" t="s">
        <v>9</v>
      </c>
      <c r="D97" s="14" t="s">
        <v>21</v>
      </c>
      <c r="E97" s="14" t="s">
        <v>10</v>
      </c>
      <c r="F97" s="14" t="s">
        <v>11</v>
      </c>
      <c r="G97" s="14" t="s">
        <v>11</v>
      </c>
    </row>
    <row r="98" spans="1:7" x14ac:dyDescent="0.2">
      <c r="A98" s="21"/>
      <c r="B98" s="25"/>
      <c r="C98" s="25"/>
      <c r="D98" s="25"/>
      <c r="E98" s="25"/>
      <c r="F98" s="25"/>
      <c r="G98" s="25"/>
    </row>
    <row r="99" spans="1:7" x14ac:dyDescent="0.2">
      <c r="A99" s="26">
        <v>2020</v>
      </c>
      <c r="B99" s="25"/>
      <c r="C99" s="25"/>
      <c r="D99" s="25"/>
      <c r="E99" s="25"/>
      <c r="F99" s="25"/>
      <c r="G99" s="25"/>
    </row>
    <row r="100" spans="1:7" x14ac:dyDescent="0.2">
      <c r="A100" s="22">
        <v>43845</v>
      </c>
      <c r="B100" s="27">
        <f>363731.59</f>
        <v>363731.59</v>
      </c>
      <c r="C100" s="27">
        <f>793086.63</f>
        <v>793086.63</v>
      </c>
      <c r="D100" s="27">
        <f>625553.16</f>
        <v>625553.16</v>
      </c>
      <c r="E100" s="27">
        <f>278987.65</f>
        <v>278987.65000000002</v>
      </c>
      <c r="F100" s="27">
        <f t="shared" ref="F100:F111" si="13">SUM(B100:E100)</f>
        <v>2061359.0299999998</v>
      </c>
      <c r="G100" s="27">
        <f>SUM(F100)</f>
        <v>2061359.0299999998</v>
      </c>
    </row>
    <row r="101" spans="1:7" x14ac:dyDescent="0.2">
      <c r="A101" s="22">
        <v>43876</v>
      </c>
      <c r="B101" s="27">
        <f>798292.3</f>
        <v>798292.3</v>
      </c>
      <c r="C101" s="27">
        <f>1530912.33</f>
        <v>1530912.33</v>
      </c>
      <c r="D101" s="27">
        <f>1689874.97</f>
        <v>1689874.97</v>
      </c>
      <c r="E101" s="27">
        <f>154368.5</f>
        <v>154368.5</v>
      </c>
      <c r="F101" s="27">
        <f t="shared" si="13"/>
        <v>4173448.0999999996</v>
      </c>
      <c r="G101" s="27">
        <f>G100+F101</f>
        <v>6234807.129999999</v>
      </c>
    </row>
    <row r="102" spans="1:7" x14ac:dyDescent="0.2">
      <c r="A102" s="22">
        <v>43905</v>
      </c>
      <c r="B102" s="27">
        <f>217619.66</f>
        <v>217619.66</v>
      </c>
      <c r="C102" s="27">
        <f>467489.96</f>
        <v>467489.96</v>
      </c>
      <c r="D102" s="27">
        <f>668485.18</f>
        <v>668485.18000000005</v>
      </c>
      <c r="E102" s="27">
        <f>175252.63</f>
        <v>175252.63</v>
      </c>
      <c r="F102" s="27">
        <f t="shared" si="13"/>
        <v>1528847.4300000002</v>
      </c>
      <c r="G102" s="27">
        <f t="shared" ref="G102:G111" si="14">G101+F102</f>
        <v>7763654.5599999987</v>
      </c>
    </row>
    <row r="103" spans="1:7" x14ac:dyDescent="0.2">
      <c r="A103" s="22">
        <v>43936</v>
      </c>
      <c r="B103" s="27">
        <f>195011.67</f>
        <v>195011.67</v>
      </c>
      <c r="C103" s="27">
        <f>417412.32</f>
        <v>417412.32</v>
      </c>
      <c r="D103" s="27">
        <f>532242.75</f>
        <v>532242.75</v>
      </c>
      <c r="E103" s="27">
        <f>165551.18</f>
        <v>165551.18</v>
      </c>
      <c r="F103" s="27">
        <f t="shared" si="13"/>
        <v>1310217.92</v>
      </c>
      <c r="G103" s="27">
        <f t="shared" si="14"/>
        <v>9073872.4799999986</v>
      </c>
    </row>
    <row r="104" spans="1:7" x14ac:dyDescent="0.2">
      <c r="A104" s="22">
        <v>43966</v>
      </c>
      <c r="B104" s="27">
        <f>343713.11</f>
        <v>343713.11</v>
      </c>
      <c r="C104" s="27">
        <f>630282.8</f>
        <v>630282.80000000005</v>
      </c>
      <c r="D104" s="27">
        <f>1005775.13</f>
        <v>1005775.13</v>
      </c>
      <c r="E104" s="27">
        <f>110726.58</f>
        <v>110726.58</v>
      </c>
      <c r="F104" s="27">
        <f t="shared" si="13"/>
        <v>2090497.62</v>
      </c>
      <c r="G104" s="27">
        <f t="shared" si="14"/>
        <v>11164370.099999998</v>
      </c>
    </row>
    <row r="105" spans="1:7" x14ac:dyDescent="0.2">
      <c r="A105" s="22">
        <v>43997</v>
      </c>
      <c r="B105" s="27">
        <v>333977.06</v>
      </c>
      <c r="C105" s="27">
        <v>716803.49</v>
      </c>
      <c r="D105" s="27">
        <v>451889.87</v>
      </c>
      <c r="E105" s="27">
        <v>69082.13</v>
      </c>
      <c r="F105" s="27">
        <f t="shared" si="13"/>
        <v>1571752.5499999998</v>
      </c>
      <c r="G105" s="27">
        <f t="shared" si="14"/>
        <v>12736122.649999999</v>
      </c>
    </row>
    <row r="106" spans="1:7" x14ac:dyDescent="0.2">
      <c r="A106" s="22">
        <v>44027</v>
      </c>
      <c r="B106" s="27">
        <f>71581.97</f>
        <v>71581.97</v>
      </c>
      <c r="C106" s="27">
        <f>109868.66</f>
        <v>109868.66</v>
      </c>
      <c r="D106" s="27">
        <f>404905.74</f>
        <v>404905.74</v>
      </c>
      <c r="E106" s="27">
        <f>67506</f>
        <v>67506</v>
      </c>
      <c r="F106" s="27">
        <f t="shared" si="13"/>
        <v>653862.37</v>
      </c>
      <c r="G106" s="27">
        <f t="shared" si="14"/>
        <v>13389985.019999998</v>
      </c>
    </row>
    <row r="107" spans="1:7" x14ac:dyDescent="0.2">
      <c r="A107" s="22">
        <v>44058</v>
      </c>
      <c r="B107" s="27">
        <v>226053.01</v>
      </c>
      <c r="C107" s="27">
        <v>356808.28</v>
      </c>
      <c r="D107" s="27">
        <v>959165.46</v>
      </c>
      <c r="E107" s="27">
        <v>119370.73</v>
      </c>
      <c r="F107" s="27">
        <f t="shared" si="13"/>
        <v>1661397.48</v>
      </c>
      <c r="G107" s="27">
        <f t="shared" si="14"/>
        <v>15051382.499999998</v>
      </c>
    </row>
    <row r="108" spans="1:7" x14ac:dyDescent="0.2">
      <c r="A108" s="22">
        <v>44089</v>
      </c>
      <c r="B108" s="27">
        <v>104057.15</v>
      </c>
      <c r="C108" s="27">
        <v>310738.28999999998</v>
      </c>
      <c r="D108" s="27">
        <v>519155.72</v>
      </c>
      <c r="E108" s="27">
        <v>177366.68</v>
      </c>
      <c r="F108" s="27">
        <f t="shared" si="13"/>
        <v>1111317.8399999999</v>
      </c>
      <c r="G108" s="27">
        <f t="shared" si="14"/>
        <v>16162700.339999998</v>
      </c>
    </row>
    <row r="109" spans="1:7" x14ac:dyDescent="0.2">
      <c r="A109" s="22">
        <v>44119</v>
      </c>
      <c r="B109" s="27">
        <f>152095.91</f>
        <v>152095.91</v>
      </c>
      <c r="C109" s="27">
        <f>232883.85</f>
        <v>232883.85</v>
      </c>
      <c r="D109" s="27">
        <f>525391.81</f>
        <v>525391.81000000006</v>
      </c>
      <c r="E109" s="27">
        <f>193544.99</f>
        <v>193544.99</v>
      </c>
      <c r="F109" s="27">
        <f t="shared" si="13"/>
        <v>1103916.56</v>
      </c>
      <c r="G109" s="27">
        <f t="shared" si="14"/>
        <v>17266616.899999999</v>
      </c>
    </row>
    <row r="110" spans="1:7" x14ac:dyDescent="0.2">
      <c r="A110" s="22">
        <v>44150</v>
      </c>
      <c r="B110" s="27">
        <f>449200.95</f>
        <v>449200.95</v>
      </c>
      <c r="C110" s="27">
        <f>791530.33</f>
        <v>791530.33</v>
      </c>
      <c r="D110" s="27">
        <f>1213129.38</f>
        <v>1213129.3799999999</v>
      </c>
      <c r="E110" s="27">
        <f>153186.86</f>
        <v>153186.85999999999</v>
      </c>
      <c r="F110" s="27">
        <f t="shared" si="13"/>
        <v>2607047.52</v>
      </c>
      <c r="G110" s="27">
        <f t="shared" si="14"/>
        <v>19873664.419999998</v>
      </c>
    </row>
    <row r="111" spans="1:7" x14ac:dyDescent="0.2">
      <c r="A111" s="22">
        <v>44180</v>
      </c>
      <c r="B111" s="27">
        <f>93576.22</f>
        <v>93576.22</v>
      </c>
      <c r="C111" s="27">
        <f>189352.72</f>
        <v>189352.72</v>
      </c>
      <c r="D111" s="27">
        <f>503451.41</f>
        <v>503451.41</v>
      </c>
      <c r="E111" s="27">
        <f>149494.62</f>
        <v>149494.62</v>
      </c>
      <c r="F111" s="27">
        <f t="shared" si="13"/>
        <v>935874.97</v>
      </c>
      <c r="G111" s="27">
        <f t="shared" si="14"/>
        <v>20809539.389999997</v>
      </c>
    </row>
    <row r="112" spans="1:7" x14ac:dyDescent="0.2">
      <c r="A112" s="19" t="s">
        <v>26</v>
      </c>
      <c r="B112" s="14">
        <f>SUM(B100:B111)</f>
        <v>3348910.6000000006</v>
      </c>
      <c r="C112" s="14">
        <f>SUM(C100:C111)</f>
        <v>6547169.6600000001</v>
      </c>
      <c r="D112" s="14">
        <f>SUM(D100:D111)</f>
        <v>9099020.5800000019</v>
      </c>
      <c r="E112" s="14">
        <f>SUM(E100:E111)</f>
        <v>1814438.5499999998</v>
      </c>
      <c r="F112" s="14">
        <f>SUM(F100:F111)</f>
        <v>20809539.389999997</v>
      </c>
      <c r="G112" s="25"/>
    </row>
    <row r="114" spans="1:7" x14ac:dyDescent="0.2">
      <c r="A114" s="22"/>
      <c r="B114" s="23" t="s">
        <v>1</v>
      </c>
      <c r="C114" s="23" t="s">
        <v>2</v>
      </c>
      <c r="D114" s="23" t="s">
        <v>3</v>
      </c>
      <c r="E114" s="23" t="s">
        <v>4</v>
      </c>
      <c r="F114" s="23" t="s">
        <v>5</v>
      </c>
      <c r="G114" s="23" t="s">
        <v>6</v>
      </c>
    </row>
    <row r="115" spans="1:7" x14ac:dyDescent="0.2">
      <c r="A115" s="24" t="s">
        <v>7</v>
      </c>
      <c r="B115" s="14" t="s">
        <v>8</v>
      </c>
      <c r="C115" s="14" t="s">
        <v>9</v>
      </c>
      <c r="D115" s="14" t="s">
        <v>21</v>
      </c>
      <c r="E115" s="14" t="s">
        <v>10</v>
      </c>
      <c r="F115" s="14" t="s">
        <v>11</v>
      </c>
      <c r="G115" s="14" t="s">
        <v>11</v>
      </c>
    </row>
    <row r="116" spans="1:7" x14ac:dyDescent="0.2">
      <c r="A116" s="21"/>
      <c r="B116" s="25"/>
      <c r="C116" s="25"/>
      <c r="D116" s="25"/>
      <c r="E116" s="25"/>
      <c r="F116" s="25"/>
      <c r="G116" s="25"/>
    </row>
    <row r="117" spans="1:7" x14ac:dyDescent="0.2">
      <c r="A117" s="26">
        <v>2019</v>
      </c>
      <c r="B117" s="25"/>
      <c r="C117" s="25"/>
      <c r="D117" s="25"/>
      <c r="E117" s="25"/>
      <c r="F117" s="25"/>
      <c r="G117" s="25"/>
    </row>
    <row r="118" spans="1:7" x14ac:dyDescent="0.2">
      <c r="A118" s="22">
        <v>43480</v>
      </c>
      <c r="B118" s="27">
        <f>236489.09</f>
        <v>236489.09</v>
      </c>
      <c r="C118" s="27">
        <f>522261.51</f>
        <v>522261.51</v>
      </c>
      <c r="D118" s="27">
        <f>582196.23</f>
        <v>582196.23</v>
      </c>
      <c r="E118" s="27">
        <f>291824.17</f>
        <v>291824.17</v>
      </c>
      <c r="F118" s="27">
        <f>SUM(B118:E118)</f>
        <v>1632771</v>
      </c>
      <c r="G118" s="27">
        <f>SUM(F118)</f>
        <v>1632771</v>
      </c>
    </row>
    <row r="119" spans="1:7" x14ac:dyDescent="0.2">
      <c r="A119" s="22">
        <v>43511</v>
      </c>
      <c r="B119" s="27">
        <f>844618.96</f>
        <v>844618.96</v>
      </c>
      <c r="C119" s="27">
        <f>1769682.83</f>
        <v>1769682.83</v>
      </c>
      <c r="D119" s="27">
        <f>1712534.49</f>
        <v>1712534.49</v>
      </c>
      <c r="E119" s="27">
        <f>190444.13</f>
        <v>190444.13</v>
      </c>
      <c r="F119" s="27">
        <f t="shared" ref="F119:F123" si="15">SUM(B119:E119)</f>
        <v>4517280.41</v>
      </c>
      <c r="G119" s="27">
        <f>G118+F119</f>
        <v>6150051.4100000001</v>
      </c>
    </row>
    <row r="120" spans="1:7" x14ac:dyDescent="0.2">
      <c r="A120" s="22">
        <v>43539</v>
      </c>
      <c r="B120" s="27">
        <f>269358.52</f>
        <v>269358.52</v>
      </c>
      <c r="C120" s="27">
        <f>594113.96</f>
        <v>594113.96</v>
      </c>
      <c r="D120" s="27">
        <f>583931.01</f>
        <v>583931.01</v>
      </c>
      <c r="E120" s="27">
        <f>146037.36</f>
        <v>146037.35999999999</v>
      </c>
      <c r="F120" s="27">
        <f t="shared" si="15"/>
        <v>1593440.85</v>
      </c>
      <c r="G120" s="27">
        <f t="shared" ref="G120:G127" si="16">G119+F120</f>
        <v>7743492.2599999998</v>
      </c>
    </row>
    <row r="121" spans="1:7" x14ac:dyDescent="0.2">
      <c r="A121" s="22">
        <v>43570</v>
      </c>
      <c r="B121" s="27">
        <f>324184.94</f>
        <v>324184.94</v>
      </c>
      <c r="C121" s="27">
        <f>613467.27</f>
        <v>613467.27</v>
      </c>
      <c r="D121" s="27">
        <f>569038.9</f>
        <v>569038.9</v>
      </c>
      <c r="E121" s="27">
        <f>161645.45</f>
        <v>161645.45000000001</v>
      </c>
      <c r="F121" s="27">
        <f t="shared" si="15"/>
        <v>1668336.5599999998</v>
      </c>
      <c r="G121" s="27">
        <f t="shared" si="16"/>
        <v>9411828.8200000003</v>
      </c>
    </row>
    <row r="122" spans="1:7" x14ac:dyDescent="0.2">
      <c r="A122" s="22">
        <v>43600</v>
      </c>
      <c r="B122" s="27">
        <f>832827.86</f>
        <v>832827.86</v>
      </c>
      <c r="C122" s="27">
        <f>1687553.93</f>
        <v>1687553.93</v>
      </c>
      <c r="D122" s="27">
        <f>1516822.2</f>
        <v>1516822.2</v>
      </c>
      <c r="E122" s="27">
        <f>203229.4</f>
        <v>203229.4</v>
      </c>
      <c r="F122" s="27">
        <f t="shared" si="15"/>
        <v>4240433.3900000006</v>
      </c>
      <c r="G122" s="27">
        <f t="shared" si="16"/>
        <v>13652262.210000001</v>
      </c>
    </row>
    <row r="123" spans="1:7" x14ac:dyDescent="0.2">
      <c r="A123" s="22">
        <v>43631</v>
      </c>
      <c r="B123" s="27">
        <f>351781.62</f>
        <v>351781.62</v>
      </c>
      <c r="C123" s="27">
        <f>750025.13</f>
        <v>750025.13</v>
      </c>
      <c r="D123" s="27">
        <f>668014.05</f>
        <v>668014.05000000005</v>
      </c>
      <c r="E123" s="27">
        <f>198492.75</f>
        <v>198492.75</v>
      </c>
      <c r="F123" s="27">
        <f t="shared" si="15"/>
        <v>1968313.55</v>
      </c>
      <c r="G123" s="27">
        <f t="shared" si="16"/>
        <v>15620575.760000002</v>
      </c>
    </row>
    <row r="124" spans="1:7" x14ac:dyDescent="0.2">
      <c r="A124" s="22">
        <v>43661</v>
      </c>
      <c r="B124" s="27">
        <f>376274.85</f>
        <v>376274.85</v>
      </c>
      <c r="C124" s="27">
        <f>839253.83</f>
        <v>839253.83</v>
      </c>
      <c r="D124" s="27">
        <f>778640.47</f>
        <v>778640.47</v>
      </c>
      <c r="E124" s="27">
        <f>233425.94</f>
        <v>233425.94</v>
      </c>
      <c r="F124" s="27">
        <f t="shared" ref="F124:F129" si="17">SUM(B124:E124)</f>
        <v>2227595.09</v>
      </c>
      <c r="G124" s="27">
        <f t="shared" si="16"/>
        <v>17848170.850000001</v>
      </c>
    </row>
    <row r="125" spans="1:7" x14ac:dyDescent="0.2">
      <c r="A125" s="22">
        <v>43692</v>
      </c>
      <c r="B125" s="27">
        <f>1401842.59</f>
        <v>1401842.59</v>
      </c>
      <c r="C125" s="27">
        <f>2769636.82</f>
        <v>2769636.82</v>
      </c>
      <c r="D125" s="27">
        <f>1644359.77</f>
        <v>1644359.77</v>
      </c>
      <c r="E125" s="27">
        <f>287689.71</f>
        <v>287689.71000000002</v>
      </c>
      <c r="F125" s="27">
        <f t="shared" si="17"/>
        <v>6103528.8899999997</v>
      </c>
      <c r="G125" s="27">
        <f t="shared" si="16"/>
        <v>23951699.740000002</v>
      </c>
    </row>
    <row r="126" spans="1:7" x14ac:dyDescent="0.2">
      <c r="A126" s="22">
        <v>43723</v>
      </c>
      <c r="B126" s="27">
        <f>423053.03</f>
        <v>423053.03</v>
      </c>
      <c r="C126" s="27">
        <f>1027846.58</f>
        <v>1027846.58</v>
      </c>
      <c r="D126" s="27">
        <f>692267.48</f>
        <v>692267.48</v>
      </c>
      <c r="E126" s="27">
        <f>384870.87</f>
        <v>384870.87</v>
      </c>
      <c r="F126" s="27">
        <f t="shared" si="17"/>
        <v>2528037.96</v>
      </c>
      <c r="G126" s="27">
        <f t="shared" si="16"/>
        <v>26479737.700000003</v>
      </c>
    </row>
    <row r="127" spans="1:7" x14ac:dyDescent="0.2">
      <c r="A127" s="22">
        <v>43753</v>
      </c>
      <c r="B127" s="27">
        <f>541297.08</f>
        <v>541297.07999999996</v>
      </c>
      <c r="C127" s="27">
        <f>1046995.17</f>
        <v>1046995.17</v>
      </c>
      <c r="D127" s="27">
        <f>780066.17</f>
        <v>780066.17</v>
      </c>
      <c r="E127" s="27">
        <f>291454.71</f>
        <v>291454.71000000002</v>
      </c>
      <c r="F127" s="27">
        <f t="shared" si="17"/>
        <v>2659813.13</v>
      </c>
      <c r="G127" s="27">
        <f t="shared" si="16"/>
        <v>29139550.830000002</v>
      </c>
    </row>
    <row r="128" spans="1:7" x14ac:dyDescent="0.2">
      <c r="A128" s="22">
        <v>43784</v>
      </c>
      <c r="B128" s="27">
        <f>1427514.2</f>
        <v>1427514.2</v>
      </c>
      <c r="C128" s="27">
        <f>2985007.11</f>
        <v>2985007.11</v>
      </c>
      <c r="D128" s="27">
        <f>1652518.1</f>
        <v>1652518.1</v>
      </c>
      <c r="E128" s="27">
        <f>356793.21</f>
        <v>356793.21</v>
      </c>
      <c r="F128" s="27">
        <f t="shared" si="17"/>
        <v>6421832.6200000001</v>
      </c>
      <c r="G128" s="27">
        <f>G127+F128</f>
        <v>35561383.450000003</v>
      </c>
    </row>
    <row r="129" spans="1:7" x14ac:dyDescent="0.2">
      <c r="A129" s="22">
        <v>43814</v>
      </c>
      <c r="B129" s="27">
        <f>307816.61</f>
        <v>307816.61</v>
      </c>
      <c r="C129" s="27">
        <f>729421.58</f>
        <v>729421.58</v>
      </c>
      <c r="D129" s="27">
        <f>643420.78</f>
        <v>643420.78</v>
      </c>
      <c r="E129" s="27">
        <f>274196.58</f>
        <v>274196.58</v>
      </c>
      <c r="F129" s="27">
        <f t="shared" si="17"/>
        <v>1954855.55</v>
      </c>
      <c r="G129" s="27">
        <f>G128+F129</f>
        <v>37516239</v>
      </c>
    </row>
    <row r="130" spans="1:7" x14ac:dyDescent="0.2">
      <c r="A130" s="19" t="s">
        <v>25</v>
      </c>
      <c r="B130" s="14">
        <f>SUM(B118:B129)</f>
        <v>7337059.3500000015</v>
      </c>
      <c r="C130" s="14">
        <f>SUM(C118:C129)</f>
        <v>15335265.719999999</v>
      </c>
      <c r="D130" s="14">
        <f>SUM(D118:D129)</f>
        <v>11823809.649999999</v>
      </c>
      <c r="E130" s="14">
        <f>SUM(E118:E129)</f>
        <v>3020104.28</v>
      </c>
      <c r="F130" s="14">
        <f>SUM(F118:F129)</f>
        <v>37516239</v>
      </c>
      <c r="G130" s="25"/>
    </row>
    <row r="132" spans="1:7" x14ac:dyDescent="0.2">
      <c r="A132" s="22"/>
      <c r="B132" s="23" t="s">
        <v>1</v>
      </c>
      <c r="C132" s="23" t="s">
        <v>2</v>
      </c>
      <c r="D132" s="23" t="s">
        <v>3</v>
      </c>
      <c r="E132" s="23" t="s">
        <v>4</v>
      </c>
      <c r="F132" s="23" t="s">
        <v>5</v>
      </c>
      <c r="G132" s="23" t="s">
        <v>6</v>
      </c>
    </row>
    <row r="133" spans="1:7" x14ac:dyDescent="0.2">
      <c r="A133" s="24" t="s">
        <v>7</v>
      </c>
      <c r="B133" s="14" t="s">
        <v>8</v>
      </c>
      <c r="C133" s="14" t="s">
        <v>9</v>
      </c>
      <c r="D133" s="14" t="s">
        <v>21</v>
      </c>
      <c r="E133" s="14" t="s">
        <v>10</v>
      </c>
      <c r="F133" s="14" t="s">
        <v>11</v>
      </c>
      <c r="G133" s="14" t="s">
        <v>11</v>
      </c>
    </row>
    <row r="134" spans="1:7" x14ac:dyDescent="0.2">
      <c r="A134" s="21"/>
      <c r="B134" s="25"/>
      <c r="C134" s="25"/>
      <c r="D134" s="25"/>
      <c r="E134" s="25"/>
      <c r="F134" s="25"/>
      <c r="G134" s="25"/>
    </row>
    <row r="135" spans="1:7" x14ac:dyDescent="0.2">
      <c r="A135" s="26">
        <v>2018</v>
      </c>
      <c r="B135" s="25"/>
      <c r="C135" s="25"/>
      <c r="D135" s="25"/>
      <c r="E135" s="25"/>
      <c r="F135" s="25"/>
      <c r="G135" s="25"/>
    </row>
    <row r="136" spans="1:7" x14ac:dyDescent="0.2">
      <c r="A136" s="22">
        <v>43115</v>
      </c>
      <c r="B136" s="27">
        <f>335527.39</f>
        <v>335527.39</v>
      </c>
      <c r="C136" s="27">
        <f>662008.54</f>
        <v>662008.54</v>
      </c>
      <c r="D136" s="27">
        <f>542275.62</f>
        <v>542275.62</v>
      </c>
      <c r="E136" s="27">
        <f>201133.98</f>
        <v>201133.98</v>
      </c>
      <c r="F136" s="27">
        <f t="shared" ref="F136:F147" si="18">SUM(B136:E136)</f>
        <v>1740945.53</v>
      </c>
      <c r="G136" s="27">
        <f>SUM(F136)</f>
        <v>1740945.53</v>
      </c>
    </row>
    <row r="137" spans="1:7" x14ac:dyDescent="0.2">
      <c r="A137" s="22">
        <v>43146</v>
      </c>
      <c r="B137" s="27">
        <f>606259.12</f>
        <v>606259.12</v>
      </c>
      <c r="C137" s="27">
        <f>1281664.03</f>
        <v>1281664.03</v>
      </c>
      <c r="D137" s="27">
        <f>1641232.38</f>
        <v>1641232.38</v>
      </c>
      <c r="E137" s="27">
        <f>175093.05</f>
        <v>175093.05</v>
      </c>
      <c r="F137" s="27">
        <f t="shared" si="18"/>
        <v>3704248.5799999996</v>
      </c>
      <c r="G137" s="27">
        <f>G136+F137</f>
        <v>5445194.1099999994</v>
      </c>
    </row>
    <row r="138" spans="1:7" x14ac:dyDescent="0.2">
      <c r="A138" s="22">
        <v>43174</v>
      </c>
      <c r="B138" s="27">
        <f>281243.23</f>
        <v>281243.23</v>
      </c>
      <c r="C138" s="27">
        <f>641425.25</f>
        <v>641425.25</v>
      </c>
      <c r="D138" s="27">
        <f>606897.56</f>
        <v>606897.56000000006</v>
      </c>
      <c r="E138" s="27">
        <f>161406.44</f>
        <v>161406.44</v>
      </c>
      <c r="F138" s="27">
        <f t="shared" si="18"/>
        <v>1690972.48</v>
      </c>
      <c r="G138" s="27">
        <f>F138+G137</f>
        <v>7136166.5899999999</v>
      </c>
    </row>
    <row r="139" spans="1:7" x14ac:dyDescent="0.2">
      <c r="A139" s="22">
        <v>43205</v>
      </c>
      <c r="B139" s="27">
        <f>337120.33</f>
        <v>337120.33</v>
      </c>
      <c r="C139" s="27">
        <f>617284.5</f>
        <v>617284.5</v>
      </c>
      <c r="D139" s="27">
        <f>586129.97</f>
        <v>586129.97</v>
      </c>
      <c r="E139" s="27">
        <f>158839.63</f>
        <v>158839.63</v>
      </c>
      <c r="F139" s="27">
        <f t="shared" si="18"/>
        <v>1699374.4300000002</v>
      </c>
      <c r="G139" s="27">
        <f t="shared" ref="G139:G143" si="19">F139+G138</f>
        <v>8835541.0199999996</v>
      </c>
    </row>
    <row r="140" spans="1:7" x14ac:dyDescent="0.2">
      <c r="A140" s="22">
        <v>43235</v>
      </c>
      <c r="B140" s="27">
        <f>669103</f>
        <v>669103</v>
      </c>
      <c r="C140" s="27">
        <f>1432511.48</f>
        <v>1432511.48</v>
      </c>
      <c r="D140" s="27">
        <f>1442739.4</f>
        <v>1442739.4</v>
      </c>
      <c r="E140" s="27">
        <f>182367.69</f>
        <v>182367.69</v>
      </c>
      <c r="F140" s="27">
        <f t="shared" si="18"/>
        <v>3726721.57</v>
      </c>
      <c r="G140" s="27">
        <f t="shared" si="19"/>
        <v>12562262.59</v>
      </c>
    </row>
    <row r="141" spans="1:7" x14ac:dyDescent="0.2">
      <c r="A141" s="22">
        <v>43266</v>
      </c>
      <c r="B141" s="27">
        <v>402018.84</v>
      </c>
      <c r="C141" s="27">
        <v>814415.87</v>
      </c>
      <c r="D141" s="27">
        <v>642563.71</v>
      </c>
      <c r="E141" s="27">
        <v>190816.17</v>
      </c>
      <c r="F141" s="27">
        <f t="shared" si="18"/>
        <v>2049814.5899999999</v>
      </c>
      <c r="G141" s="27">
        <f t="shared" si="19"/>
        <v>14612077.18</v>
      </c>
    </row>
    <row r="142" spans="1:7" x14ac:dyDescent="0.2">
      <c r="A142" s="22">
        <v>43296</v>
      </c>
      <c r="B142" s="27">
        <f>449682.86</f>
        <v>449682.86</v>
      </c>
      <c r="C142" s="27">
        <f>762155.3</f>
        <v>762155.3</v>
      </c>
      <c r="D142" s="27">
        <f>653732.31</f>
        <v>653732.31000000006</v>
      </c>
      <c r="E142" s="27">
        <f>228194.61</f>
        <v>228194.61</v>
      </c>
      <c r="F142" s="27">
        <f t="shared" si="18"/>
        <v>2093765.08</v>
      </c>
      <c r="G142" s="27">
        <f t="shared" si="19"/>
        <v>16705842.26</v>
      </c>
    </row>
    <row r="143" spans="1:7" x14ac:dyDescent="0.2">
      <c r="A143" s="22">
        <v>43327</v>
      </c>
      <c r="B143" s="27">
        <f>1137442.96</f>
        <v>1137442.96</v>
      </c>
      <c r="C143" s="27">
        <f>2476941.83</f>
        <v>2476941.83</v>
      </c>
      <c r="D143" s="27">
        <f>1584340.68</f>
        <v>1584340.68</v>
      </c>
      <c r="E143" s="27">
        <f>228019.91</f>
        <v>228019.91</v>
      </c>
      <c r="F143" s="27">
        <f t="shared" si="18"/>
        <v>5426745.3799999999</v>
      </c>
      <c r="G143" s="27">
        <f t="shared" si="19"/>
        <v>22132587.640000001</v>
      </c>
    </row>
    <row r="144" spans="1:7" x14ac:dyDescent="0.2">
      <c r="A144" s="22">
        <v>43358</v>
      </c>
      <c r="B144" s="27">
        <f>446448.75</f>
        <v>446448.75</v>
      </c>
      <c r="C144" s="27">
        <f>997761.43</f>
        <v>997761.43</v>
      </c>
      <c r="D144" s="27">
        <f>715585.57</f>
        <v>715585.57</v>
      </c>
      <c r="E144" s="27">
        <f>377889.06</f>
        <v>377889.06</v>
      </c>
      <c r="F144" s="27">
        <f t="shared" si="18"/>
        <v>2537684.81</v>
      </c>
      <c r="G144" s="27">
        <f>F144+G143</f>
        <v>24670272.449999999</v>
      </c>
    </row>
    <row r="145" spans="1:7" x14ac:dyDescent="0.2">
      <c r="A145" s="22">
        <v>43388</v>
      </c>
      <c r="B145" s="27">
        <f>522560.52</f>
        <v>522560.52</v>
      </c>
      <c r="C145" s="27">
        <f>1022313.64</f>
        <v>1022313.64</v>
      </c>
      <c r="D145" s="27">
        <f>707009.74</f>
        <v>707009.74</v>
      </c>
      <c r="E145" s="27">
        <f>397276.93</f>
        <v>397276.93</v>
      </c>
      <c r="F145" s="27">
        <f t="shared" si="18"/>
        <v>2649160.8300000005</v>
      </c>
      <c r="G145" s="27">
        <f>F145+G144</f>
        <v>27319433.280000001</v>
      </c>
    </row>
    <row r="146" spans="1:7" x14ac:dyDescent="0.2">
      <c r="A146" s="22">
        <v>43419</v>
      </c>
      <c r="B146" s="27">
        <f>1280487.12</f>
        <v>1280487.1200000001</v>
      </c>
      <c r="C146" s="27">
        <f>2761985.43</f>
        <v>2761985.43</v>
      </c>
      <c r="D146" s="27">
        <f>1552069.31</f>
        <v>1552069.31</v>
      </c>
      <c r="E146" s="27">
        <f>267085.19</f>
        <v>267085.19</v>
      </c>
      <c r="F146" s="27">
        <f t="shared" si="18"/>
        <v>5861627.0500000007</v>
      </c>
      <c r="G146" s="27">
        <f>F146+G145</f>
        <v>33181060.330000002</v>
      </c>
    </row>
    <row r="147" spans="1:7" x14ac:dyDescent="0.2">
      <c r="A147" s="22">
        <v>43449</v>
      </c>
      <c r="B147" s="27">
        <f>391393.56</f>
        <v>391393.56</v>
      </c>
      <c r="C147" s="27">
        <f>892116.59</f>
        <v>892116.59</v>
      </c>
      <c r="D147" s="27">
        <f>671941.19</f>
        <v>671941.19</v>
      </c>
      <c r="E147" s="27">
        <f>183056.03</f>
        <v>183056.03</v>
      </c>
      <c r="F147" s="27">
        <f t="shared" si="18"/>
        <v>2138507.3699999996</v>
      </c>
      <c r="G147" s="27">
        <f>G146+F147</f>
        <v>35319567.700000003</v>
      </c>
    </row>
    <row r="148" spans="1:7" x14ac:dyDescent="0.2">
      <c r="A148" s="19" t="s">
        <v>24</v>
      </c>
      <c r="B148" s="14">
        <f>SUM(B136:B147)</f>
        <v>6859287.6799999997</v>
      </c>
      <c r="C148" s="14">
        <f>SUM(C136:C147)</f>
        <v>14362583.890000001</v>
      </c>
      <c r="D148" s="14">
        <f>SUM(D136:D147)</f>
        <v>11346517.439999999</v>
      </c>
      <c r="E148" s="14">
        <f>SUM(E136:E147)</f>
        <v>2751178.6899999995</v>
      </c>
      <c r="F148" s="14">
        <f>SUM(F136:F147)</f>
        <v>35319567.700000003</v>
      </c>
      <c r="G148" s="25"/>
    </row>
    <row r="150" spans="1:7" x14ac:dyDescent="0.2">
      <c r="A150" s="22"/>
      <c r="B150" s="23" t="s">
        <v>1</v>
      </c>
      <c r="C150" s="23" t="s">
        <v>2</v>
      </c>
      <c r="D150" s="23" t="s">
        <v>3</v>
      </c>
      <c r="E150" s="23" t="s">
        <v>4</v>
      </c>
      <c r="F150" s="23" t="s">
        <v>5</v>
      </c>
      <c r="G150" s="23" t="s">
        <v>6</v>
      </c>
    </row>
    <row r="151" spans="1:7" x14ac:dyDescent="0.2">
      <c r="A151" s="24" t="s">
        <v>7</v>
      </c>
      <c r="B151" s="14" t="s">
        <v>8</v>
      </c>
      <c r="C151" s="14" t="s">
        <v>9</v>
      </c>
      <c r="D151" s="14" t="s">
        <v>21</v>
      </c>
      <c r="E151" s="14" t="s">
        <v>10</v>
      </c>
      <c r="F151" s="14" t="s">
        <v>11</v>
      </c>
      <c r="G151" s="14" t="s">
        <v>11</v>
      </c>
    </row>
    <row r="152" spans="1:7" x14ac:dyDescent="0.2">
      <c r="A152" s="26">
        <v>2017</v>
      </c>
      <c r="B152" s="25"/>
      <c r="C152" s="25"/>
      <c r="D152" s="25"/>
      <c r="E152" s="25"/>
      <c r="F152" s="25"/>
      <c r="G152" s="25"/>
    </row>
    <row r="153" spans="1:7" x14ac:dyDescent="0.2">
      <c r="A153" s="22">
        <v>42750</v>
      </c>
      <c r="B153" s="27">
        <v>324781.07</v>
      </c>
      <c r="C153" s="27">
        <v>652037.25</v>
      </c>
      <c r="D153" s="27">
        <v>594969.38</v>
      </c>
      <c r="E153" s="27">
        <v>179894.8</v>
      </c>
      <c r="F153" s="27">
        <f t="shared" ref="F153:F164" si="20">SUM(B153:E153)</f>
        <v>1751682.5000000002</v>
      </c>
      <c r="G153" s="27">
        <f>SUM(F153)</f>
        <v>1751682.5000000002</v>
      </c>
    </row>
    <row r="154" spans="1:7" x14ac:dyDescent="0.2">
      <c r="A154" s="22">
        <v>42781</v>
      </c>
      <c r="B154" s="27">
        <v>555050.44999999995</v>
      </c>
      <c r="C154" s="27">
        <v>1205032</v>
      </c>
      <c r="D154" s="27">
        <v>1555775.68</v>
      </c>
      <c r="E154" s="27">
        <v>188700.33</v>
      </c>
      <c r="F154" s="27">
        <f t="shared" si="20"/>
        <v>3504558.46</v>
      </c>
      <c r="G154" s="27">
        <f>G153+F154</f>
        <v>5256240.96</v>
      </c>
    </row>
    <row r="155" spans="1:7" x14ac:dyDescent="0.2">
      <c r="A155" s="22">
        <v>42809</v>
      </c>
      <c r="B155" s="27">
        <v>246129.05</v>
      </c>
      <c r="C155" s="27">
        <v>527269.04</v>
      </c>
      <c r="D155" s="27">
        <v>594629.55000000005</v>
      </c>
      <c r="E155" s="27">
        <v>156454.85999999999</v>
      </c>
      <c r="F155" s="27">
        <f t="shared" si="20"/>
        <v>1524482.5</v>
      </c>
      <c r="G155" s="27">
        <f>F155+G154</f>
        <v>6780723.46</v>
      </c>
    </row>
    <row r="156" spans="1:7" x14ac:dyDescent="0.2">
      <c r="A156" s="22">
        <v>42840</v>
      </c>
      <c r="B156" s="27">
        <v>308531.13</v>
      </c>
      <c r="C156" s="27">
        <v>645830.19999999995</v>
      </c>
      <c r="D156" s="27">
        <v>562594.99</v>
      </c>
      <c r="E156" s="27">
        <v>139691.34</v>
      </c>
      <c r="F156" s="27">
        <f t="shared" si="20"/>
        <v>1656647.66</v>
      </c>
      <c r="G156" s="27">
        <f t="shared" ref="G156:G160" si="21">F156+G155</f>
        <v>8437371.1199999992</v>
      </c>
    </row>
    <row r="157" spans="1:7" x14ac:dyDescent="0.2">
      <c r="A157" s="22">
        <v>42870</v>
      </c>
      <c r="B157" s="27">
        <v>671049.27</v>
      </c>
      <c r="C157" s="27">
        <v>1405729.78</v>
      </c>
      <c r="D157" s="27">
        <v>1360238.23</v>
      </c>
      <c r="E157" s="27">
        <v>178659.45</v>
      </c>
      <c r="F157" s="27">
        <f t="shared" si="20"/>
        <v>3615676.7300000004</v>
      </c>
      <c r="G157" s="27">
        <f t="shared" si="21"/>
        <v>12053047.85</v>
      </c>
    </row>
    <row r="158" spans="1:7" x14ac:dyDescent="0.2">
      <c r="A158" s="22">
        <v>42901</v>
      </c>
      <c r="B158" s="27">
        <v>433573.9</v>
      </c>
      <c r="C158" s="27">
        <v>970181.38</v>
      </c>
      <c r="D158" s="27">
        <v>670426.56000000006</v>
      </c>
      <c r="E158" s="27">
        <v>186086.91</v>
      </c>
      <c r="F158" s="27">
        <f t="shared" si="20"/>
        <v>2260268.75</v>
      </c>
      <c r="G158" s="27">
        <f t="shared" si="21"/>
        <v>14313316.6</v>
      </c>
    </row>
    <row r="159" spans="1:7" x14ac:dyDescent="0.2">
      <c r="A159" s="22">
        <v>42931</v>
      </c>
      <c r="B159" s="27">
        <v>444505.06</v>
      </c>
      <c r="C159" s="27">
        <v>881103.44</v>
      </c>
      <c r="D159" s="27">
        <v>616176.27</v>
      </c>
      <c r="E159" s="27">
        <v>215392.52</v>
      </c>
      <c r="F159" s="27">
        <f t="shared" si="20"/>
        <v>2157177.29</v>
      </c>
      <c r="G159" s="27">
        <f t="shared" si="21"/>
        <v>16470493.890000001</v>
      </c>
    </row>
    <row r="160" spans="1:7" x14ac:dyDescent="0.2">
      <c r="A160" s="22">
        <v>42962</v>
      </c>
      <c r="B160" s="27">
        <v>1030096.7</v>
      </c>
      <c r="C160" s="27">
        <v>2188192.84</v>
      </c>
      <c r="D160" s="27">
        <v>1515917.03</v>
      </c>
      <c r="E160" s="27">
        <v>402621.41</v>
      </c>
      <c r="F160" s="27">
        <f t="shared" si="20"/>
        <v>5136827.9800000004</v>
      </c>
      <c r="G160" s="27">
        <f t="shared" si="21"/>
        <v>21607321.870000001</v>
      </c>
    </row>
    <row r="161" spans="1:7" x14ac:dyDescent="0.2">
      <c r="A161" s="22">
        <v>42993</v>
      </c>
      <c r="B161" s="27">
        <f>534772.51</f>
        <v>534772.51</v>
      </c>
      <c r="C161" s="27">
        <f>1149850.56</f>
        <v>1149850.56</v>
      </c>
      <c r="D161" s="27">
        <f>670734.48</f>
        <v>670734.48</v>
      </c>
      <c r="E161" s="27">
        <f>223787.35</f>
        <v>223787.35</v>
      </c>
      <c r="F161" s="27">
        <f t="shared" si="20"/>
        <v>2579144.9</v>
      </c>
      <c r="G161" s="27">
        <f>F161+G160</f>
        <v>24186466.77</v>
      </c>
    </row>
    <row r="162" spans="1:7" x14ac:dyDescent="0.2">
      <c r="A162" s="22">
        <v>43023</v>
      </c>
      <c r="B162" s="27">
        <f>561885.88</f>
        <v>561885.88</v>
      </c>
      <c r="C162" s="27">
        <f>1168266.74</f>
        <v>1168266.74</v>
      </c>
      <c r="D162" s="27">
        <f>700821.95</f>
        <v>700821.95</v>
      </c>
      <c r="E162" s="27">
        <f>321811.21</f>
        <v>321811.21000000002</v>
      </c>
      <c r="F162" s="27">
        <f t="shared" si="20"/>
        <v>2752785.7800000003</v>
      </c>
      <c r="G162" s="27">
        <f>F162+G161</f>
        <v>26939252.550000001</v>
      </c>
    </row>
    <row r="163" spans="1:7" x14ac:dyDescent="0.2">
      <c r="A163" s="22">
        <v>43054</v>
      </c>
      <c r="B163" s="27">
        <f>972109.04</f>
        <v>972109.04</v>
      </c>
      <c r="C163" s="27">
        <f>2162518.84</f>
        <v>2162518.84</v>
      </c>
      <c r="D163" s="27">
        <f>1545612.42</f>
        <v>1545612.42</v>
      </c>
      <c r="E163" s="27">
        <f>306869.26</f>
        <v>306869.26</v>
      </c>
      <c r="F163" s="27">
        <f t="shared" si="20"/>
        <v>4987109.5599999996</v>
      </c>
      <c r="G163" s="27">
        <f>F163+G162</f>
        <v>31926362.109999999</v>
      </c>
    </row>
    <row r="164" spans="1:7" x14ac:dyDescent="0.2">
      <c r="A164" s="22">
        <v>43084</v>
      </c>
      <c r="B164" s="27">
        <f>398762.63</f>
        <v>398762.63</v>
      </c>
      <c r="C164" s="27">
        <f>903900.96</f>
        <v>903900.96</v>
      </c>
      <c r="D164" s="27">
        <f>618046.86</f>
        <v>618046.86</v>
      </c>
      <c r="E164" s="27">
        <f>157046.74</f>
        <v>157046.74</v>
      </c>
      <c r="F164" s="27">
        <f t="shared" si="20"/>
        <v>2077757.1899999997</v>
      </c>
      <c r="G164" s="27">
        <f>G163+F164</f>
        <v>34004119.299999997</v>
      </c>
    </row>
    <row r="165" spans="1:7" x14ac:dyDescent="0.2">
      <c r="A165" s="19" t="s">
        <v>23</v>
      </c>
      <c r="B165" s="14">
        <f>SUM(B153:B164)</f>
        <v>6481246.6899999995</v>
      </c>
      <c r="C165" s="14">
        <f>SUM(C153:C164)</f>
        <v>13859913.030000001</v>
      </c>
      <c r="D165" s="14">
        <f>SUM(D153:D164)</f>
        <v>11005943.399999999</v>
      </c>
      <c r="E165" s="14">
        <f>SUM(E153:E164)</f>
        <v>2657016.1800000006</v>
      </c>
      <c r="F165" s="14">
        <f>SUM(F153:F164)</f>
        <v>34004119.299999997</v>
      </c>
      <c r="G165" s="25"/>
    </row>
    <row r="167" spans="1:7" x14ac:dyDescent="0.2">
      <c r="A167" s="22"/>
      <c r="B167" s="23" t="s">
        <v>1</v>
      </c>
      <c r="C167" s="23" t="s">
        <v>2</v>
      </c>
      <c r="D167" s="23" t="s">
        <v>3</v>
      </c>
      <c r="E167" s="23" t="s">
        <v>4</v>
      </c>
      <c r="F167" s="23" t="s">
        <v>5</v>
      </c>
      <c r="G167" s="23" t="s">
        <v>6</v>
      </c>
    </row>
    <row r="168" spans="1:7" x14ac:dyDescent="0.2">
      <c r="A168" s="24" t="s">
        <v>7</v>
      </c>
      <c r="B168" s="14" t="s">
        <v>8</v>
      </c>
      <c r="C168" s="14" t="s">
        <v>9</v>
      </c>
      <c r="D168" s="14" t="s">
        <v>21</v>
      </c>
      <c r="E168" s="14" t="s">
        <v>10</v>
      </c>
      <c r="F168" s="14" t="s">
        <v>11</v>
      </c>
      <c r="G168" s="14" t="s">
        <v>11</v>
      </c>
    </row>
    <row r="169" spans="1:7" x14ac:dyDescent="0.2">
      <c r="A169" s="26">
        <v>2016</v>
      </c>
      <c r="B169" s="25"/>
      <c r="C169" s="25"/>
      <c r="D169" s="25"/>
      <c r="E169" s="25"/>
      <c r="F169" s="25"/>
      <c r="G169" s="25"/>
    </row>
    <row r="170" spans="1:7" x14ac:dyDescent="0.2">
      <c r="A170" s="22">
        <v>42384</v>
      </c>
      <c r="B170" s="27">
        <v>307498.96000000002</v>
      </c>
      <c r="C170" s="27">
        <v>620947.93999999994</v>
      </c>
      <c r="D170" s="27">
        <v>533229.34</v>
      </c>
      <c r="E170" s="27">
        <v>176104.89</v>
      </c>
      <c r="F170" s="27">
        <f t="shared" ref="F170:F181" si="22">SUM(B170:E170)</f>
        <v>1637781.13</v>
      </c>
      <c r="G170" s="27">
        <f>SUM(F170)</f>
        <v>1637781.13</v>
      </c>
    </row>
    <row r="171" spans="1:7" x14ac:dyDescent="0.2">
      <c r="A171" s="22">
        <v>42415</v>
      </c>
      <c r="B171" s="27">
        <v>517624.61</v>
      </c>
      <c r="C171" s="27">
        <v>1103534.31</v>
      </c>
      <c r="D171" s="27">
        <v>1521133.18</v>
      </c>
      <c r="E171" s="27">
        <v>179621.23</v>
      </c>
      <c r="F171" s="27">
        <f t="shared" si="22"/>
        <v>3321913.3299999996</v>
      </c>
      <c r="G171" s="27">
        <f>G170+F171</f>
        <v>4959694.459999999</v>
      </c>
    </row>
    <row r="172" spans="1:7" x14ac:dyDescent="0.2">
      <c r="A172" s="22">
        <v>42444</v>
      </c>
      <c r="B172" s="27">
        <v>304594.71999999997</v>
      </c>
      <c r="C172" s="27">
        <v>670963.78</v>
      </c>
      <c r="D172" s="27">
        <v>550829.74</v>
      </c>
      <c r="E172" s="27">
        <v>150812.44</v>
      </c>
      <c r="F172" s="27">
        <f t="shared" si="22"/>
        <v>1677200.68</v>
      </c>
      <c r="G172" s="27">
        <f>F172+G171</f>
        <v>6636895.1399999987</v>
      </c>
    </row>
    <row r="173" spans="1:7" x14ac:dyDescent="0.2">
      <c r="A173" s="22">
        <v>42475</v>
      </c>
      <c r="B173" s="27">
        <v>286311.34999999998</v>
      </c>
      <c r="C173" s="27">
        <v>586655.31000000006</v>
      </c>
      <c r="D173" s="27">
        <v>618685.62</v>
      </c>
      <c r="E173" s="27">
        <v>154158.6</v>
      </c>
      <c r="F173" s="27">
        <f t="shared" si="22"/>
        <v>1645810.8800000001</v>
      </c>
      <c r="G173" s="27">
        <f t="shared" ref="G173:G177" si="23">F173+G172</f>
        <v>8282706.0199999986</v>
      </c>
    </row>
    <row r="174" spans="1:7" x14ac:dyDescent="0.2">
      <c r="A174" s="22">
        <v>42505</v>
      </c>
      <c r="B174" s="27">
        <v>593577.68000000005</v>
      </c>
      <c r="C174" s="27">
        <v>1283275.8899999999</v>
      </c>
      <c r="D174" s="27">
        <v>1296641.08</v>
      </c>
      <c r="E174" s="27">
        <v>182657.36</v>
      </c>
      <c r="F174" s="27">
        <f t="shared" si="22"/>
        <v>3356152.01</v>
      </c>
      <c r="G174" s="27">
        <f t="shared" si="23"/>
        <v>11638858.029999997</v>
      </c>
    </row>
    <row r="175" spans="1:7" x14ac:dyDescent="0.2">
      <c r="A175" s="22">
        <v>42536</v>
      </c>
      <c r="B175" s="27">
        <v>409553.77</v>
      </c>
      <c r="C175" s="27">
        <v>892034.38</v>
      </c>
      <c r="D175" s="27">
        <v>650428.64</v>
      </c>
      <c r="E175" s="27">
        <v>143121.75</v>
      </c>
      <c r="F175" s="27">
        <f t="shared" si="22"/>
        <v>2095138.54</v>
      </c>
      <c r="G175" s="27">
        <f t="shared" si="23"/>
        <v>13733996.569999997</v>
      </c>
    </row>
    <row r="176" spans="1:7" x14ac:dyDescent="0.2">
      <c r="A176" s="22">
        <v>42566</v>
      </c>
      <c r="B176" s="27">
        <v>445532.95</v>
      </c>
      <c r="C176" s="27">
        <v>963686.71</v>
      </c>
      <c r="D176" s="27">
        <v>623503.07999999996</v>
      </c>
      <c r="E176" s="27">
        <v>251902.25</v>
      </c>
      <c r="F176" s="27">
        <f t="shared" si="22"/>
        <v>2284624.9899999998</v>
      </c>
      <c r="G176" s="27">
        <f t="shared" si="23"/>
        <v>16018621.559999997</v>
      </c>
    </row>
    <row r="177" spans="1:7" x14ac:dyDescent="0.2">
      <c r="A177" s="22">
        <v>42597</v>
      </c>
      <c r="B177" s="27">
        <v>903826.15</v>
      </c>
      <c r="C177" s="27">
        <v>1961337.27</v>
      </c>
      <c r="D177" s="27">
        <v>1376659.7</v>
      </c>
      <c r="E177" s="27">
        <v>271951.45</v>
      </c>
      <c r="F177" s="27">
        <f t="shared" si="22"/>
        <v>4513774.57</v>
      </c>
      <c r="G177" s="27">
        <f t="shared" si="23"/>
        <v>20532396.129999995</v>
      </c>
    </row>
    <row r="178" spans="1:7" x14ac:dyDescent="0.2">
      <c r="A178" s="22">
        <v>42628</v>
      </c>
      <c r="B178" s="27">
        <v>537926.86</v>
      </c>
      <c r="C178" s="27">
        <v>1177306.31</v>
      </c>
      <c r="D178" s="27">
        <v>711795.87</v>
      </c>
      <c r="E178" s="27">
        <v>314109.13</v>
      </c>
      <c r="F178" s="27">
        <f t="shared" si="22"/>
        <v>2741138.17</v>
      </c>
      <c r="G178" s="27">
        <f>F178+G177</f>
        <v>23273534.299999997</v>
      </c>
    </row>
    <row r="179" spans="1:7" x14ac:dyDescent="0.2">
      <c r="A179" s="22">
        <v>42658</v>
      </c>
      <c r="B179" s="27">
        <v>469143.58</v>
      </c>
      <c r="C179" s="27">
        <v>955327.44</v>
      </c>
      <c r="D179" s="27">
        <v>636573.71</v>
      </c>
      <c r="E179" s="27">
        <v>317750.52</v>
      </c>
      <c r="F179" s="27">
        <f t="shared" si="22"/>
        <v>2378795.25</v>
      </c>
      <c r="G179" s="27">
        <f>F179+G178</f>
        <v>25652329.549999997</v>
      </c>
    </row>
    <row r="180" spans="1:7" x14ac:dyDescent="0.2">
      <c r="A180" s="22">
        <v>42689</v>
      </c>
      <c r="B180" s="27">
        <v>980630.81</v>
      </c>
      <c r="C180" s="27">
        <v>2130611.1</v>
      </c>
      <c r="D180" s="27">
        <v>1397646.61</v>
      </c>
      <c r="E180" s="27">
        <v>239424.81</v>
      </c>
      <c r="F180" s="27">
        <f t="shared" si="22"/>
        <v>4748313.33</v>
      </c>
      <c r="G180" s="27">
        <f>F180+G179</f>
        <v>30400642.879999995</v>
      </c>
    </row>
    <row r="181" spans="1:7" x14ac:dyDescent="0.2">
      <c r="A181" s="22">
        <v>42719</v>
      </c>
      <c r="B181" s="27">
        <v>407959.15</v>
      </c>
      <c r="C181" s="27">
        <v>929596.47</v>
      </c>
      <c r="D181" s="27">
        <v>593530.81999999995</v>
      </c>
      <c r="E181" s="27">
        <v>234133.51</v>
      </c>
      <c r="F181" s="27">
        <f t="shared" si="22"/>
        <v>2165219.9500000002</v>
      </c>
      <c r="G181" s="27">
        <f>G180+F181</f>
        <v>32565862.829999994</v>
      </c>
    </row>
    <row r="182" spans="1:7" x14ac:dyDescent="0.2">
      <c r="A182" s="19" t="s">
        <v>22</v>
      </c>
      <c r="B182" s="14">
        <f>SUM(B170:B181)</f>
        <v>6164180.5900000017</v>
      </c>
      <c r="C182" s="14">
        <f>SUM(C170:C181)</f>
        <v>13275276.91</v>
      </c>
      <c r="D182" s="14">
        <f>SUM(D170:D181)</f>
        <v>10510657.390000001</v>
      </c>
      <c r="E182" s="14">
        <f>SUM(E170:E181)</f>
        <v>2615747.9400000004</v>
      </c>
      <c r="F182" s="14">
        <f>SUM(F170:F181)</f>
        <v>32565862.829999994</v>
      </c>
      <c r="G182" s="25"/>
    </row>
    <row r="183" spans="1:7" x14ac:dyDescent="0.2">
      <c r="A183" s="21"/>
      <c r="B183" s="25"/>
      <c r="C183" s="25"/>
      <c r="D183" s="25"/>
      <c r="E183" s="25"/>
      <c r="F183" s="25"/>
      <c r="G183" s="25"/>
    </row>
    <row r="184" spans="1:7" x14ac:dyDescent="0.2">
      <c r="A184" s="26">
        <v>2015</v>
      </c>
      <c r="B184" s="25"/>
      <c r="C184" s="25"/>
      <c r="D184" s="25"/>
      <c r="E184" s="25"/>
      <c r="F184" s="25"/>
      <c r="G184" s="25"/>
    </row>
    <row r="185" spans="1:7" x14ac:dyDescent="0.2">
      <c r="A185" s="22">
        <v>42019</v>
      </c>
      <c r="B185" s="27">
        <v>329785.77</v>
      </c>
      <c r="C185" s="27">
        <v>704735.68</v>
      </c>
      <c r="D185" s="27">
        <v>563290.79</v>
      </c>
      <c r="E185" s="27">
        <v>169191.19</v>
      </c>
      <c r="F185" s="27">
        <f t="shared" ref="F185:F196" si="24">SUM(B185:E185)</f>
        <v>1767003.4300000002</v>
      </c>
      <c r="G185" s="27">
        <f>SUM(F185)</f>
        <v>1767003.4300000002</v>
      </c>
    </row>
    <row r="186" spans="1:7" x14ac:dyDescent="0.2">
      <c r="A186" s="22">
        <v>42050</v>
      </c>
      <c r="B186" s="27">
        <v>446393.36</v>
      </c>
      <c r="C186" s="27">
        <v>1014726.78</v>
      </c>
      <c r="D186" s="27">
        <v>1358706.34</v>
      </c>
      <c r="E186" s="27">
        <v>177803.86</v>
      </c>
      <c r="F186" s="27">
        <f t="shared" si="24"/>
        <v>2997630.3400000003</v>
      </c>
      <c r="G186" s="27">
        <f>G185+F186</f>
        <v>4764633.7700000005</v>
      </c>
    </row>
    <row r="187" spans="1:7" x14ac:dyDescent="0.2">
      <c r="A187" s="22">
        <v>42078</v>
      </c>
      <c r="B187" s="27">
        <v>286670.44</v>
      </c>
      <c r="C187" s="27">
        <v>636947.18000000005</v>
      </c>
      <c r="D187" s="27">
        <v>563149.67000000004</v>
      </c>
      <c r="E187" s="27">
        <v>151288.28</v>
      </c>
      <c r="F187" s="27">
        <f t="shared" si="24"/>
        <v>1638055.57</v>
      </c>
      <c r="G187" s="27">
        <f>F187+G186</f>
        <v>6402689.3400000008</v>
      </c>
    </row>
    <row r="188" spans="1:7" x14ac:dyDescent="0.2">
      <c r="A188" s="22">
        <v>42109</v>
      </c>
      <c r="B188" s="27">
        <v>306464.06</v>
      </c>
      <c r="C188" s="27">
        <v>624534.81000000006</v>
      </c>
      <c r="D188" s="27">
        <v>558867.18999999994</v>
      </c>
      <c r="E188" s="27">
        <v>141578.51</v>
      </c>
      <c r="F188" s="27">
        <f t="shared" si="24"/>
        <v>1631444.57</v>
      </c>
      <c r="G188" s="27">
        <f t="shared" ref="G188:G192" si="25">F188+G187</f>
        <v>8034133.9100000011</v>
      </c>
    </row>
    <row r="189" spans="1:7" x14ac:dyDescent="0.2">
      <c r="A189" s="22">
        <v>42139</v>
      </c>
      <c r="B189" s="27">
        <v>523222.75</v>
      </c>
      <c r="C189" s="27">
        <v>1150498.45</v>
      </c>
      <c r="D189" s="27">
        <v>1261460.46</v>
      </c>
      <c r="E189" s="27">
        <v>160376.51</v>
      </c>
      <c r="F189" s="27">
        <f t="shared" si="24"/>
        <v>3095558.17</v>
      </c>
      <c r="G189" s="27">
        <f t="shared" si="25"/>
        <v>11129692.080000002</v>
      </c>
    </row>
    <row r="190" spans="1:7" x14ac:dyDescent="0.2">
      <c r="A190" s="22">
        <v>42170</v>
      </c>
      <c r="B190" s="27">
        <v>368859.95</v>
      </c>
      <c r="C190" s="27">
        <v>845326.58</v>
      </c>
      <c r="D190" s="27">
        <v>624982.74</v>
      </c>
      <c r="E190" s="27">
        <v>183203.46</v>
      </c>
      <c r="F190" s="27">
        <f t="shared" si="24"/>
        <v>2022372.73</v>
      </c>
      <c r="G190" s="27">
        <f t="shared" si="25"/>
        <v>13152064.810000002</v>
      </c>
    </row>
    <row r="191" spans="1:7" x14ac:dyDescent="0.2">
      <c r="A191" s="22">
        <v>42200</v>
      </c>
      <c r="B191" s="27">
        <v>446787.86</v>
      </c>
      <c r="C191" s="27">
        <v>957175.75</v>
      </c>
      <c r="D191" s="27">
        <v>625180.73</v>
      </c>
      <c r="E191" s="27">
        <v>210614.26</v>
      </c>
      <c r="F191" s="27">
        <f t="shared" si="24"/>
        <v>2239758.5999999996</v>
      </c>
      <c r="G191" s="27">
        <f t="shared" si="25"/>
        <v>15391823.410000002</v>
      </c>
    </row>
    <row r="192" spans="1:7" x14ac:dyDescent="0.2">
      <c r="A192" s="22">
        <v>42231</v>
      </c>
      <c r="B192" s="27">
        <v>774779.73</v>
      </c>
      <c r="C192" s="27">
        <v>1703863.65</v>
      </c>
      <c r="D192" s="27">
        <v>1412063.22</v>
      </c>
      <c r="E192" s="27">
        <v>242744.24</v>
      </c>
      <c r="F192" s="27">
        <f t="shared" si="24"/>
        <v>4133450.84</v>
      </c>
      <c r="G192" s="27">
        <f t="shared" si="25"/>
        <v>19525274.25</v>
      </c>
    </row>
    <row r="193" spans="1:7" x14ac:dyDescent="0.2">
      <c r="A193" s="22">
        <v>42262</v>
      </c>
      <c r="B193" s="27">
        <v>565062.27</v>
      </c>
      <c r="C193" s="27">
        <v>1248021.96</v>
      </c>
      <c r="D193" s="27">
        <v>660847.62</v>
      </c>
      <c r="E193" s="27">
        <v>339011.07</v>
      </c>
      <c r="F193" s="27">
        <f t="shared" si="24"/>
        <v>2812942.92</v>
      </c>
      <c r="G193" s="27">
        <f>F193+G192</f>
        <v>22338217.170000002</v>
      </c>
    </row>
    <row r="194" spans="1:7" x14ac:dyDescent="0.2">
      <c r="A194" s="22">
        <v>42292</v>
      </c>
      <c r="B194" s="27">
        <v>554667.6</v>
      </c>
      <c r="C194" s="27">
        <v>1196309.28</v>
      </c>
      <c r="D194" s="27">
        <v>661140.18000000005</v>
      </c>
      <c r="E194" s="27">
        <v>320263.65000000002</v>
      </c>
      <c r="F194" s="27">
        <f t="shared" si="24"/>
        <v>2732380.71</v>
      </c>
      <c r="G194" s="27">
        <f>F194+G193</f>
        <v>25070597.880000003</v>
      </c>
    </row>
    <row r="195" spans="1:7" x14ac:dyDescent="0.2">
      <c r="A195" s="22">
        <v>42323</v>
      </c>
      <c r="B195" s="27">
        <v>780294.08</v>
      </c>
      <c r="C195" s="27">
        <v>1711121.16</v>
      </c>
      <c r="D195" s="27">
        <v>1348126.26</v>
      </c>
      <c r="E195" s="27">
        <v>234131.06</v>
      </c>
      <c r="F195" s="27">
        <f t="shared" si="24"/>
        <v>4073672.56</v>
      </c>
      <c r="G195" s="27">
        <f>F195+G194</f>
        <v>29144270.440000001</v>
      </c>
    </row>
    <row r="196" spans="1:7" x14ac:dyDescent="0.2">
      <c r="A196" s="22">
        <v>42353</v>
      </c>
      <c r="B196" s="27">
        <v>489120</v>
      </c>
      <c r="C196" s="27">
        <v>1105071.25</v>
      </c>
      <c r="D196" s="27">
        <v>612000.1</v>
      </c>
      <c r="E196" s="27">
        <v>236538.67</v>
      </c>
      <c r="F196" s="27">
        <f t="shared" si="24"/>
        <v>2442730.02</v>
      </c>
      <c r="G196" s="27">
        <f>G195+F196</f>
        <v>31587000.460000001</v>
      </c>
    </row>
    <row r="197" spans="1:7" x14ac:dyDescent="0.2">
      <c r="A197" s="19" t="s">
        <v>20</v>
      </c>
      <c r="B197" s="14">
        <f>SUM(B185:B196)</f>
        <v>5872107.8700000001</v>
      </c>
      <c r="C197" s="14">
        <f>SUM(C185:C196)</f>
        <v>12898332.529999999</v>
      </c>
      <c r="D197" s="14">
        <f>SUM(D185:D196)</f>
        <v>10249815.299999999</v>
      </c>
      <c r="E197" s="14">
        <f>SUM(E185:E196)</f>
        <v>2566744.7599999998</v>
      </c>
      <c r="F197" s="14">
        <f>SUM(F185:F196)</f>
        <v>31587000.460000001</v>
      </c>
      <c r="G197" s="25"/>
    </row>
    <row r="198" spans="1:7" x14ac:dyDescent="0.2">
      <c r="A198" s="19"/>
      <c r="B198" s="14"/>
      <c r="C198" s="14"/>
      <c r="D198" s="14"/>
      <c r="E198" s="14"/>
      <c r="F198" s="14"/>
      <c r="G198" s="25"/>
    </row>
    <row r="199" spans="1:7" x14ac:dyDescent="0.2">
      <c r="A199" s="26">
        <v>2014</v>
      </c>
      <c r="B199" s="25"/>
      <c r="C199" s="25"/>
      <c r="D199" s="25"/>
      <c r="E199" s="25"/>
      <c r="F199" s="25"/>
      <c r="G199" s="25"/>
    </row>
    <row r="200" spans="1:7" x14ac:dyDescent="0.2">
      <c r="A200" s="22">
        <v>41654</v>
      </c>
      <c r="B200" s="27">
        <v>286688.75</v>
      </c>
      <c r="C200" s="27">
        <v>618925.48</v>
      </c>
      <c r="D200" s="27">
        <v>528416.31000000006</v>
      </c>
      <c r="E200" s="27">
        <v>165495.57</v>
      </c>
      <c r="F200" s="27">
        <f t="shared" ref="F200:F211" si="26">SUM(B200:E200)</f>
        <v>1599526.11</v>
      </c>
      <c r="G200" s="27">
        <f>SUM(F200)</f>
        <v>1599526.11</v>
      </c>
    </row>
    <row r="201" spans="1:7" x14ac:dyDescent="0.2">
      <c r="A201" s="22">
        <v>41685</v>
      </c>
      <c r="B201" s="27">
        <v>405293.05</v>
      </c>
      <c r="C201" s="27">
        <v>898049.21</v>
      </c>
      <c r="D201" s="27">
        <v>1213454.69</v>
      </c>
      <c r="E201" s="27">
        <v>140116.32999999999</v>
      </c>
      <c r="F201" s="27">
        <f t="shared" si="26"/>
        <v>2656913.2800000003</v>
      </c>
      <c r="G201" s="27">
        <f>SUM(G200+F201)</f>
        <v>4256439.3900000006</v>
      </c>
    </row>
    <row r="202" spans="1:7" x14ac:dyDescent="0.2">
      <c r="A202" s="22">
        <v>41713</v>
      </c>
      <c r="B202" s="27">
        <v>263283.75</v>
      </c>
      <c r="C202" s="27">
        <v>566743.53</v>
      </c>
      <c r="D202" s="27">
        <v>525989.63</v>
      </c>
      <c r="E202" s="27">
        <v>150501.82999999999</v>
      </c>
      <c r="F202" s="27">
        <f t="shared" si="26"/>
        <v>1506518.7400000002</v>
      </c>
      <c r="G202" s="27">
        <f t="shared" ref="G202:G210" si="27">SUM(G201+F202)</f>
        <v>5762958.1300000008</v>
      </c>
    </row>
    <row r="203" spans="1:7" x14ac:dyDescent="0.2">
      <c r="A203" s="22">
        <v>41744</v>
      </c>
      <c r="B203" s="27">
        <v>301133.82</v>
      </c>
      <c r="C203" s="27">
        <v>617679.16</v>
      </c>
      <c r="D203" s="27">
        <v>558549.72</v>
      </c>
      <c r="E203" s="27">
        <v>144985.64000000001</v>
      </c>
      <c r="F203" s="27">
        <f>SUM(B203:E203)</f>
        <v>1622348.3399999999</v>
      </c>
      <c r="G203" s="27">
        <f>SUM(G202+F203)</f>
        <v>7385306.4700000007</v>
      </c>
    </row>
    <row r="204" spans="1:7" x14ac:dyDescent="0.2">
      <c r="A204" s="22">
        <v>41774</v>
      </c>
      <c r="B204" s="27">
        <v>481220.43</v>
      </c>
      <c r="C204" s="27">
        <v>1037335.97</v>
      </c>
      <c r="D204" s="27">
        <v>1151178.5900000001</v>
      </c>
      <c r="E204" s="27">
        <v>207009.85</v>
      </c>
      <c r="F204" s="27">
        <f t="shared" si="26"/>
        <v>2876744.8400000003</v>
      </c>
      <c r="G204" s="27">
        <f>SUM(G203+F204)</f>
        <v>10262051.310000001</v>
      </c>
    </row>
    <row r="205" spans="1:7" x14ac:dyDescent="0.2">
      <c r="A205" s="22">
        <v>41805</v>
      </c>
      <c r="B205" s="27">
        <v>341969.28</v>
      </c>
      <c r="C205" s="27">
        <v>747934.92</v>
      </c>
      <c r="D205" s="27">
        <v>567927.14</v>
      </c>
      <c r="E205" s="27">
        <v>173360.23</v>
      </c>
      <c r="F205" s="27">
        <f t="shared" si="26"/>
        <v>1831191.5700000003</v>
      </c>
      <c r="G205" s="27">
        <f t="shared" si="27"/>
        <v>12093242.880000001</v>
      </c>
    </row>
    <row r="206" spans="1:7" x14ac:dyDescent="0.2">
      <c r="A206" s="22">
        <v>41835</v>
      </c>
      <c r="B206" s="27">
        <v>403675.41</v>
      </c>
      <c r="C206" s="27">
        <v>835142.87</v>
      </c>
      <c r="D206" s="27">
        <v>623939.22</v>
      </c>
      <c r="E206" s="27">
        <v>200833.49</v>
      </c>
      <c r="F206" s="27">
        <f t="shared" si="26"/>
        <v>2063590.99</v>
      </c>
      <c r="G206" s="27">
        <f t="shared" si="27"/>
        <v>14156833.870000001</v>
      </c>
    </row>
    <row r="207" spans="1:7" x14ac:dyDescent="0.2">
      <c r="A207" s="22">
        <v>41866</v>
      </c>
      <c r="B207" s="27">
        <v>684293.91</v>
      </c>
      <c r="C207" s="27">
        <v>1537984.59</v>
      </c>
      <c r="D207" s="27">
        <v>1315461.93</v>
      </c>
      <c r="E207" s="27">
        <v>225730.5</v>
      </c>
      <c r="F207" s="27">
        <f t="shared" si="26"/>
        <v>3763470.9299999997</v>
      </c>
      <c r="G207" s="27">
        <f t="shared" si="27"/>
        <v>17920304.800000001</v>
      </c>
    </row>
    <row r="208" spans="1:7" x14ac:dyDescent="0.2">
      <c r="A208" s="22">
        <v>41897</v>
      </c>
      <c r="B208" s="27">
        <v>605137.51</v>
      </c>
      <c r="C208" s="27">
        <v>1350007.94</v>
      </c>
      <c r="D208" s="27">
        <v>625299.64</v>
      </c>
      <c r="E208" s="27">
        <v>301657.02</v>
      </c>
      <c r="F208" s="27">
        <f t="shared" si="26"/>
        <v>2882102.11</v>
      </c>
      <c r="G208" s="27">
        <f t="shared" si="27"/>
        <v>20802406.91</v>
      </c>
    </row>
    <row r="209" spans="1:7" x14ac:dyDescent="0.2">
      <c r="A209" s="22">
        <v>41927</v>
      </c>
      <c r="B209" s="27">
        <v>521517.46</v>
      </c>
      <c r="C209" s="27">
        <v>1061932.82</v>
      </c>
      <c r="D209" s="27">
        <v>680972.39</v>
      </c>
      <c r="E209" s="27">
        <v>321679.03000000003</v>
      </c>
      <c r="F209" s="27">
        <f t="shared" si="26"/>
        <v>2586101.7000000002</v>
      </c>
      <c r="G209" s="27">
        <f t="shared" si="27"/>
        <v>23388508.609999999</v>
      </c>
    </row>
    <row r="210" spans="1:7" x14ac:dyDescent="0.2">
      <c r="A210" s="22">
        <v>41958</v>
      </c>
      <c r="B210" s="27">
        <v>582258.16</v>
      </c>
      <c r="C210" s="27">
        <v>1313516</v>
      </c>
      <c r="D210" s="27">
        <v>1215680.28</v>
      </c>
      <c r="E210" s="27">
        <v>225660.34</v>
      </c>
      <c r="F210" s="27">
        <f t="shared" si="26"/>
        <v>3337114.7800000003</v>
      </c>
      <c r="G210" s="27">
        <f t="shared" si="27"/>
        <v>26725623.390000001</v>
      </c>
    </row>
    <row r="211" spans="1:7" x14ac:dyDescent="0.2">
      <c r="A211" s="22">
        <v>41988</v>
      </c>
      <c r="B211" s="27">
        <v>539000.15</v>
      </c>
      <c r="C211" s="27">
        <v>1242165.03</v>
      </c>
      <c r="D211" s="27">
        <v>561954.44999999995</v>
      </c>
      <c r="E211" s="27">
        <v>230801.43</v>
      </c>
      <c r="F211" s="27">
        <f t="shared" si="26"/>
        <v>2573921.06</v>
      </c>
      <c r="G211" s="27">
        <f>SUM(G210+F211)</f>
        <v>29299544.449999999</v>
      </c>
    </row>
    <row r="212" spans="1:7" x14ac:dyDescent="0.2">
      <c r="A212" s="19" t="s">
        <v>19</v>
      </c>
      <c r="B212" s="14">
        <f>SUM(B200:B211)</f>
        <v>5415471.6800000006</v>
      </c>
      <c r="C212" s="14">
        <f>SUM(C200:C211)</f>
        <v>11827417.52</v>
      </c>
      <c r="D212" s="14">
        <f>SUM(D200:D211)</f>
        <v>9568823.9899999965</v>
      </c>
      <c r="E212" s="14">
        <f>SUM(E200:E211)</f>
        <v>2487831.2600000002</v>
      </c>
      <c r="F212" s="14">
        <f>SUM(F200:F211)</f>
        <v>29299544.449999999</v>
      </c>
      <c r="G212" s="25"/>
    </row>
    <row r="213" spans="1:7" x14ac:dyDescent="0.2">
      <c r="A213" s="19"/>
      <c r="B213" s="14"/>
      <c r="C213" s="14"/>
      <c r="D213" s="14"/>
      <c r="E213" s="14"/>
      <c r="F213" s="14"/>
      <c r="G213" s="25"/>
    </row>
    <row r="214" spans="1:7" x14ac:dyDescent="0.2">
      <c r="A214" s="19"/>
      <c r="B214" s="14" t="s">
        <v>1</v>
      </c>
      <c r="C214" s="14" t="s">
        <v>2</v>
      </c>
      <c r="D214" s="14" t="s">
        <v>3</v>
      </c>
      <c r="E214" s="14" t="s">
        <v>4</v>
      </c>
      <c r="F214" s="14" t="s">
        <v>5</v>
      </c>
      <c r="G214" s="14" t="s">
        <v>6</v>
      </c>
    </row>
    <row r="215" spans="1:7" x14ac:dyDescent="0.2">
      <c r="A215" s="29" t="s">
        <v>7</v>
      </c>
      <c r="B215" s="14" t="s">
        <v>8</v>
      </c>
      <c r="C215" s="14" t="s">
        <v>9</v>
      </c>
      <c r="D215" s="14" t="s">
        <v>21</v>
      </c>
      <c r="E215" s="14" t="s">
        <v>10</v>
      </c>
      <c r="F215" s="14" t="s">
        <v>11</v>
      </c>
      <c r="G215" s="14" t="s">
        <v>11</v>
      </c>
    </row>
    <row r="216" spans="1:7" x14ac:dyDescent="0.2">
      <c r="A216" s="19"/>
      <c r="B216" s="14"/>
      <c r="C216" s="14"/>
      <c r="D216" s="14"/>
      <c r="E216" s="14"/>
      <c r="F216" s="14"/>
      <c r="G216" s="25"/>
    </row>
    <row r="217" spans="1:7" x14ac:dyDescent="0.2">
      <c r="A217" s="26">
        <v>2013</v>
      </c>
      <c r="B217" s="25"/>
      <c r="C217" s="25"/>
      <c r="D217" s="25"/>
      <c r="E217" s="25"/>
      <c r="F217" s="25"/>
      <c r="G217" s="25"/>
    </row>
    <row r="218" spans="1:7" x14ac:dyDescent="0.2">
      <c r="A218" s="22">
        <v>41289</v>
      </c>
      <c r="B218" s="27">
        <v>273881.71999999997</v>
      </c>
      <c r="C218" s="27">
        <v>577161.92000000004</v>
      </c>
      <c r="D218" s="27">
        <v>475235.8</v>
      </c>
      <c r="E218" s="27">
        <v>171542.14</v>
      </c>
      <c r="F218" s="27">
        <f t="shared" ref="F218:F229" si="28">SUM(B218:E218)</f>
        <v>1497821.58</v>
      </c>
      <c r="G218" s="27">
        <f>SUM(F218)</f>
        <v>1497821.58</v>
      </c>
    </row>
    <row r="219" spans="1:7" x14ac:dyDescent="0.2">
      <c r="A219" s="22">
        <v>41320</v>
      </c>
      <c r="B219" s="27">
        <v>315992.18</v>
      </c>
      <c r="C219" s="27">
        <v>667080.53</v>
      </c>
      <c r="D219" s="27">
        <v>1271230.21</v>
      </c>
      <c r="E219" s="27">
        <v>161431.32999999999</v>
      </c>
      <c r="F219" s="27">
        <f t="shared" si="28"/>
        <v>2415734.25</v>
      </c>
      <c r="G219" s="27">
        <f t="shared" ref="G219:G228" si="29">SUM(G218+F219)</f>
        <v>3913555.83</v>
      </c>
    </row>
    <row r="220" spans="1:7" x14ac:dyDescent="0.2">
      <c r="A220" s="22">
        <v>41348</v>
      </c>
      <c r="B220" s="27">
        <v>251665.77</v>
      </c>
      <c r="C220" s="27">
        <v>497147.45</v>
      </c>
      <c r="D220" s="27">
        <v>519399.34</v>
      </c>
      <c r="E220" s="27">
        <v>140535.73000000001</v>
      </c>
      <c r="F220" s="27">
        <f t="shared" si="28"/>
        <v>1408748.29</v>
      </c>
      <c r="G220" s="27">
        <f t="shared" si="29"/>
        <v>5322304.12</v>
      </c>
    </row>
    <row r="221" spans="1:7" x14ac:dyDescent="0.2">
      <c r="A221" s="22">
        <v>41379</v>
      </c>
      <c r="B221" s="27">
        <v>291798.95</v>
      </c>
      <c r="C221" s="27">
        <v>632119.19999999995</v>
      </c>
      <c r="D221" s="27">
        <v>538455.93999999994</v>
      </c>
      <c r="E221" s="27">
        <v>134632.70000000001</v>
      </c>
      <c r="F221" s="27">
        <f t="shared" si="28"/>
        <v>1597006.7899999998</v>
      </c>
      <c r="G221" s="27">
        <f t="shared" si="29"/>
        <v>6919310.9100000001</v>
      </c>
    </row>
    <row r="222" spans="1:7" x14ac:dyDescent="0.2">
      <c r="A222" s="22">
        <v>41409</v>
      </c>
      <c r="B222" s="27">
        <v>384817.97</v>
      </c>
      <c r="C222" s="27">
        <v>792166.25</v>
      </c>
      <c r="D222" s="27">
        <v>1057998.3899999999</v>
      </c>
      <c r="E222" s="27">
        <v>160311.35</v>
      </c>
      <c r="F222" s="27">
        <f t="shared" si="28"/>
        <v>2395293.96</v>
      </c>
      <c r="G222" s="27">
        <f t="shared" si="29"/>
        <v>9314604.870000001</v>
      </c>
    </row>
    <row r="223" spans="1:7" x14ac:dyDescent="0.2">
      <c r="A223" s="22">
        <v>41440</v>
      </c>
      <c r="B223" s="27">
        <v>372201.41</v>
      </c>
      <c r="C223" s="27">
        <v>823579.66</v>
      </c>
      <c r="D223" s="27">
        <v>635047.06999999995</v>
      </c>
      <c r="E223" s="27">
        <v>156471.35</v>
      </c>
      <c r="F223" s="27">
        <f t="shared" si="28"/>
        <v>1987299.4900000002</v>
      </c>
      <c r="G223" s="27">
        <f t="shared" si="29"/>
        <v>11301904.360000001</v>
      </c>
    </row>
    <row r="224" spans="1:7" x14ac:dyDescent="0.2">
      <c r="A224" s="22">
        <v>41470</v>
      </c>
      <c r="B224" s="27">
        <v>424473.2</v>
      </c>
      <c r="C224" s="27">
        <v>884063.41</v>
      </c>
      <c r="D224" s="27">
        <v>580973.99</v>
      </c>
      <c r="E224" s="27">
        <v>195185.71</v>
      </c>
      <c r="F224" s="27">
        <f t="shared" si="28"/>
        <v>2084696.31</v>
      </c>
      <c r="G224" s="27">
        <f t="shared" si="29"/>
        <v>13386600.670000002</v>
      </c>
    </row>
    <row r="225" spans="1:7" x14ac:dyDescent="0.2">
      <c r="A225" s="22">
        <v>41501</v>
      </c>
      <c r="B225" s="27">
        <v>619079.21</v>
      </c>
      <c r="C225" s="27">
        <v>1330089.8999999999</v>
      </c>
      <c r="D225" s="27">
        <v>1172137.81</v>
      </c>
      <c r="E225" s="27">
        <v>220714.38</v>
      </c>
      <c r="F225" s="27">
        <f t="shared" si="28"/>
        <v>3342021.3</v>
      </c>
      <c r="G225" s="27">
        <f t="shared" si="29"/>
        <v>16728621.970000003</v>
      </c>
    </row>
    <row r="226" spans="1:7" x14ac:dyDescent="0.2">
      <c r="A226" s="22">
        <v>41532</v>
      </c>
      <c r="B226" s="27">
        <v>534040.43000000005</v>
      </c>
      <c r="C226" s="27">
        <v>1172091.6100000001</v>
      </c>
      <c r="D226" s="27">
        <v>624076.36</v>
      </c>
      <c r="E226" s="27">
        <v>267536.42</v>
      </c>
      <c r="F226" s="27">
        <f t="shared" si="28"/>
        <v>2597744.8199999998</v>
      </c>
      <c r="G226" s="27">
        <f t="shared" si="29"/>
        <v>19326366.790000003</v>
      </c>
    </row>
    <row r="227" spans="1:7" x14ac:dyDescent="0.2">
      <c r="A227" s="22">
        <v>41562</v>
      </c>
      <c r="B227" s="27">
        <v>540197.68000000005</v>
      </c>
      <c r="C227" s="27">
        <v>1073338.99</v>
      </c>
      <c r="D227" s="27">
        <v>747173.58</v>
      </c>
      <c r="E227" s="27">
        <v>303247.28000000003</v>
      </c>
      <c r="F227" s="27">
        <f t="shared" si="28"/>
        <v>2663957.5300000003</v>
      </c>
      <c r="G227" s="27">
        <f t="shared" si="29"/>
        <v>21990324.320000004</v>
      </c>
    </row>
    <row r="228" spans="1:7" x14ac:dyDescent="0.2">
      <c r="A228" s="22">
        <v>41593</v>
      </c>
      <c r="B228" s="27">
        <v>658545.66</v>
      </c>
      <c r="C228" s="27">
        <v>1515559.52</v>
      </c>
      <c r="D228" s="27">
        <v>1196347.8700000001</v>
      </c>
      <c r="E228" s="27">
        <v>232213.38</v>
      </c>
      <c r="F228" s="27">
        <f t="shared" si="28"/>
        <v>3602666.43</v>
      </c>
      <c r="G228" s="27">
        <f t="shared" si="29"/>
        <v>25592990.750000004</v>
      </c>
    </row>
    <row r="229" spans="1:7" x14ac:dyDescent="0.2">
      <c r="A229" s="22">
        <v>41623</v>
      </c>
      <c r="B229" s="27">
        <v>403693.24</v>
      </c>
      <c r="C229" s="27">
        <v>868180.11</v>
      </c>
      <c r="D229" s="27">
        <v>565300.31000000006</v>
      </c>
      <c r="E229" s="27">
        <v>211650.77</v>
      </c>
      <c r="F229" s="27">
        <f t="shared" si="28"/>
        <v>2048824.4300000002</v>
      </c>
      <c r="G229" s="27">
        <f>SUM(G228+F229)</f>
        <v>27641815.180000003</v>
      </c>
    </row>
    <row r="230" spans="1:7" hidden="1" x14ac:dyDescent="0.2">
      <c r="A230" s="19" t="s">
        <v>18</v>
      </c>
      <c r="B230" s="14">
        <f>SUM(B218:B229)</f>
        <v>5070387.42</v>
      </c>
      <c r="C230" s="14">
        <f>SUM(C218:C229)</f>
        <v>10832578.549999999</v>
      </c>
      <c r="D230" s="14">
        <f>SUM(D218:D229)</f>
        <v>9383376.6700000018</v>
      </c>
      <c r="E230" s="14">
        <f>SUM(E218:E229)</f>
        <v>2355472.54</v>
      </c>
      <c r="F230" s="14">
        <f>SUM(F218:F229)</f>
        <v>27641815.180000003</v>
      </c>
      <c r="G230" s="25"/>
    </row>
    <row r="231" spans="1:7" hidden="1" x14ac:dyDescent="0.2">
      <c r="A231" s="19"/>
      <c r="B231" s="14"/>
      <c r="C231" s="14"/>
      <c r="D231" s="14"/>
      <c r="E231" s="14"/>
      <c r="F231" s="14"/>
      <c r="G231" s="25"/>
    </row>
    <row r="232" spans="1:7" hidden="1" x14ac:dyDescent="0.2">
      <c r="A232" s="26">
        <v>2012</v>
      </c>
      <c r="B232" s="25"/>
      <c r="C232" s="25"/>
      <c r="D232" s="25"/>
      <c r="E232" s="25"/>
      <c r="F232" s="25"/>
      <c r="G232" s="25"/>
    </row>
    <row r="233" spans="1:7" hidden="1" x14ac:dyDescent="0.2">
      <c r="A233" s="22">
        <v>40923</v>
      </c>
      <c r="B233" s="27">
        <v>291936.82</v>
      </c>
      <c r="C233" s="27">
        <v>605335.91</v>
      </c>
      <c r="D233" s="27">
        <v>459731.55</v>
      </c>
      <c r="E233" s="27">
        <v>171565.11</v>
      </c>
      <c r="F233" s="27">
        <f t="shared" ref="F233:F244" si="30">SUM(B233:E233)</f>
        <v>1528569.3900000001</v>
      </c>
      <c r="G233" s="27">
        <f>SUM(F233)</f>
        <v>1528569.3900000001</v>
      </c>
    </row>
    <row r="234" spans="1:7" hidden="1" x14ac:dyDescent="0.2">
      <c r="A234" s="22">
        <v>40954</v>
      </c>
      <c r="B234" s="27">
        <v>274029.03000000003</v>
      </c>
      <c r="C234" s="27">
        <v>529618.28</v>
      </c>
      <c r="D234" s="27">
        <v>1266170.06</v>
      </c>
      <c r="E234" s="27">
        <v>173773.64</v>
      </c>
      <c r="F234" s="27">
        <f t="shared" si="30"/>
        <v>2243591.0100000002</v>
      </c>
      <c r="G234" s="27">
        <f t="shared" ref="G234:G243" si="31">SUM(G233+F234)</f>
        <v>3772160.4000000004</v>
      </c>
    </row>
    <row r="235" spans="1:7" hidden="1" x14ac:dyDescent="0.2">
      <c r="A235" s="22">
        <v>40983</v>
      </c>
      <c r="B235" s="27">
        <v>272775.5</v>
      </c>
      <c r="C235" s="27">
        <v>582695.98</v>
      </c>
      <c r="D235" s="27">
        <v>517004.89</v>
      </c>
      <c r="E235" s="27">
        <v>139955.26999999999</v>
      </c>
      <c r="F235" s="27">
        <f t="shared" si="30"/>
        <v>1512431.6400000001</v>
      </c>
      <c r="G235" s="27">
        <f t="shared" si="31"/>
        <v>5284592.040000001</v>
      </c>
    </row>
    <row r="236" spans="1:7" hidden="1" x14ac:dyDescent="0.2">
      <c r="A236" s="22">
        <v>41014</v>
      </c>
      <c r="B236" s="27">
        <v>273085.31</v>
      </c>
      <c r="C236" s="27">
        <v>573478.34</v>
      </c>
      <c r="D236" s="27">
        <v>547843.22</v>
      </c>
      <c r="E236" s="27">
        <v>139873.70000000001</v>
      </c>
      <c r="F236" s="27">
        <f t="shared" si="30"/>
        <v>1534280.5699999998</v>
      </c>
      <c r="G236" s="27">
        <f t="shared" si="31"/>
        <v>6818872.6100000013</v>
      </c>
    </row>
    <row r="237" spans="1:7" hidden="1" x14ac:dyDescent="0.2">
      <c r="A237" s="22">
        <v>41044</v>
      </c>
      <c r="B237" s="27">
        <v>377075.36</v>
      </c>
      <c r="C237" s="27">
        <v>793139.06</v>
      </c>
      <c r="D237" s="27">
        <v>1071524.8600000001</v>
      </c>
      <c r="E237" s="27">
        <v>165513.87</v>
      </c>
      <c r="F237" s="27">
        <f t="shared" si="30"/>
        <v>2407253.1500000004</v>
      </c>
      <c r="G237" s="27">
        <f t="shared" si="31"/>
        <v>9226125.7600000016</v>
      </c>
    </row>
    <row r="238" spans="1:7" hidden="1" x14ac:dyDescent="0.2">
      <c r="A238" s="22">
        <v>41075</v>
      </c>
      <c r="B238" s="27">
        <v>368682.05</v>
      </c>
      <c r="C238" s="27">
        <v>792752.73</v>
      </c>
      <c r="D238" s="27">
        <v>592858.32999999996</v>
      </c>
      <c r="E238" s="27">
        <v>156179.57</v>
      </c>
      <c r="F238" s="27">
        <f t="shared" si="30"/>
        <v>1910472.68</v>
      </c>
      <c r="G238" s="27">
        <f t="shared" si="31"/>
        <v>11136598.440000001</v>
      </c>
    </row>
    <row r="239" spans="1:7" hidden="1" x14ac:dyDescent="0.2">
      <c r="A239" s="22">
        <v>41105</v>
      </c>
      <c r="B239" s="27">
        <v>430557.61</v>
      </c>
      <c r="C239" s="27">
        <v>959977.04</v>
      </c>
      <c r="D239" s="27">
        <v>566043.56999999995</v>
      </c>
      <c r="E239" s="27">
        <v>188756</v>
      </c>
      <c r="F239" s="27">
        <f t="shared" si="30"/>
        <v>2145334.2199999997</v>
      </c>
      <c r="G239" s="27">
        <f t="shared" si="31"/>
        <v>13281932.66</v>
      </c>
    </row>
    <row r="240" spans="1:7" hidden="1" x14ac:dyDescent="0.2">
      <c r="A240" s="22">
        <v>41136</v>
      </c>
      <c r="B240" s="27">
        <v>543721.11</v>
      </c>
      <c r="C240" s="27">
        <v>1123433.76</v>
      </c>
      <c r="D240" s="27">
        <v>1175673.76</v>
      </c>
      <c r="E240" s="27">
        <v>237384.13</v>
      </c>
      <c r="F240" s="27">
        <f t="shared" si="30"/>
        <v>3080212.76</v>
      </c>
      <c r="G240" s="27">
        <f t="shared" si="31"/>
        <v>16362145.42</v>
      </c>
    </row>
    <row r="241" spans="1:7" hidden="1" x14ac:dyDescent="0.2">
      <c r="A241" s="22">
        <v>41167</v>
      </c>
      <c r="B241" s="27">
        <v>560816.67000000004</v>
      </c>
      <c r="C241" s="27">
        <v>1244581.6000000001</v>
      </c>
      <c r="D241" s="27">
        <v>642566.07999999996</v>
      </c>
      <c r="E241" s="27">
        <v>294370.84000000003</v>
      </c>
      <c r="F241" s="27">
        <f t="shared" si="30"/>
        <v>2742335.19</v>
      </c>
      <c r="G241" s="27">
        <f t="shared" si="31"/>
        <v>19104480.609999999</v>
      </c>
    </row>
    <row r="242" spans="1:7" hidden="1" x14ac:dyDescent="0.2">
      <c r="A242" s="22">
        <v>41197</v>
      </c>
      <c r="B242" s="27">
        <v>477605.07</v>
      </c>
      <c r="C242" s="27">
        <v>1005608.81</v>
      </c>
      <c r="D242" s="27">
        <v>625990.28</v>
      </c>
      <c r="E242" s="27">
        <v>277740.43</v>
      </c>
      <c r="F242" s="27">
        <f t="shared" si="30"/>
        <v>2386944.5900000003</v>
      </c>
      <c r="G242" s="27">
        <f t="shared" si="31"/>
        <v>21491425.199999999</v>
      </c>
    </row>
    <row r="243" spans="1:7" hidden="1" x14ac:dyDescent="0.2">
      <c r="A243" s="22">
        <v>41228</v>
      </c>
      <c r="B243" s="27">
        <v>473922.86</v>
      </c>
      <c r="C243" s="27">
        <v>961052.99</v>
      </c>
      <c r="D243" s="27">
        <v>1126898.3700000001</v>
      </c>
      <c r="E243" s="27">
        <v>217415.3</v>
      </c>
      <c r="F243" s="27">
        <f t="shared" si="30"/>
        <v>2779289.52</v>
      </c>
      <c r="G243" s="27">
        <f t="shared" si="31"/>
        <v>24270714.719999999</v>
      </c>
    </row>
    <row r="244" spans="1:7" hidden="1" x14ac:dyDescent="0.2">
      <c r="A244" s="22">
        <v>41258</v>
      </c>
      <c r="B244" s="27">
        <v>415007.16</v>
      </c>
      <c r="C244" s="27">
        <v>933925.75</v>
      </c>
      <c r="D244" s="27">
        <v>553114.12</v>
      </c>
      <c r="E244" s="27">
        <v>202650.05</v>
      </c>
      <c r="F244" s="27">
        <f t="shared" si="30"/>
        <v>2104697.0799999996</v>
      </c>
      <c r="G244" s="27">
        <f>SUM(G243+F244)</f>
        <v>26375411.799999997</v>
      </c>
    </row>
    <row r="245" spans="1:7" hidden="1" x14ac:dyDescent="0.2">
      <c r="A245" s="19" t="s">
        <v>17</v>
      </c>
      <c r="B245" s="14">
        <f>SUM(B233:B244)</f>
        <v>4759214.55</v>
      </c>
      <c r="C245" s="14">
        <f>SUM(C233:C244)</f>
        <v>10105600.25</v>
      </c>
      <c r="D245" s="14">
        <f>SUM(D233:D244)</f>
        <v>9145419.0899999999</v>
      </c>
      <c r="E245" s="14">
        <f>SUM(E233:E244)</f>
        <v>2365177.9099999997</v>
      </c>
      <c r="F245" s="14">
        <f>SUM(F233:F244)</f>
        <v>26375411.799999997</v>
      </c>
      <c r="G245" s="25"/>
    </row>
    <row r="246" spans="1:7" hidden="1" x14ac:dyDescent="0.2">
      <c r="A246" s="24"/>
      <c r="B246" s="25"/>
      <c r="C246" s="25"/>
      <c r="D246" s="25"/>
      <c r="E246" s="25"/>
      <c r="F246" s="25"/>
      <c r="G246" s="25"/>
    </row>
    <row r="247" spans="1:7" hidden="1" x14ac:dyDescent="0.2">
      <c r="A247" s="26">
        <v>2011</v>
      </c>
      <c r="B247" s="25"/>
      <c r="C247" s="25"/>
      <c r="D247" s="25"/>
      <c r="E247" s="25"/>
      <c r="F247" s="25"/>
      <c r="G247" s="25"/>
    </row>
    <row r="248" spans="1:7" hidden="1" x14ac:dyDescent="0.2">
      <c r="A248" s="22">
        <v>40558</v>
      </c>
      <c r="B248" s="30">
        <v>185231.52</v>
      </c>
      <c r="C248" s="30">
        <v>564494.21</v>
      </c>
      <c r="D248" s="30">
        <v>239542.38</v>
      </c>
      <c r="E248" s="30">
        <v>119009.86</v>
      </c>
      <c r="F248" s="30">
        <f>SUM(B248:E248)</f>
        <v>1108277.97</v>
      </c>
      <c r="G248" s="30">
        <f>SUM(F248)</f>
        <v>1108277.97</v>
      </c>
    </row>
    <row r="249" spans="1:7" hidden="1" x14ac:dyDescent="0.2">
      <c r="A249" s="22">
        <v>40589</v>
      </c>
      <c r="B249" s="30">
        <v>295523.52</v>
      </c>
      <c r="C249" s="30">
        <v>543329.63</v>
      </c>
      <c r="D249" s="30">
        <v>1576251.57</v>
      </c>
      <c r="E249" s="30">
        <v>288628.8</v>
      </c>
      <c r="F249" s="30">
        <f>SUM(B249:E249)</f>
        <v>2703733.52</v>
      </c>
      <c r="G249" s="30">
        <f t="shared" ref="G249:G258" si="32">SUM(G248+F249)</f>
        <v>3812011.49</v>
      </c>
    </row>
    <row r="250" spans="1:7" hidden="1" x14ac:dyDescent="0.2">
      <c r="A250" s="22">
        <v>40617</v>
      </c>
      <c r="B250" s="30">
        <v>258361.33</v>
      </c>
      <c r="C250" s="30">
        <v>551474.66</v>
      </c>
      <c r="D250" s="30">
        <v>484561.1</v>
      </c>
      <c r="E250" s="30">
        <v>133747.79</v>
      </c>
      <c r="F250" s="30">
        <f t="shared" ref="F250:F258" si="33">SUM(B250:E250)</f>
        <v>1428144.88</v>
      </c>
      <c r="G250" s="30">
        <f t="shared" si="32"/>
        <v>5240156.37</v>
      </c>
    </row>
    <row r="251" spans="1:7" hidden="1" x14ac:dyDescent="0.2">
      <c r="A251" s="22">
        <v>40648</v>
      </c>
      <c r="B251" s="30">
        <v>263514.73</v>
      </c>
      <c r="C251" s="30">
        <v>556308.49</v>
      </c>
      <c r="D251" s="30">
        <v>418605.96</v>
      </c>
      <c r="E251" s="30">
        <v>135502.63</v>
      </c>
      <c r="F251" s="30">
        <f t="shared" si="33"/>
        <v>1373931.81</v>
      </c>
      <c r="G251" s="30">
        <f t="shared" si="32"/>
        <v>6614088.1799999997</v>
      </c>
    </row>
    <row r="252" spans="1:7" hidden="1" x14ac:dyDescent="0.2">
      <c r="A252" s="22">
        <v>40678</v>
      </c>
      <c r="B252" s="30">
        <v>322877.93</v>
      </c>
      <c r="C252" s="30">
        <v>622504.56999999995</v>
      </c>
      <c r="D252" s="30">
        <v>1057209.98</v>
      </c>
      <c r="E252" s="30">
        <v>176111.77</v>
      </c>
      <c r="F252" s="30">
        <f t="shared" si="33"/>
        <v>2178704.25</v>
      </c>
      <c r="G252" s="30">
        <f t="shared" si="32"/>
        <v>8792792.4299999997</v>
      </c>
    </row>
    <row r="253" spans="1:7" hidden="1" x14ac:dyDescent="0.2">
      <c r="A253" s="22">
        <v>40709</v>
      </c>
      <c r="B253" s="30">
        <v>357146.31</v>
      </c>
      <c r="C253" s="30">
        <v>769603.89</v>
      </c>
      <c r="D253" s="30">
        <v>524497.86</v>
      </c>
      <c r="E253" s="30">
        <v>161440.16</v>
      </c>
      <c r="F253" s="30">
        <f t="shared" si="33"/>
        <v>1812688.22</v>
      </c>
      <c r="G253" s="30">
        <f t="shared" si="32"/>
        <v>10605480.65</v>
      </c>
    </row>
    <row r="254" spans="1:7" hidden="1" x14ac:dyDescent="0.2">
      <c r="A254" s="22">
        <v>40739</v>
      </c>
      <c r="B254" s="30">
        <v>373441.61</v>
      </c>
      <c r="C254" s="30">
        <v>794425.13</v>
      </c>
      <c r="D254" s="30">
        <v>505145.03</v>
      </c>
      <c r="E254" s="30">
        <v>188899.63</v>
      </c>
      <c r="F254" s="30">
        <f t="shared" si="33"/>
        <v>1861911.4</v>
      </c>
      <c r="G254" s="30">
        <f t="shared" si="32"/>
        <v>12467392.050000001</v>
      </c>
    </row>
    <row r="255" spans="1:7" hidden="1" x14ac:dyDescent="0.2">
      <c r="A255" s="22">
        <v>40770</v>
      </c>
      <c r="B255" s="30">
        <v>461130.23999999999</v>
      </c>
      <c r="C255" s="30">
        <v>951811.17</v>
      </c>
      <c r="D255" s="30">
        <v>1136684.82</v>
      </c>
      <c r="E255" s="30">
        <v>235463.17</v>
      </c>
      <c r="F255" s="30">
        <f t="shared" si="33"/>
        <v>2785089.4000000004</v>
      </c>
      <c r="G255" s="30">
        <f t="shared" si="32"/>
        <v>15252481.450000001</v>
      </c>
    </row>
    <row r="256" spans="1:7" hidden="1" x14ac:dyDescent="0.2">
      <c r="A256" s="22">
        <v>40801</v>
      </c>
      <c r="B256" s="30">
        <v>571891.04</v>
      </c>
      <c r="C256" s="30">
        <v>1265611.3799999999</v>
      </c>
      <c r="D256" s="30">
        <v>584101.67000000004</v>
      </c>
      <c r="E256" s="30">
        <v>280880.07</v>
      </c>
      <c r="F256" s="30">
        <f t="shared" si="33"/>
        <v>2702484.1599999997</v>
      </c>
      <c r="G256" s="30">
        <f t="shared" si="32"/>
        <v>17954965.609999999</v>
      </c>
    </row>
    <row r="257" spans="1:7" hidden="1" x14ac:dyDescent="0.2">
      <c r="A257" s="22">
        <v>40831</v>
      </c>
      <c r="B257" s="30">
        <v>502298.24</v>
      </c>
      <c r="C257" s="30">
        <v>1052678.46</v>
      </c>
      <c r="D257" s="30">
        <v>547984.69999999995</v>
      </c>
      <c r="E257" s="30">
        <v>287022.92</v>
      </c>
      <c r="F257" s="30">
        <f t="shared" si="33"/>
        <v>2389984.3199999998</v>
      </c>
      <c r="G257" s="30">
        <f t="shared" si="32"/>
        <v>20344949.93</v>
      </c>
    </row>
    <row r="258" spans="1:7" hidden="1" x14ac:dyDescent="0.2">
      <c r="A258" s="22">
        <v>40862</v>
      </c>
      <c r="B258" s="30">
        <v>455849.81</v>
      </c>
      <c r="C258" s="30">
        <v>991805.52</v>
      </c>
      <c r="D258" s="30">
        <v>1129497.8500000001</v>
      </c>
      <c r="E258" s="30">
        <v>236676.62</v>
      </c>
      <c r="F258" s="30">
        <f t="shared" si="33"/>
        <v>2813829.8000000003</v>
      </c>
      <c r="G258" s="30">
        <f t="shared" si="32"/>
        <v>23158779.73</v>
      </c>
    </row>
    <row r="259" spans="1:7" x14ac:dyDescent="0.2">
      <c r="A259" s="19" t="s">
        <v>18</v>
      </c>
      <c r="B259" s="14">
        <f>SUM(B248:B258)</f>
        <v>4047266.2800000007</v>
      </c>
      <c r="C259" s="14">
        <f>SUM(C248:C258)</f>
        <v>8664047.1099999994</v>
      </c>
      <c r="D259" s="14">
        <f>SUM(D248:D258)</f>
        <v>8204082.9200000018</v>
      </c>
      <c r="E259" s="14">
        <f>SUM(E248:E258)</f>
        <v>2243383.42</v>
      </c>
      <c r="F259" s="14">
        <f>SUM(F248:F258)</f>
        <v>23158779.73</v>
      </c>
      <c r="G259" s="25"/>
    </row>
    <row r="260" spans="1:7" x14ac:dyDescent="0.2">
      <c r="B260" s="14"/>
      <c r="C260" s="14"/>
      <c r="D260" s="14"/>
      <c r="E260" s="14"/>
      <c r="F260" s="14"/>
      <c r="G260" s="14"/>
    </row>
    <row r="261" spans="1:7" x14ac:dyDescent="0.2">
      <c r="A261" s="26">
        <v>2012</v>
      </c>
      <c r="B261" s="25"/>
      <c r="C261" s="25"/>
      <c r="D261" s="25"/>
      <c r="E261" s="25"/>
      <c r="F261" s="25"/>
      <c r="G261" s="25"/>
    </row>
    <row r="262" spans="1:7" x14ac:dyDescent="0.2">
      <c r="A262" s="31">
        <v>40923</v>
      </c>
      <c r="B262" s="27">
        <v>291936.82</v>
      </c>
      <c r="C262" s="27">
        <v>605335.91</v>
      </c>
      <c r="D262" s="27">
        <v>459731.55</v>
      </c>
      <c r="E262" s="27">
        <v>171565.11</v>
      </c>
      <c r="F262" s="27">
        <f t="shared" ref="F262:F273" si="34">SUM(B262:E262)</f>
        <v>1528569.3900000001</v>
      </c>
      <c r="G262" s="27">
        <f>SUM(F262)</f>
        <v>1528569.3900000001</v>
      </c>
    </row>
    <row r="263" spans="1:7" x14ac:dyDescent="0.2">
      <c r="A263" s="31">
        <v>40954</v>
      </c>
      <c r="B263" s="27">
        <v>274029.03000000003</v>
      </c>
      <c r="C263" s="27">
        <v>529618.28</v>
      </c>
      <c r="D263" s="27">
        <v>1266170.06</v>
      </c>
      <c r="E263" s="27">
        <v>173773.64</v>
      </c>
      <c r="F263" s="27">
        <f t="shared" si="34"/>
        <v>2243591.0100000002</v>
      </c>
      <c r="G263" s="27">
        <f t="shared" ref="G263:G272" si="35">SUM(G262+F263)</f>
        <v>3772160.4000000004</v>
      </c>
    </row>
    <row r="264" spans="1:7" x14ac:dyDescent="0.2">
      <c r="A264" s="31">
        <v>40983</v>
      </c>
      <c r="B264" s="27">
        <v>272775.5</v>
      </c>
      <c r="C264" s="27">
        <v>582695.98</v>
      </c>
      <c r="D264" s="27">
        <v>517004.89</v>
      </c>
      <c r="E264" s="27">
        <v>139955.26999999999</v>
      </c>
      <c r="F264" s="27">
        <f t="shared" si="34"/>
        <v>1512431.6400000001</v>
      </c>
      <c r="G264" s="27">
        <f t="shared" si="35"/>
        <v>5284592.040000001</v>
      </c>
    </row>
    <row r="265" spans="1:7" x14ac:dyDescent="0.2">
      <c r="A265" s="31">
        <v>41014</v>
      </c>
      <c r="B265" s="27">
        <v>273085.31</v>
      </c>
      <c r="C265" s="27">
        <v>573478.34</v>
      </c>
      <c r="D265" s="27">
        <v>547843.22</v>
      </c>
      <c r="E265" s="27">
        <v>139873.70000000001</v>
      </c>
      <c r="F265" s="27">
        <f t="shared" si="34"/>
        <v>1534280.5699999998</v>
      </c>
      <c r="G265" s="27">
        <f t="shared" si="35"/>
        <v>6818872.6100000013</v>
      </c>
    </row>
    <row r="266" spans="1:7" x14ac:dyDescent="0.2">
      <c r="A266" s="31">
        <v>41044</v>
      </c>
      <c r="B266" s="27">
        <v>377075.36</v>
      </c>
      <c r="C266" s="27">
        <v>793139.06</v>
      </c>
      <c r="D266" s="27">
        <v>1071524.8600000001</v>
      </c>
      <c r="E266" s="27">
        <v>165513.87</v>
      </c>
      <c r="F266" s="27">
        <f t="shared" si="34"/>
        <v>2407253.1500000004</v>
      </c>
      <c r="G266" s="27">
        <f t="shared" si="35"/>
        <v>9226125.7600000016</v>
      </c>
    </row>
    <row r="267" spans="1:7" x14ac:dyDescent="0.2">
      <c r="A267" s="31">
        <v>41075</v>
      </c>
      <c r="B267" s="27">
        <v>368682.05</v>
      </c>
      <c r="C267" s="27">
        <v>792752.73</v>
      </c>
      <c r="D267" s="27">
        <v>592858.32999999996</v>
      </c>
      <c r="E267" s="27">
        <v>156179.57</v>
      </c>
      <c r="F267" s="27">
        <f t="shared" si="34"/>
        <v>1910472.68</v>
      </c>
      <c r="G267" s="27">
        <f t="shared" si="35"/>
        <v>11136598.440000001</v>
      </c>
    </row>
    <row r="268" spans="1:7" x14ac:dyDescent="0.2">
      <c r="A268" s="31">
        <v>41105</v>
      </c>
      <c r="B268" s="27">
        <v>430557.61</v>
      </c>
      <c r="C268" s="27">
        <v>959977.04</v>
      </c>
      <c r="D268" s="27">
        <v>566043.56999999995</v>
      </c>
      <c r="E268" s="27">
        <v>188756</v>
      </c>
      <c r="F268" s="27">
        <f t="shared" si="34"/>
        <v>2145334.2199999997</v>
      </c>
      <c r="G268" s="27">
        <f t="shared" si="35"/>
        <v>13281932.66</v>
      </c>
    </row>
    <row r="269" spans="1:7" x14ac:dyDescent="0.2">
      <c r="A269" s="31">
        <v>41136</v>
      </c>
      <c r="B269" s="27">
        <v>543721.11</v>
      </c>
      <c r="C269" s="27">
        <v>1123433.76</v>
      </c>
      <c r="D269" s="27">
        <v>1175673.76</v>
      </c>
      <c r="E269" s="27">
        <v>237384.13</v>
      </c>
      <c r="F269" s="27">
        <f t="shared" si="34"/>
        <v>3080212.76</v>
      </c>
      <c r="G269" s="27">
        <f t="shared" si="35"/>
        <v>16362145.42</v>
      </c>
    </row>
    <row r="270" spans="1:7" x14ac:dyDescent="0.2">
      <c r="A270" s="31">
        <v>41167</v>
      </c>
      <c r="B270" s="27">
        <v>560816.67000000004</v>
      </c>
      <c r="C270" s="27">
        <v>1244581.6000000001</v>
      </c>
      <c r="D270" s="27">
        <v>642566.07999999996</v>
      </c>
      <c r="E270" s="27">
        <v>294370.84000000003</v>
      </c>
      <c r="F270" s="27">
        <f t="shared" si="34"/>
        <v>2742335.19</v>
      </c>
      <c r="G270" s="27">
        <f t="shared" si="35"/>
        <v>19104480.609999999</v>
      </c>
    </row>
    <row r="271" spans="1:7" x14ac:dyDescent="0.2">
      <c r="A271" s="31">
        <v>41197</v>
      </c>
      <c r="B271" s="27">
        <v>477605.07</v>
      </c>
      <c r="C271" s="27">
        <v>1005608.81</v>
      </c>
      <c r="D271" s="27">
        <v>625990.28</v>
      </c>
      <c r="E271" s="27">
        <v>277740.43</v>
      </c>
      <c r="F271" s="27">
        <f t="shared" si="34"/>
        <v>2386944.5900000003</v>
      </c>
      <c r="G271" s="27">
        <f t="shared" si="35"/>
        <v>21491425.199999999</v>
      </c>
    </row>
    <row r="272" spans="1:7" x14ac:dyDescent="0.2">
      <c r="A272" s="31">
        <v>41228</v>
      </c>
      <c r="B272" s="27">
        <v>473922.86</v>
      </c>
      <c r="C272" s="27">
        <v>961052.99</v>
      </c>
      <c r="D272" s="27">
        <v>1126898.3700000001</v>
      </c>
      <c r="E272" s="27">
        <v>217415.3</v>
      </c>
      <c r="F272" s="27">
        <f t="shared" si="34"/>
        <v>2779289.52</v>
      </c>
      <c r="G272" s="27">
        <f t="shared" si="35"/>
        <v>24270714.719999999</v>
      </c>
    </row>
    <row r="273" spans="1:7" x14ac:dyDescent="0.2">
      <c r="A273" s="31">
        <v>41258</v>
      </c>
      <c r="B273" s="27">
        <v>415007.16</v>
      </c>
      <c r="C273" s="27">
        <v>933925.75</v>
      </c>
      <c r="D273" s="27">
        <v>553114.12</v>
      </c>
      <c r="E273" s="27">
        <v>202650.05</v>
      </c>
      <c r="F273" s="27">
        <f t="shared" si="34"/>
        <v>2104697.0799999996</v>
      </c>
      <c r="G273" s="27">
        <f>SUM(G272+F273)</f>
        <v>26375411.799999997</v>
      </c>
    </row>
    <row r="274" spans="1:7" x14ac:dyDescent="0.2">
      <c r="A274" s="19" t="s">
        <v>17</v>
      </c>
      <c r="B274" s="14">
        <f>SUM(B262:B273)</f>
        <v>4759214.55</v>
      </c>
      <c r="C274" s="14">
        <f>SUM(C262:C273)</f>
        <v>10105600.25</v>
      </c>
      <c r="D274" s="14">
        <f>SUM(D262:D273)</f>
        <v>9145419.0899999999</v>
      </c>
      <c r="E274" s="14">
        <f>SUM(E262:E273)</f>
        <v>2365177.9099999997</v>
      </c>
      <c r="F274" s="14">
        <f>SUM(F262:F273)</f>
        <v>26375411.799999997</v>
      </c>
      <c r="G274" s="25"/>
    </row>
    <row r="276" spans="1:7" x14ac:dyDescent="0.2">
      <c r="A276" s="26">
        <v>2011</v>
      </c>
      <c r="B276" s="25"/>
      <c r="C276" s="25"/>
      <c r="D276" s="25"/>
      <c r="E276" s="25"/>
      <c r="F276" s="25"/>
      <c r="G276" s="25"/>
    </row>
    <row r="277" spans="1:7" x14ac:dyDescent="0.2">
      <c r="A277" s="31">
        <v>40558</v>
      </c>
      <c r="B277" s="27">
        <v>185231.52</v>
      </c>
      <c r="C277" s="27">
        <v>564494.21</v>
      </c>
      <c r="D277" s="27">
        <v>239542.38</v>
      </c>
      <c r="E277" s="27">
        <v>119009.86</v>
      </c>
      <c r="F277" s="27">
        <f>SUM(B277:E277)</f>
        <v>1108277.97</v>
      </c>
      <c r="G277" s="27">
        <f>SUM(F277)</f>
        <v>1108277.97</v>
      </c>
    </row>
    <row r="278" spans="1:7" x14ac:dyDescent="0.2">
      <c r="A278" s="31">
        <v>40589</v>
      </c>
      <c r="B278" s="27">
        <v>295523.52</v>
      </c>
      <c r="C278" s="27">
        <v>543329.63</v>
      </c>
      <c r="D278" s="27">
        <v>1576251.57</v>
      </c>
      <c r="E278" s="27">
        <v>288628.8</v>
      </c>
      <c r="F278" s="27">
        <f>SUM(B278:E278)</f>
        <v>2703733.52</v>
      </c>
      <c r="G278" s="27">
        <f t="shared" ref="G278:G288" si="36">SUM(G277+F278)</f>
        <v>3812011.49</v>
      </c>
    </row>
    <row r="279" spans="1:7" x14ac:dyDescent="0.2">
      <c r="A279" s="31">
        <v>40617</v>
      </c>
      <c r="B279" s="27">
        <v>258361.33</v>
      </c>
      <c r="C279" s="27">
        <v>551474.66</v>
      </c>
      <c r="D279" s="27">
        <v>484561.1</v>
      </c>
      <c r="E279" s="27">
        <v>133747.79</v>
      </c>
      <c r="F279" s="27">
        <f t="shared" ref="F279:F288" si="37">SUM(B279:E279)</f>
        <v>1428144.88</v>
      </c>
      <c r="G279" s="27">
        <f t="shared" si="36"/>
        <v>5240156.37</v>
      </c>
    </row>
    <row r="280" spans="1:7" x14ac:dyDescent="0.2">
      <c r="A280" s="31">
        <v>40648</v>
      </c>
      <c r="B280" s="27">
        <v>263514.73</v>
      </c>
      <c r="C280" s="27">
        <v>556308.49</v>
      </c>
      <c r="D280" s="27">
        <v>418605.96</v>
      </c>
      <c r="E280" s="27">
        <v>135502.63</v>
      </c>
      <c r="F280" s="27">
        <f t="shared" si="37"/>
        <v>1373931.81</v>
      </c>
      <c r="G280" s="27">
        <f t="shared" si="36"/>
        <v>6614088.1799999997</v>
      </c>
    </row>
    <row r="281" spans="1:7" x14ac:dyDescent="0.2">
      <c r="A281" s="31">
        <v>40678</v>
      </c>
      <c r="B281" s="27">
        <v>322877.93</v>
      </c>
      <c r="C281" s="27">
        <v>622504.56999999995</v>
      </c>
      <c r="D281" s="27">
        <v>1057209.98</v>
      </c>
      <c r="E281" s="27">
        <v>176111.77</v>
      </c>
      <c r="F281" s="27">
        <f t="shared" si="37"/>
        <v>2178704.25</v>
      </c>
      <c r="G281" s="27">
        <f t="shared" si="36"/>
        <v>8792792.4299999997</v>
      </c>
    </row>
    <row r="282" spans="1:7" x14ac:dyDescent="0.2">
      <c r="A282" s="31">
        <v>40709</v>
      </c>
      <c r="B282" s="27">
        <v>357146.31</v>
      </c>
      <c r="C282" s="27">
        <v>769603.89</v>
      </c>
      <c r="D282" s="27">
        <v>524497.86</v>
      </c>
      <c r="E282" s="27">
        <v>161440.16</v>
      </c>
      <c r="F282" s="27">
        <f t="shared" si="37"/>
        <v>1812688.22</v>
      </c>
      <c r="G282" s="27">
        <f t="shared" si="36"/>
        <v>10605480.65</v>
      </c>
    </row>
    <row r="283" spans="1:7" x14ac:dyDescent="0.2">
      <c r="A283" s="31">
        <v>40739</v>
      </c>
      <c r="B283" s="27">
        <v>373441.61</v>
      </c>
      <c r="C283" s="27">
        <v>794425.13</v>
      </c>
      <c r="D283" s="27">
        <v>505145.03</v>
      </c>
      <c r="E283" s="27">
        <v>188899.63</v>
      </c>
      <c r="F283" s="27">
        <f t="shared" si="37"/>
        <v>1861911.4</v>
      </c>
      <c r="G283" s="27">
        <f t="shared" si="36"/>
        <v>12467392.050000001</v>
      </c>
    </row>
    <row r="284" spans="1:7" x14ac:dyDescent="0.2">
      <c r="A284" s="31">
        <v>40770</v>
      </c>
      <c r="B284" s="27">
        <v>461130.23999999999</v>
      </c>
      <c r="C284" s="27">
        <v>951811.17</v>
      </c>
      <c r="D284" s="27">
        <v>1136684.82</v>
      </c>
      <c r="E284" s="27">
        <v>235463.17</v>
      </c>
      <c r="F284" s="27">
        <f t="shared" si="37"/>
        <v>2785089.4000000004</v>
      </c>
      <c r="G284" s="27">
        <f t="shared" si="36"/>
        <v>15252481.450000001</v>
      </c>
    </row>
    <row r="285" spans="1:7" x14ac:dyDescent="0.2">
      <c r="A285" s="31">
        <v>40801</v>
      </c>
      <c r="B285" s="27">
        <v>571891.04</v>
      </c>
      <c r="C285" s="27">
        <v>1265611.3799999999</v>
      </c>
      <c r="D285" s="27">
        <v>584101.67000000004</v>
      </c>
      <c r="E285" s="27">
        <v>280880.07</v>
      </c>
      <c r="F285" s="27">
        <f t="shared" si="37"/>
        <v>2702484.1599999997</v>
      </c>
      <c r="G285" s="27">
        <f t="shared" si="36"/>
        <v>17954965.609999999</v>
      </c>
    </row>
    <row r="286" spans="1:7" x14ac:dyDescent="0.2">
      <c r="A286" s="31">
        <v>40831</v>
      </c>
      <c r="B286" s="27">
        <v>502298.24</v>
      </c>
      <c r="C286" s="27">
        <v>1052678.46</v>
      </c>
      <c r="D286" s="27">
        <v>547984.69999999995</v>
      </c>
      <c r="E286" s="27">
        <v>287022.92</v>
      </c>
      <c r="F286" s="27">
        <f t="shared" si="37"/>
        <v>2389984.3199999998</v>
      </c>
      <c r="G286" s="27">
        <f t="shared" si="36"/>
        <v>20344949.93</v>
      </c>
    </row>
    <row r="287" spans="1:7" x14ac:dyDescent="0.2">
      <c r="A287" s="31">
        <v>40862</v>
      </c>
      <c r="B287" s="27">
        <v>455849.81</v>
      </c>
      <c r="C287" s="27">
        <v>991805.52</v>
      </c>
      <c r="D287" s="27">
        <v>1129497.8500000001</v>
      </c>
      <c r="E287" s="27">
        <v>236676.62</v>
      </c>
      <c r="F287" s="27">
        <f t="shared" si="37"/>
        <v>2813829.8000000003</v>
      </c>
      <c r="G287" s="27">
        <f t="shared" si="36"/>
        <v>23158779.73</v>
      </c>
    </row>
    <row r="288" spans="1:7" x14ac:dyDescent="0.2">
      <c r="A288" s="31">
        <v>40892</v>
      </c>
      <c r="B288" s="27">
        <v>446684.98</v>
      </c>
      <c r="C288" s="27">
        <v>993755.63</v>
      </c>
      <c r="D288" s="27">
        <v>559876.94999999995</v>
      </c>
      <c r="E288" s="27">
        <v>294004.44</v>
      </c>
      <c r="F288" s="27">
        <f t="shared" si="37"/>
        <v>2294322</v>
      </c>
      <c r="G288" s="27">
        <f t="shared" si="36"/>
        <v>25453101.73</v>
      </c>
    </row>
    <row r="289" spans="1:7" x14ac:dyDescent="0.2">
      <c r="A289" s="19" t="s">
        <v>16</v>
      </c>
      <c r="B289" s="14">
        <f>SUM(B277:B288)</f>
        <v>4493951.2600000007</v>
      </c>
      <c r="C289" s="14">
        <f>SUM(C277:C288)</f>
        <v>9657802.7400000002</v>
      </c>
      <c r="D289" s="14">
        <f>SUM(D277:D288)</f>
        <v>8763959.870000001</v>
      </c>
      <c r="E289" s="14">
        <f>SUM(E277:E288)</f>
        <v>2537387.86</v>
      </c>
      <c r="F289" s="14">
        <f>SUM(F277:F288)</f>
        <v>25453101.73</v>
      </c>
      <c r="G289" s="25"/>
    </row>
    <row r="291" spans="1:7" x14ac:dyDescent="0.2">
      <c r="A291" s="26">
        <v>2010</v>
      </c>
      <c r="B291" s="14"/>
      <c r="C291" s="14"/>
      <c r="D291" s="14"/>
      <c r="E291" s="14"/>
      <c r="F291" s="14"/>
      <c r="G291" s="14"/>
    </row>
    <row r="292" spans="1:7" x14ac:dyDescent="0.2">
      <c r="A292" s="28">
        <v>40193</v>
      </c>
      <c r="B292" s="32">
        <v>162616.25</v>
      </c>
      <c r="C292" s="32">
        <v>496539.46</v>
      </c>
      <c r="D292" s="32">
        <v>134383.49</v>
      </c>
      <c r="E292" s="32">
        <v>103033.66</v>
      </c>
      <c r="F292" s="32">
        <f>SUM(B292:E292)</f>
        <v>896572.86</v>
      </c>
      <c r="G292" s="32">
        <f>SUM(B292:E292)</f>
        <v>896572.86</v>
      </c>
    </row>
    <row r="293" spans="1:7" x14ac:dyDescent="0.2">
      <c r="A293" s="28">
        <v>40224</v>
      </c>
      <c r="B293" s="32">
        <v>221869.29</v>
      </c>
      <c r="C293" s="32">
        <v>362515.53</v>
      </c>
      <c r="D293" s="32">
        <v>693743.44</v>
      </c>
      <c r="E293" s="32">
        <v>232329.44</v>
      </c>
      <c r="F293" s="32">
        <f t="shared" ref="F293:F303" si="38">SUM(B293:E293)</f>
        <v>1510457.7</v>
      </c>
      <c r="G293" s="32">
        <f t="shared" ref="G293:G303" si="39">SUM(G292+F293)</f>
        <v>2407030.56</v>
      </c>
    </row>
    <row r="294" spans="1:7" x14ac:dyDescent="0.2">
      <c r="A294" s="28">
        <v>40252</v>
      </c>
      <c r="B294" s="32">
        <v>153332.79</v>
      </c>
      <c r="C294" s="32">
        <v>468161.11</v>
      </c>
      <c r="D294" s="32">
        <v>137569.69</v>
      </c>
      <c r="E294" s="32">
        <v>84015.22</v>
      </c>
      <c r="F294" s="32">
        <f t="shared" si="38"/>
        <v>843078.81</v>
      </c>
      <c r="G294" s="32">
        <f t="shared" si="39"/>
        <v>3250109.37</v>
      </c>
    </row>
    <row r="295" spans="1:7" x14ac:dyDescent="0.2">
      <c r="A295" s="28">
        <v>40283</v>
      </c>
      <c r="B295" s="32">
        <v>199859.02</v>
      </c>
      <c r="C295" s="32">
        <v>538314.9</v>
      </c>
      <c r="D295" s="32">
        <v>144423.32</v>
      </c>
      <c r="E295" s="32">
        <v>83535.429999999993</v>
      </c>
      <c r="F295" s="32">
        <f t="shared" si="38"/>
        <v>966132.66999999993</v>
      </c>
      <c r="G295" s="32">
        <f t="shared" si="39"/>
        <v>4216242.04</v>
      </c>
    </row>
    <row r="296" spans="1:7" x14ac:dyDescent="0.2">
      <c r="A296" s="28">
        <v>40313</v>
      </c>
      <c r="B296" s="32">
        <v>289393.43</v>
      </c>
      <c r="C296" s="32">
        <v>688693.26</v>
      </c>
      <c r="D296" s="32">
        <v>658715.46</v>
      </c>
      <c r="E296" s="32">
        <v>211833.47</v>
      </c>
      <c r="F296" s="32">
        <f t="shared" si="38"/>
        <v>1848635.6199999999</v>
      </c>
      <c r="G296" s="32">
        <f t="shared" si="39"/>
        <v>6064877.6600000001</v>
      </c>
    </row>
    <row r="297" spans="1:7" x14ac:dyDescent="0.2">
      <c r="A297" s="28">
        <v>40344</v>
      </c>
      <c r="B297" s="32">
        <v>205258.96</v>
      </c>
      <c r="C297" s="32">
        <v>582784.94999999995</v>
      </c>
      <c r="D297" s="32">
        <v>147905.16</v>
      </c>
      <c r="E297" s="32">
        <v>99923.1</v>
      </c>
      <c r="F297" s="32">
        <f t="shared" si="38"/>
        <v>1035872.1699999999</v>
      </c>
      <c r="G297" s="32">
        <f t="shared" si="39"/>
        <v>7100749.8300000001</v>
      </c>
    </row>
    <row r="298" spans="1:7" x14ac:dyDescent="0.2">
      <c r="A298" s="28">
        <v>40374</v>
      </c>
      <c r="B298" s="32">
        <v>268971.46999999997</v>
      </c>
      <c r="C298" s="32">
        <v>790705.68</v>
      </c>
      <c r="D298" s="32">
        <v>167443.66</v>
      </c>
      <c r="E298" s="32">
        <v>118547.28</v>
      </c>
      <c r="F298" s="32">
        <f t="shared" si="38"/>
        <v>1345668.0899999999</v>
      </c>
      <c r="G298" s="32">
        <f t="shared" si="39"/>
        <v>8446417.9199999999</v>
      </c>
    </row>
    <row r="299" spans="1:7" x14ac:dyDescent="0.2">
      <c r="A299" s="28">
        <v>40405</v>
      </c>
      <c r="B299" s="32">
        <v>429451.49</v>
      </c>
      <c r="C299" s="32">
        <v>969822.15</v>
      </c>
      <c r="D299" s="32">
        <v>743093.76000000001</v>
      </c>
      <c r="E299" s="32">
        <v>309066.55</v>
      </c>
      <c r="F299" s="32">
        <f t="shared" si="38"/>
        <v>2451433.9500000002</v>
      </c>
      <c r="G299" s="32">
        <f t="shared" si="39"/>
        <v>10897851.870000001</v>
      </c>
    </row>
    <row r="300" spans="1:7" x14ac:dyDescent="0.2">
      <c r="A300" s="28">
        <v>40436</v>
      </c>
      <c r="B300" s="32">
        <v>378278.33</v>
      </c>
      <c r="C300" s="32">
        <v>1144229.25</v>
      </c>
      <c r="D300" s="32">
        <v>344009.49</v>
      </c>
      <c r="E300" s="32">
        <v>191470.32</v>
      </c>
      <c r="F300" s="32">
        <f t="shared" si="38"/>
        <v>2057987.3900000001</v>
      </c>
      <c r="G300" s="32">
        <f t="shared" si="39"/>
        <v>12955839.260000002</v>
      </c>
    </row>
    <row r="301" spans="1:7" x14ac:dyDescent="0.2">
      <c r="A301" s="28">
        <v>40466</v>
      </c>
      <c r="B301" s="32">
        <v>343622.22</v>
      </c>
      <c r="C301" s="32">
        <v>1006824.08</v>
      </c>
      <c r="D301" s="32">
        <v>315668.28999999998</v>
      </c>
      <c r="E301" s="32">
        <v>208478.26</v>
      </c>
      <c r="F301" s="32">
        <f t="shared" si="38"/>
        <v>1874592.8499999999</v>
      </c>
      <c r="G301" s="32">
        <f t="shared" si="39"/>
        <v>14830432.110000001</v>
      </c>
    </row>
    <row r="302" spans="1:7" x14ac:dyDescent="0.2">
      <c r="A302" s="28">
        <v>40497</v>
      </c>
      <c r="B302" s="32">
        <v>442083.71</v>
      </c>
      <c r="C302" s="32">
        <v>926951.42</v>
      </c>
      <c r="D302" s="32">
        <v>1400186.44</v>
      </c>
      <c r="E302" s="32">
        <v>394052.18</v>
      </c>
      <c r="F302" s="32">
        <f t="shared" si="38"/>
        <v>3163273.7500000005</v>
      </c>
      <c r="G302" s="32">
        <f t="shared" si="39"/>
        <v>17993705.860000003</v>
      </c>
    </row>
    <row r="303" spans="1:7" x14ac:dyDescent="0.2">
      <c r="A303" s="28">
        <v>40527</v>
      </c>
      <c r="B303" s="32">
        <v>293196.56</v>
      </c>
      <c r="C303" s="32">
        <v>844740.84</v>
      </c>
      <c r="D303" s="32">
        <v>347831.96</v>
      </c>
      <c r="E303" s="32">
        <v>148092.6</v>
      </c>
      <c r="F303" s="32">
        <f t="shared" si="38"/>
        <v>1633861.96</v>
      </c>
      <c r="G303" s="32">
        <f t="shared" si="39"/>
        <v>19627567.820000004</v>
      </c>
    </row>
    <row r="304" spans="1:7" x14ac:dyDescent="0.2">
      <c r="A304" s="19" t="s">
        <v>15</v>
      </c>
      <c r="B304" s="14">
        <f>SUM(B292:B303)</f>
        <v>3387933.52</v>
      </c>
      <c r="C304" s="14">
        <f>SUM(C292:C303)</f>
        <v>8820282.6300000008</v>
      </c>
      <c r="D304" s="14">
        <f>SUM(D292:D303)</f>
        <v>5234974.1599999992</v>
      </c>
      <c r="E304" s="14">
        <f>SUM(E292:E303)</f>
        <v>2184377.5099999998</v>
      </c>
      <c r="F304" s="14">
        <f>SUM(F292:F303)</f>
        <v>19627567.820000004</v>
      </c>
      <c r="G304" s="14"/>
    </row>
  </sheetData>
  <phoneticPr fontId="0" type="noConversion"/>
  <pageMargins left="0.5" right="0.5" top="0.5" bottom="0.5" header="0.5" footer="0.5"/>
  <pageSetup scale="65" fitToHeight="0" orientation="portrait" r:id="rId1"/>
  <headerFooter alignWithMargins="0"/>
  <ignoredErrors>
    <ignoredError sqref="F32:F33 F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2B029-BFF5-4D6A-A8DD-EF0B507FC524}">
  <dimension ref="A1:G288"/>
  <sheetViews>
    <sheetView workbookViewId="0">
      <selection activeCell="B32" sqref="B32"/>
    </sheetView>
  </sheetViews>
  <sheetFormatPr defaultRowHeight="15" x14ac:dyDescent="0.2"/>
  <cols>
    <col min="1" max="1" width="9.33203125" customWidth="1"/>
    <col min="2" max="4" width="12.44140625" bestFit="1" customWidth="1"/>
    <col min="5" max="5" width="11.6640625" bestFit="1" customWidth="1"/>
    <col min="6" max="7" width="12.44140625" bestFit="1" customWidth="1"/>
  </cols>
  <sheetData>
    <row r="1" spans="1:7" x14ac:dyDescent="0.2">
      <c r="A1" s="1" t="s">
        <v>0</v>
      </c>
      <c r="B1" s="7"/>
      <c r="C1" s="7"/>
      <c r="D1" s="7"/>
      <c r="E1" s="7"/>
      <c r="F1" s="7"/>
      <c r="G1" s="7"/>
    </row>
    <row r="2" spans="1:7" x14ac:dyDescent="0.2">
      <c r="A2" s="1" t="s">
        <v>12</v>
      </c>
      <c r="B2" s="7"/>
      <c r="C2" s="7"/>
      <c r="D2" s="7"/>
      <c r="E2" s="7"/>
      <c r="F2" s="7"/>
      <c r="G2" s="7"/>
    </row>
    <row r="3" spans="1:7" x14ac:dyDescent="0.2">
      <c r="A3" s="1" t="s">
        <v>14</v>
      </c>
      <c r="B3" s="7"/>
      <c r="C3" s="7"/>
      <c r="D3" s="7"/>
      <c r="E3" s="7"/>
      <c r="F3" s="7"/>
      <c r="G3" s="7"/>
    </row>
    <row r="4" spans="1:7" x14ac:dyDescent="0.2">
      <c r="A4" s="15" t="s">
        <v>13</v>
      </c>
      <c r="B4" s="7"/>
      <c r="C4" s="7"/>
      <c r="D4" s="7"/>
      <c r="E4" s="7"/>
      <c r="F4" s="7"/>
      <c r="G4" s="7"/>
    </row>
    <row r="5" spans="1:7" x14ac:dyDescent="0.2">
      <c r="A5" s="15"/>
      <c r="B5" s="7"/>
      <c r="C5" s="7"/>
      <c r="D5" s="7"/>
      <c r="E5" s="7"/>
      <c r="F5" s="7"/>
      <c r="G5" s="7"/>
    </row>
    <row r="6" spans="1:7" x14ac:dyDescent="0.2">
      <c r="A6" s="15"/>
      <c r="B6" s="7"/>
      <c r="C6" s="7"/>
      <c r="D6" s="7"/>
      <c r="E6" s="7"/>
      <c r="F6" s="7"/>
      <c r="G6" s="7"/>
    </row>
    <row r="7" spans="1:7" x14ac:dyDescent="0.2">
      <c r="A7" s="9"/>
      <c r="B7" s="18" t="s">
        <v>1</v>
      </c>
      <c r="C7" s="18" t="s">
        <v>2</v>
      </c>
      <c r="D7" s="18" t="s">
        <v>3</v>
      </c>
      <c r="E7" s="18" t="s">
        <v>4</v>
      </c>
      <c r="F7" s="18" t="s">
        <v>5</v>
      </c>
      <c r="G7" s="18" t="s">
        <v>6</v>
      </c>
    </row>
    <row r="8" spans="1:7" x14ac:dyDescent="0.2">
      <c r="A8" s="10" t="s">
        <v>7</v>
      </c>
      <c r="B8" s="2" t="s">
        <v>8</v>
      </c>
      <c r="C8" s="2" t="s">
        <v>9</v>
      </c>
      <c r="D8" s="2" t="s">
        <v>21</v>
      </c>
      <c r="E8" s="2" t="s">
        <v>10</v>
      </c>
      <c r="F8" s="2" t="s">
        <v>11</v>
      </c>
      <c r="G8" s="2" t="s">
        <v>11</v>
      </c>
    </row>
    <row r="9" spans="1:7" x14ac:dyDescent="0.2">
      <c r="A9" s="8"/>
      <c r="B9" s="11"/>
      <c r="C9" s="11"/>
      <c r="D9" s="11"/>
      <c r="E9" s="11"/>
      <c r="F9" s="11"/>
      <c r="G9" s="11"/>
    </row>
    <row r="10" spans="1:7" x14ac:dyDescent="0.2">
      <c r="A10" s="3">
        <v>2024</v>
      </c>
      <c r="B10" s="11"/>
      <c r="C10" s="11"/>
      <c r="D10" s="11"/>
      <c r="E10" s="11"/>
      <c r="F10" s="11"/>
      <c r="G10" s="11"/>
    </row>
    <row r="11" spans="1:7" x14ac:dyDescent="0.2">
      <c r="A11" s="9">
        <v>45306</v>
      </c>
      <c r="B11" s="13">
        <f>310582.21</f>
        <v>310582.21000000002</v>
      </c>
      <c r="C11" s="13">
        <f>550881.92</f>
        <v>550881.92000000004</v>
      </c>
      <c r="D11" s="13">
        <f>800399.46</f>
        <v>800399.46</v>
      </c>
      <c r="E11" s="13">
        <f>228433.64</f>
        <v>228433.64</v>
      </c>
      <c r="F11" s="13">
        <f>SUM(B11:E11)</f>
        <v>1890297.23</v>
      </c>
      <c r="G11" s="13">
        <f>SUM(F11)</f>
        <v>1890297.23</v>
      </c>
    </row>
    <row r="12" spans="1:7" x14ac:dyDescent="0.2">
      <c r="A12" s="9">
        <v>45337</v>
      </c>
      <c r="B12" s="13"/>
      <c r="C12" s="13"/>
      <c r="D12" s="13"/>
      <c r="E12" s="13"/>
      <c r="F12" s="13"/>
      <c r="G12" s="13"/>
    </row>
    <row r="13" spans="1:7" x14ac:dyDescent="0.2">
      <c r="A13" s="9">
        <v>45366</v>
      </c>
      <c r="B13" s="13"/>
      <c r="C13" s="13"/>
      <c r="D13" s="13"/>
      <c r="E13" s="13"/>
      <c r="F13" s="13"/>
      <c r="G13" s="13"/>
    </row>
    <row r="14" spans="1:7" x14ac:dyDescent="0.2">
      <c r="A14" s="9">
        <v>45397</v>
      </c>
      <c r="B14" s="13"/>
      <c r="C14" s="13"/>
      <c r="D14" s="13"/>
      <c r="E14" s="13"/>
      <c r="F14" s="13"/>
      <c r="G14" s="13"/>
    </row>
    <row r="15" spans="1:7" x14ac:dyDescent="0.2">
      <c r="A15" s="9">
        <v>45427</v>
      </c>
      <c r="B15" s="13"/>
      <c r="C15" s="13"/>
      <c r="D15" s="13"/>
      <c r="E15" s="13"/>
      <c r="F15" s="13"/>
      <c r="G15" s="13"/>
    </row>
    <row r="16" spans="1:7" x14ac:dyDescent="0.2">
      <c r="A16" s="9">
        <v>45458</v>
      </c>
      <c r="B16" s="13"/>
      <c r="C16" s="13"/>
      <c r="D16" s="13"/>
      <c r="E16" s="13"/>
      <c r="F16" s="13"/>
      <c r="G16" s="13"/>
    </row>
    <row r="17" spans="1:7" x14ac:dyDescent="0.2">
      <c r="A17" s="9">
        <v>45488</v>
      </c>
      <c r="B17" s="13"/>
      <c r="C17" s="13"/>
      <c r="D17" s="13"/>
      <c r="E17" s="13"/>
      <c r="F17" s="13"/>
      <c r="G17" s="13"/>
    </row>
    <row r="18" spans="1:7" x14ac:dyDescent="0.2">
      <c r="A18" s="9">
        <v>45519</v>
      </c>
      <c r="B18" s="13"/>
      <c r="C18" s="13"/>
      <c r="D18" s="13"/>
      <c r="E18" s="13"/>
      <c r="F18" s="13"/>
      <c r="G18" s="13"/>
    </row>
    <row r="19" spans="1:7" x14ac:dyDescent="0.2">
      <c r="A19" s="9">
        <v>45550</v>
      </c>
      <c r="B19" s="13"/>
      <c r="C19" s="13"/>
      <c r="D19" s="13"/>
      <c r="E19" s="13"/>
      <c r="F19" s="13"/>
      <c r="G19" s="13"/>
    </row>
    <row r="20" spans="1:7" x14ac:dyDescent="0.2">
      <c r="A20" s="9">
        <v>45580</v>
      </c>
      <c r="B20" s="13"/>
      <c r="C20" s="13"/>
      <c r="D20" s="13"/>
      <c r="E20" s="13"/>
      <c r="F20" s="13"/>
      <c r="G20" s="13"/>
    </row>
    <row r="21" spans="1:7" x14ac:dyDescent="0.2">
      <c r="A21" s="9">
        <v>45611</v>
      </c>
      <c r="B21" s="13"/>
      <c r="C21" s="13"/>
      <c r="D21" s="13"/>
      <c r="E21" s="13"/>
      <c r="F21" s="13"/>
      <c r="G21" s="13"/>
    </row>
    <row r="22" spans="1:7" x14ac:dyDescent="0.2">
      <c r="A22" s="9">
        <v>45641</v>
      </c>
      <c r="B22" s="13"/>
      <c r="C22" s="13"/>
      <c r="D22" s="13"/>
      <c r="E22" s="13"/>
      <c r="F22" s="13"/>
      <c r="G22" s="13"/>
    </row>
    <row r="23" spans="1:7" ht="15.75" thickBot="1" x14ac:dyDescent="0.25">
      <c r="A23" s="1" t="s">
        <v>30</v>
      </c>
      <c r="B23" s="6">
        <f>SUM(B11:B22)</f>
        <v>310582.21000000002</v>
      </c>
      <c r="C23" s="6">
        <f>SUM(C11:C22)</f>
        <v>550881.92000000004</v>
      </c>
      <c r="D23" s="6">
        <f>SUM(D11:D22)</f>
        <v>800399.46</v>
      </c>
      <c r="E23" s="6">
        <f>SUM(E11:E22)</f>
        <v>228433.64</v>
      </c>
      <c r="F23" s="6">
        <f>SUM(F11:F22)</f>
        <v>1890297.23</v>
      </c>
      <c r="G23" s="11"/>
    </row>
    <row r="24" spans="1:7" ht="15.75" thickTop="1" x14ac:dyDescent="0.2">
      <c r="A24" s="4"/>
      <c r="B24" s="7"/>
      <c r="C24" s="7"/>
      <c r="D24" s="7"/>
      <c r="E24" s="7"/>
      <c r="F24" s="7"/>
      <c r="G24" s="7"/>
    </row>
    <row r="25" spans="1:7" x14ac:dyDescent="0.2">
      <c r="A25" s="9"/>
      <c r="B25" s="18" t="s">
        <v>1</v>
      </c>
      <c r="C25" s="18" t="s">
        <v>2</v>
      </c>
      <c r="D25" s="18" t="s">
        <v>3</v>
      </c>
      <c r="E25" s="18" t="s">
        <v>4</v>
      </c>
      <c r="F25" s="18" t="s">
        <v>5</v>
      </c>
      <c r="G25" s="18" t="s">
        <v>6</v>
      </c>
    </row>
    <row r="26" spans="1:7" x14ac:dyDescent="0.2">
      <c r="A26" s="10" t="s">
        <v>7</v>
      </c>
      <c r="B26" s="2" t="s">
        <v>8</v>
      </c>
      <c r="C26" s="2" t="s">
        <v>9</v>
      </c>
      <c r="D26" s="2" t="s">
        <v>21</v>
      </c>
      <c r="E26" s="2" t="s">
        <v>10</v>
      </c>
      <c r="F26" s="2" t="s">
        <v>11</v>
      </c>
      <c r="G26" s="2" t="s">
        <v>11</v>
      </c>
    </row>
    <row r="27" spans="1:7" x14ac:dyDescent="0.2">
      <c r="A27" s="8"/>
      <c r="B27" s="11"/>
      <c r="C27" s="11"/>
      <c r="D27" s="11"/>
      <c r="E27" s="11"/>
      <c r="F27" s="11"/>
      <c r="G27" s="11"/>
    </row>
    <row r="28" spans="1:7" x14ac:dyDescent="0.2">
      <c r="A28" s="3">
        <v>2023</v>
      </c>
      <c r="B28" s="11"/>
      <c r="C28" s="11"/>
      <c r="D28" s="11"/>
      <c r="E28" s="11"/>
      <c r="F28" s="11"/>
      <c r="G28" s="11"/>
    </row>
    <row r="29" spans="1:7" x14ac:dyDescent="0.2">
      <c r="A29" s="9">
        <v>44941</v>
      </c>
      <c r="B29" s="13">
        <v>313783.02</v>
      </c>
      <c r="C29" s="13">
        <v>493397.24</v>
      </c>
      <c r="D29" s="13">
        <v>746669.85</v>
      </c>
      <c r="E29" s="13">
        <v>238696.98</v>
      </c>
      <c r="F29" s="13">
        <f t="shared" ref="F29:F39" si="0">SUM(B29:E29)</f>
        <v>1792547.0899999999</v>
      </c>
      <c r="G29" s="13">
        <f>SUM(F29)</f>
        <v>1792547.0899999999</v>
      </c>
    </row>
    <row r="30" spans="1:7" x14ac:dyDescent="0.2">
      <c r="A30" s="9">
        <v>44972</v>
      </c>
      <c r="B30" s="13">
        <f>1150850.02</f>
        <v>1150850.02</v>
      </c>
      <c r="C30" s="13">
        <f>1774323.67</f>
        <v>1774323.67</v>
      </c>
      <c r="D30" s="13">
        <f>2146946.85</f>
        <v>2146946.85</v>
      </c>
      <c r="E30" s="13">
        <f>243027.02</f>
        <v>243027.02</v>
      </c>
      <c r="F30" s="13">
        <f t="shared" si="0"/>
        <v>5315147.5599999996</v>
      </c>
      <c r="G30" s="13">
        <f t="shared" ref="G30:G36" si="1">G29+F30</f>
        <v>7107694.6499999994</v>
      </c>
    </row>
    <row r="31" spans="1:7" x14ac:dyDescent="0.2">
      <c r="A31" s="9">
        <v>45000</v>
      </c>
      <c r="B31" s="13">
        <f>303756.98</f>
        <v>303756.98</v>
      </c>
      <c r="C31" s="13">
        <f>595837.81</f>
        <v>595837.81000000006</v>
      </c>
      <c r="D31" s="13">
        <f>739816.02</f>
        <v>739816.02</v>
      </c>
      <c r="E31" s="13">
        <f>270758.2</f>
        <v>270758.2</v>
      </c>
      <c r="F31" s="13">
        <f t="shared" si="0"/>
        <v>1910169.01</v>
      </c>
      <c r="G31" s="13">
        <f t="shared" si="1"/>
        <v>9017863.6600000001</v>
      </c>
    </row>
    <row r="32" spans="1:7" x14ac:dyDescent="0.2">
      <c r="A32" s="9">
        <v>45031</v>
      </c>
      <c r="B32" s="13">
        <f>380169.24</f>
        <v>380169.24</v>
      </c>
      <c r="C32" s="13">
        <f>711358.22</f>
        <v>711358.22</v>
      </c>
      <c r="D32" s="13">
        <f>846576.56</f>
        <v>846576.56</v>
      </c>
      <c r="E32" s="13">
        <f>80801.35</f>
        <v>80801.350000000006</v>
      </c>
      <c r="F32" s="13">
        <f t="shared" si="0"/>
        <v>2018905.37</v>
      </c>
      <c r="G32" s="13">
        <f t="shared" si="1"/>
        <v>11036769.030000001</v>
      </c>
    </row>
    <row r="33" spans="1:7" x14ac:dyDescent="0.2">
      <c r="A33" s="9">
        <v>45061</v>
      </c>
      <c r="B33" s="13">
        <f>1143792.31</f>
        <v>1143792.31</v>
      </c>
      <c r="C33" s="13">
        <f>1828453.98</f>
        <v>1828453.98</v>
      </c>
      <c r="D33" s="13">
        <f>1680737.77</f>
        <v>1680737.77</v>
      </c>
      <c r="E33" s="13">
        <f>242404.92</f>
        <v>242404.92</v>
      </c>
      <c r="F33" s="13">
        <f t="shared" si="0"/>
        <v>4895388.9800000004</v>
      </c>
      <c r="G33" s="13">
        <f t="shared" si="1"/>
        <v>15932158.010000002</v>
      </c>
    </row>
    <row r="34" spans="1:7" x14ac:dyDescent="0.2">
      <c r="A34" s="9">
        <v>45092</v>
      </c>
      <c r="B34" s="13">
        <f>436065.15</f>
        <v>436065.15</v>
      </c>
      <c r="C34" s="13">
        <f>810606.74</f>
        <v>810606.74</v>
      </c>
      <c r="D34" s="13">
        <f>873600.21</f>
        <v>873600.21</v>
      </c>
      <c r="E34" s="13">
        <f>221849.62</f>
        <v>221849.62</v>
      </c>
      <c r="F34" s="13">
        <f t="shared" si="0"/>
        <v>2342121.7200000002</v>
      </c>
      <c r="G34" s="13">
        <f t="shared" si="1"/>
        <v>18274279.73</v>
      </c>
    </row>
    <row r="35" spans="1:7" x14ac:dyDescent="0.2">
      <c r="A35" s="9">
        <v>45122</v>
      </c>
      <c r="B35" s="13">
        <f>520040.93</f>
        <v>520040.93</v>
      </c>
      <c r="C35" s="13">
        <f>902940.39</f>
        <v>902940.39</v>
      </c>
      <c r="D35" s="13">
        <f>903157.92</f>
        <v>903157.92</v>
      </c>
      <c r="E35" s="13">
        <f>262268.56</f>
        <v>262268.56</v>
      </c>
      <c r="F35" s="13">
        <f t="shared" si="0"/>
        <v>2588407.8000000003</v>
      </c>
      <c r="G35" s="13">
        <f t="shared" si="1"/>
        <v>20862687.530000001</v>
      </c>
    </row>
    <row r="36" spans="1:7" x14ac:dyDescent="0.2">
      <c r="A36" s="9">
        <v>45153</v>
      </c>
      <c r="B36" s="13">
        <f>1887157.13</f>
        <v>1887157.13</v>
      </c>
      <c r="C36" s="13">
        <f>3101253.51</f>
        <v>3101253.51</v>
      </c>
      <c r="D36" s="13">
        <f>2026249.67</f>
        <v>2026249.67</v>
      </c>
      <c r="E36" s="13">
        <f>339853.85</f>
        <v>339853.85</v>
      </c>
      <c r="F36" s="13">
        <f t="shared" si="0"/>
        <v>7354514.1599999992</v>
      </c>
      <c r="G36" s="13">
        <f t="shared" si="1"/>
        <v>28217201.690000001</v>
      </c>
    </row>
    <row r="37" spans="1:7" x14ac:dyDescent="0.2">
      <c r="A37" s="9">
        <v>45184</v>
      </c>
      <c r="B37" s="13">
        <f>590360.81</f>
        <v>590360.81000000006</v>
      </c>
      <c r="C37" s="13">
        <f>1188847.75</f>
        <v>1188847.75</v>
      </c>
      <c r="D37" s="13">
        <f>937938.7</f>
        <v>937938.7</v>
      </c>
      <c r="E37" s="13">
        <f>401153.74</f>
        <v>401153.74</v>
      </c>
      <c r="F37" s="13">
        <f t="shared" si="0"/>
        <v>3118301</v>
      </c>
      <c r="G37" s="13">
        <f>G36+F37</f>
        <v>31335502.690000001</v>
      </c>
    </row>
    <row r="38" spans="1:7" x14ac:dyDescent="0.2">
      <c r="A38" s="9">
        <v>45214</v>
      </c>
      <c r="B38" s="13">
        <f>674840.75</f>
        <v>674840.75</v>
      </c>
      <c r="C38" s="13">
        <f>1245421.48</f>
        <v>1245421.48</v>
      </c>
      <c r="D38" s="13">
        <f>915098.36</f>
        <v>915098.36</v>
      </c>
      <c r="E38" s="13">
        <f>391194.55</f>
        <v>391194.55</v>
      </c>
      <c r="F38" s="13">
        <f t="shared" si="0"/>
        <v>3226555.1399999997</v>
      </c>
      <c r="G38" s="13">
        <f>G37+F38</f>
        <v>34562057.829999998</v>
      </c>
    </row>
    <row r="39" spans="1:7" x14ac:dyDescent="0.2">
      <c r="A39" s="9">
        <v>45245</v>
      </c>
      <c r="B39" s="13">
        <f>2245797.75</f>
        <v>2245797.75</v>
      </c>
      <c r="C39" s="13">
        <f>3536424.46</f>
        <v>3536424.46</v>
      </c>
      <c r="D39" s="13">
        <f>1910639.89</f>
        <v>1910639.89</v>
      </c>
      <c r="E39" s="13">
        <f>483639.73</f>
        <v>483639.73</v>
      </c>
      <c r="F39" s="13">
        <f t="shared" si="0"/>
        <v>8176501.8300000001</v>
      </c>
      <c r="G39" s="13">
        <f>G38+F39</f>
        <v>42738559.659999996</v>
      </c>
    </row>
    <row r="40" spans="1:7" x14ac:dyDescent="0.2">
      <c r="A40" s="9">
        <v>45275</v>
      </c>
      <c r="B40" s="13">
        <f>581030.29</f>
        <v>581030.29</v>
      </c>
      <c r="C40" s="13">
        <f>1183343.04</f>
        <v>1183343.04</v>
      </c>
      <c r="D40" s="13">
        <f>897829.65</f>
        <v>897829.65</v>
      </c>
      <c r="E40" s="13">
        <f>153566.04</f>
        <v>153566.04</v>
      </c>
      <c r="F40" s="13">
        <f>SUM(B40:E40)</f>
        <v>2815769.02</v>
      </c>
      <c r="G40" s="13">
        <f>G39+F40</f>
        <v>45554328.68</v>
      </c>
    </row>
    <row r="41" spans="1:7" ht="15.75" thickBot="1" x14ac:dyDescent="0.25">
      <c r="A41" s="1" t="s">
        <v>29</v>
      </c>
      <c r="B41" s="6">
        <f>SUM(B29:B40)</f>
        <v>10227644.379999999</v>
      </c>
      <c r="C41" s="6">
        <f>SUM(C29:C40)</f>
        <v>17372208.289999999</v>
      </c>
      <c r="D41" s="6">
        <f>SUM(D29:D40)</f>
        <v>14625261.450000001</v>
      </c>
      <c r="E41" s="6">
        <f>SUM(E29:E40)</f>
        <v>3329214.56</v>
      </c>
      <c r="F41" s="6">
        <f>SUM(F29:F40)</f>
        <v>45554328.68</v>
      </c>
      <c r="G41" s="11"/>
    </row>
    <row r="42" spans="1:7" ht="15.75" thickTop="1" x14ac:dyDescent="0.2">
      <c r="A42" s="4"/>
      <c r="B42" s="7"/>
      <c r="C42" s="7"/>
      <c r="D42" s="7"/>
      <c r="E42" s="7"/>
      <c r="F42" s="7"/>
      <c r="G42" s="7"/>
    </row>
    <row r="43" spans="1:7" x14ac:dyDescent="0.2">
      <c r="A43" s="9"/>
      <c r="B43" s="18" t="s">
        <v>1</v>
      </c>
      <c r="C43" s="18" t="s">
        <v>2</v>
      </c>
      <c r="D43" s="18" t="s">
        <v>3</v>
      </c>
      <c r="E43" s="18" t="s">
        <v>4</v>
      </c>
      <c r="F43" s="18" t="s">
        <v>5</v>
      </c>
      <c r="G43" s="18" t="s">
        <v>6</v>
      </c>
    </row>
    <row r="44" spans="1:7" x14ac:dyDescent="0.2">
      <c r="A44" s="10" t="s">
        <v>7</v>
      </c>
      <c r="B44" s="2" t="s">
        <v>8</v>
      </c>
      <c r="C44" s="2" t="s">
        <v>9</v>
      </c>
      <c r="D44" s="2" t="s">
        <v>21</v>
      </c>
      <c r="E44" s="2" t="s">
        <v>10</v>
      </c>
      <c r="F44" s="2" t="s">
        <v>11</v>
      </c>
      <c r="G44" s="2" t="s">
        <v>11</v>
      </c>
    </row>
    <row r="45" spans="1:7" x14ac:dyDescent="0.2">
      <c r="A45" s="8"/>
      <c r="B45" s="11"/>
      <c r="C45" s="11"/>
      <c r="D45" s="11"/>
      <c r="E45" s="11"/>
      <c r="F45" s="11"/>
      <c r="G45" s="11"/>
    </row>
    <row r="46" spans="1:7" x14ac:dyDescent="0.2">
      <c r="A46" s="3">
        <v>2022</v>
      </c>
      <c r="B46" s="11"/>
      <c r="C46" s="11"/>
      <c r="D46" s="11"/>
      <c r="E46" s="11"/>
      <c r="F46" s="11"/>
      <c r="G46" s="11"/>
    </row>
    <row r="47" spans="1:7" x14ac:dyDescent="0.2">
      <c r="A47" s="9">
        <v>44576</v>
      </c>
      <c r="B47" s="13">
        <f>323699.14</f>
        <v>323699.14</v>
      </c>
      <c r="C47" s="13">
        <f>580748.55</f>
        <v>580748.55000000005</v>
      </c>
      <c r="D47" s="13">
        <f>642855.58</f>
        <v>642855.57999999996</v>
      </c>
      <c r="E47" s="13">
        <f>214566.96</f>
        <v>214566.96</v>
      </c>
      <c r="F47" s="13">
        <f t="shared" ref="F47:F58" si="2">SUM(B47:E47)</f>
        <v>1761870.23</v>
      </c>
      <c r="G47" s="13">
        <f>SUM(F47)</f>
        <v>1761870.23</v>
      </c>
    </row>
    <row r="48" spans="1:7" x14ac:dyDescent="0.2">
      <c r="A48" s="9">
        <v>44607</v>
      </c>
      <c r="B48" s="13">
        <f>1061435.28</f>
        <v>1061435.28</v>
      </c>
      <c r="C48" s="13">
        <f>1705190.46</f>
        <v>1705190.46</v>
      </c>
      <c r="D48" s="13">
        <f>1843930.31</f>
        <v>1843930.31</v>
      </c>
      <c r="E48" s="13">
        <f>219264.45</f>
        <v>219264.45</v>
      </c>
      <c r="F48" s="13">
        <f t="shared" si="2"/>
        <v>4829820.5000000009</v>
      </c>
      <c r="G48" s="13">
        <f t="shared" ref="G48:G58" si="3">G47+F48</f>
        <v>6591690.7300000004</v>
      </c>
    </row>
    <row r="49" spans="1:7" x14ac:dyDescent="0.2">
      <c r="A49" s="9">
        <v>44635</v>
      </c>
      <c r="B49" s="13">
        <f>202455.23</f>
        <v>202455.23</v>
      </c>
      <c r="C49" s="13">
        <f>369536.62</f>
        <v>369536.62</v>
      </c>
      <c r="D49" s="13">
        <f>570691.87</f>
        <v>570691.87</v>
      </c>
      <c r="E49" s="13">
        <f>191681.38</f>
        <v>191681.38</v>
      </c>
      <c r="F49" s="13">
        <f t="shared" si="2"/>
        <v>1334365.1000000001</v>
      </c>
      <c r="G49" s="13">
        <f t="shared" si="3"/>
        <v>7926055.8300000001</v>
      </c>
    </row>
    <row r="50" spans="1:7" x14ac:dyDescent="0.2">
      <c r="A50" s="9">
        <v>44666</v>
      </c>
      <c r="B50" s="13">
        <f>397407.06</f>
        <v>397407.06</v>
      </c>
      <c r="C50" s="13">
        <f>598077.46</f>
        <v>598077.46</v>
      </c>
      <c r="D50" s="13">
        <f>659624.21</f>
        <v>659624.21</v>
      </c>
      <c r="E50" s="13">
        <f>102291.3</f>
        <v>102291.3</v>
      </c>
      <c r="F50" s="13">
        <f t="shared" si="2"/>
        <v>1757400.03</v>
      </c>
      <c r="G50" s="13">
        <f t="shared" si="3"/>
        <v>9683455.8599999994</v>
      </c>
    </row>
    <row r="51" spans="1:7" x14ac:dyDescent="0.2">
      <c r="A51" s="9">
        <v>44696</v>
      </c>
      <c r="B51" s="13">
        <f>984056.83</f>
        <v>984056.83</v>
      </c>
      <c r="C51" s="13">
        <f>1587528.48</f>
        <v>1587528.48</v>
      </c>
      <c r="D51" s="13">
        <f>1495428.92</f>
        <v>1495428.92</v>
      </c>
      <c r="E51" s="13">
        <f>188462.97</f>
        <v>188462.97</v>
      </c>
      <c r="F51" s="13">
        <f t="shared" si="2"/>
        <v>4255477.2</v>
      </c>
      <c r="G51" s="13">
        <f t="shared" si="3"/>
        <v>13938933.059999999</v>
      </c>
    </row>
    <row r="52" spans="1:7" x14ac:dyDescent="0.2">
      <c r="A52" s="9">
        <v>44727</v>
      </c>
      <c r="B52" s="13">
        <f>390373.89</f>
        <v>390373.89</v>
      </c>
      <c r="C52" s="13">
        <f>721889.62</f>
        <v>721889.62</v>
      </c>
      <c r="D52" s="13">
        <f>722385.44</f>
        <v>722385.44</v>
      </c>
      <c r="E52" s="13">
        <f>237836.89</f>
        <v>237836.89</v>
      </c>
      <c r="F52" s="13">
        <f t="shared" si="2"/>
        <v>2072485.8399999999</v>
      </c>
      <c r="G52" s="13">
        <f t="shared" si="3"/>
        <v>16011418.899999999</v>
      </c>
    </row>
    <row r="53" spans="1:7" x14ac:dyDescent="0.2">
      <c r="A53" s="9">
        <v>44757</v>
      </c>
      <c r="B53" s="13">
        <v>500868.9</v>
      </c>
      <c r="C53" s="13">
        <v>866584.34</v>
      </c>
      <c r="D53" s="13">
        <v>781076.72</v>
      </c>
      <c r="E53" s="13">
        <v>388671.13</v>
      </c>
      <c r="F53" s="13">
        <f t="shared" si="2"/>
        <v>2537201.09</v>
      </c>
      <c r="G53" s="13">
        <f t="shared" si="3"/>
        <v>18548619.989999998</v>
      </c>
    </row>
    <row r="54" spans="1:7" x14ac:dyDescent="0.2">
      <c r="A54" s="9">
        <v>44788</v>
      </c>
      <c r="B54" s="13">
        <f>1768535.27</f>
        <v>1768535.27</v>
      </c>
      <c r="C54" s="13">
        <f>2957436.46</f>
        <v>2957436.46</v>
      </c>
      <c r="D54" s="13">
        <f>1795260.07</f>
        <v>1795260.07</v>
      </c>
      <c r="E54" s="13">
        <f>179015.51</f>
        <v>179015.51</v>
      </c>
      <c r="F54" s="13">
        <f t="shared" si="2"/>
        <v>6700247.3100000005</v>
      </c>
      <c r="G54" s="13">
        <f t="shared" si="3"/>
        <v>25248867.299999997</v>
      </c>
    </row>
    <row r="55" spans="1:7" x14ac:dyDescent="0.2">
      <c r="A55" s="9">
        <v>44819</v>
      </c>
      <c r="B55" s="13">
        <v>533786.67000000004</v>
      </c>
      <c r="C55" s="13">
        <v>835639.84</v>
      </c>
      <c r="D55" s="13">
        <v>812783.42</v>
      </c>
      <c r="E55" s="13">
        <v>359214.03</v>
      </c>
      <c r="F55" s="13">
        <f t="shared" si="2"/>
        <v>2541423.96</v>
      </c>
      <c r="G55" s="13">
        <f t="shared" si="3"/>
        <v>27790291.259999998</v>
      </c>
    </row>
    <row r="56" spans="1:7" x14ac:dyDescent="0.2">
      <c r="A56" s="9">
        <v>44849</v>
      </c>
      <c r="B56" s="13">
        <f>590242.59</f>
        <v>590242.59</v>
      </c>
      <c r="C56" s="13">
        <f>823556.34</f>
        <v>823556.34</v>
      </c>
      <c r="D56" s="13">
        <f>790325.35</f>
        <v>790325.35</v>
      </c>
      <c r="E56" s="13">
        <f>352922.07</f>
        <v>352922.07</v>
      </c>
      <c r="F56" s="13">
        <f t="shared" si="2"/>
        <v>2557046.3499999996</v>
      </c>
      <c r="G56" s="13">
        <f t="shared" si="3"/>
        <v>30347337.609999999</v>
      </c>
    </row>
    <row r="57" spans="1:7" x14ac:dyDescent="0.2">
      <c r="A57" s="9">
        <v>44880</v>
      </c>
      <c r="B57" s="13">
        <v>1950848.59</v>
      </c>
      <c r="C57" s="13">
        <v>3318033.54</v>
      </c>
      <c r="D57" s="13">
        <v>1896733.76</v>
      </c>
      <c r="E57" s="13">
        <v>304843.69</v>
      </c>
      <c r="F57" s="13">
        <f t="shared" si="2"/>
        <v>7470459.5800000001</v>
      </c>
      <c r="G57" s="13">
        <f t="shared" si="3"/>
        <v>37817797.189999998</v>
      </c>
    </row>
    <row r="58" spans="1:7" x14ac:dyDescent="0.2">
      <c r="A58" s="9">
        <v>44910</v>
      </c>
      <c r="B58" s="13">
        <f>430410.11</f>
        <v>430410.11</v>
      </c>
      <c r="C58" s="13">
        <f>855690.04</f>
        <v>855690.04</v>
      </c>
      <c r="D58" s="13">
        <f>761416.07</f>
        <v>761416.07</v>
      </c>
      <c r="E58" s="13">
        <f>281255.21</f>
        <v>281255.21000000002</v>
      </c>
      <c r="F58" s="13">
        <f t="shared" si="2"/>
        <v>2328771.4299999997</v>
      </c>
      <c r="G58" s="13">
        <f t="shared" si="3"/>
        <v>40146568.619999997</v>
      </c>
    </row>
    <row r="59" spans="1:7" ht="15.75" thickBot="1" x14ac:dyDescent="0.25">
      <c r="A59" s="1" t="s">
        <v>28</v>
      </c>
      <c r="B59" s="6">
        <f>SUM(B47:B58)</f>
        <v>9134119.5599999987</v>
      </c>
      <c r="C59" s="6">
        <f>SUM(C47:C58)</f>
        <v>15219911.75</v>
      </c>
      <c r="D59" s="6">
        <f>SUM(D47:D58)</f>
        <v>12772511.719999999</v>
      </c>
      <c r="E59" s="6">
        <f>SUM(E47:E58)</f>
        <v>3020025.59</v>
      </c>
      <c r="F59" s="6">
        <f>SUM(F47:F58)</f>
        <v>40146568.619999997</v>
      </c>
      <c r="G59" s="11"/>
    </row>
    <row r="60" spans="1:7" ht="15.75" thickTop="1" x14ac:dyDescent="0.2">
      <c r="A60" s="4"/>
      <c r="B60" s="7"/>
      <c r="C60" s="7"/>
      <c r="D60" s="7"/>
      <c r="E60" s="7"/>
      <c r="F60" s="7"/>
      <c r="G60" s="7"/>
    </row>
    <row r="61" spans="1:7" x14ac:dyDescent="0.2">
      <c r="A61" s="9"/>
      <c r="B61" s="18" t="s">
        <v>1</v>
      </c>
      <c r="C61" s="18" t="s">
        <v>2</v>
      </c>
      <c r="D61" s="18" t="s">
        <v>3</v>
      </c>
      <c r="E61" s="18" t="s">
        <v>4</v>
      </c>
      <c r="F61" s="18" t="s">
        <v>5</v>
      </c>
      <c r="G61" s="18" t="s">
        <v>6</v>
      </c>
    </row>
    <row r="62" spans="1:7" x14ac:dyDescent="0.2">
      <c r="A62" s="10" t="s">
        <v>7</v>
      </c>
      <c r="B62" s="2" t="s">
        <v>8</v>
      </c>
      <c r="C62" s="2" t="s">
        <v>9</v>
      </c>
      <c r="D62" s="2" t="s">
        <v>21</v>
      </c>
      <c r="E62" s="2" t="s">
        <v>10</v>
      </c>
      <c r="F62" s="2" t="s">
        <v>11</v>
      </c>
      <c r="G62" s="2" t="s">
        <v>11</v>
      </c>
    </row>
    <row r="63" spans="1:7" x14ac:dyDescent="0.2">
      <c r="A63" s="8"/>
      <c r="B63" s="11"/>
      <c r="C63" s="11"/>
      <c r="D63" s="11"/>
      <c r="E63" s="11"/>
      <c r="F63" s="11"/>
      <c r="G63" s="11"/>
    </row>
    <row r="64" spans="1:7" x14ac:dyDescent="0.2">
      <c r="A64" s="3">
        <v>2021</v>
      </c>
      <c r="B64" s="11"/>
      <c r="C64" s="11"/>
      <c r="D64" s="11"/>
      <c r="E64" s="11"/>
      <c r="F64" s="11"/>
      <c r="G64" s="11"/>
    </row>
    <row r="65" spans="1:7" x14ac:dyDescent="0.2">
      <c r="A65" s="9">
        <v>44211</v>
      </c>
      <c r="B65" s="13">
        <f>93144.57</f>
        <v>93144.57</v>
      </c>
      <c r="C65" s="13">
        <f>174048.28</f>
        <v>174048.28</v>
      </c>
      <c r="D65" s="13">
        <f>453353.02</f>
        <v>453353.02</v>
      </c>
      <c r="E65" s="13">
        <f>119641.83</f>
        <v>119641.83</v>
      </c>
      <c r="F65" s="13">
        <f t="shared" ref="F65:F76" si="4">SUM(B65:E65)</f>
        <v>840187.7</v>
      </c>
      <c r="G65" s="13">
        <f>SUM(F65)</f>
        <v>840187.7</v>
      </c>
    </row>
    <row r="66" spans="1:7" x14ac:dyDescent="0.2">
      <c r="A66" s="9">
        <v>44242</v>
      </c>
      <c r="B66" s="13">
        <f>332630.22</f>
        <v>332630.21999999997</v>
      </c>
      <c r="C66" s="13">
        <f>577856.26</f>
        <v>577856.26</v>
      </c>
      <c r="D66" s="13">
        <f>1333539.23</f>
        <v>1333539.23</v>
      </c>
      <c r="E66" s="13">
        <f>112069.64</f>
        <v>112069.64</v>
      </c>
      <c r="F66" s="13">
        <f t="shared" si="4"/>
        <v>2356095.35</v>
      </c>
      <c r="G66" s="13">
        <f>G65+F66</f>
        <v>3196283.05</v>
      </c>
    </row>
    <row r="67" spans="1:7" x14ac:dyDescent="0.2">
      <c r="A67" s="9">
        <v>44270</v>
      </c>
      <c r="B67" s="13">
        <f>101261.42</f>
        <v>101261.42</v>
      </c>
      <c r="C67" s="13">
        <f>157579.19</f>
        <v>157579.19</v>
      </c>
      <c r="D67" s="13">
        <f>445070.78</f>
        <v>445070.78</v>
      </c>
      <c r="E67" s="13">
        <f>96630.46</f>
        <v>96630.46</v>
      </c>
      <c r="F67" s="13">
        <f t="shared" si="4"/>
        <v>800541.85</v>
      </c>
      <c r="G67" s="13">
        <f t="shared" ref="G67:G76" si="5">G66+F67</f>
        <v>3996824.9</v>
      </c>
    </row>
    <row r="68" spans="1:7" x14ac:dyDescent="0.2">
      <c r="A68" s="9">
        <v>44301</v>
      </c>
      <c r="B68" s="13">
        <f>121719.47</f>
        <v>121719.47</v>
      </c>
      <c r="C68" s="13">
        <f>180601.67</f>
        <v>180601.67</v>
      </c>
      <c r="D68" s="13">
        <f>460458.24</f>
        <v>460458.23999999999</v>
      </c>
      <c r="E68" s="13">
        <f>97732.45</f>
        <v>97732.45</v>
      </c>
      <c r="F68" s="13">
        <f t="shared" si="4"/>
        <v>860511.83</v>
      </c>
      <c r="G68" s="13">
        <f t="shared" si="5"/>
        <v>4857336.7299999995</v>
      </c>
    </row>
    <row r="69" spans="1:7" x14ac:dyDescent="0.2">
      <c r="A69" s="9">
        <v>44331</v>
      </c>
      <c r="B69" s="13">
        <f>606070.91</f>
        <v>606070.91</v>
      </c>
      <c r="C69" s="13">
        <f>1023771.85</f>
        <v>1023771.85</v>
      </c>
      <c r="D69" s="13">
        <f>1330488.99</f>
        <v>1330488.99</v>
      </c>
      <c r="E69" s="13">
        <f>156644.44</f>
        <v>156644.44</v>
      </c>
      <c r="F69" s="13">
        <f t="shared" si="4"/>
        <v>3116976.19</v>
      </c>
      <c r="G69" s="13">
        <f t="shared" si="5"/>
        <v>7974312.9199999999</v>
      </c>
    </row>
    <row r="70" spans="1:7" x14ac:dyDescent="0.2">
      <c r="A70" s="9">
        <v>44362</v>
      </c>
      <c r="B70" s="13">
        <f>205706.69</f>
        <v>205706.69</v>
      </c>
      <c r="C70" s="13">
        <f>340216.52</f>
        <v>340216.52</v>
      </c>
      <c r="D70" s="13">
        <f>524247.29</f>
        <v>524247.29</v>
      </c>
      <c r="E70" s="13">
        <f>180069.39</f>
        <v>180069.39</v>
      </c>
      <c r="F70" s="13">
        <f t="shared" si="4"/>
        <v>1250239.8900000001</v>
      </c>
      <c r="G70" s="13">
        <f t="shared" si="5"/>
        <v>9224552.8100000005</v>
      </c>
    </row>
    <row r="71" spans="1:7" x14ac:dyDescent="0.2">
      <c r="A71" s="9">
        <v>44392</v>
      </c>
      <c r="B71" s="13">
        <f>405964.86</f>
        <v>405964.86</v>
      </c>
      <c r="C71" s="13">
        <f>627203.84</f>
        <v>627203.83999999997</v>
      </c>
      <c r="D71" s="13">
        <f>642808.58</f>
        <v>642808.57999999996</v>
      </c>
      <c r="E71" s="13">
        <f>211407.74</f>
        <v>211407.74</v>
      </c>
      <c r="F71" s="13">
        <f t="shared" si="4"/>
        <v>1887385.0199999998</v>
      </c>
      <c r="G71" s="13">
        <f t="shared" si="5"/>
        <v>11111937.83</v>
      </c>
    </row>
    <row r="72" spans="1:7" x14ac:dyDescent="0.2">
      <c r="A72" s="9">
        <v>44423</v>
      </c>
      <c r="B72" s="13">
        <f>951250.74</f>
        <v>951250.74</v>
      </c>
      <c r="C72" s="13">
        <f>1555932.25</f>
        <v>1555932.25</v>
      </c>
      <c r="D72" s="13">
        <f>1603334.47</f>
        <v>1603334.47</v>
      </c>
      <c r="E72" s="13">
        <f>287060.81</f>
        <v>287060.81</v>
      </c>
      <c r="F72" s="13">
        <f t="shared" si="4"/>
        <v>4397578.2699999996</v>
      </c>
      <c r="G72" s="13">
        <f t="shared" si="5"/>
        <v>15509516.1</v>
      </c>
    </row>
    <row r="73" spans="1:7" x14ac:dyDescent="0.2">
      <c r="A73" s="9">
        <v>44454</v>
      </c>
      <c r="B73" s="13">
        <f>419399.82</f>
        <v>419399.82</v>
      </c>
      <c r="C73" s="13">
        <f>768705.88</f>
        <v>768705.88</v>
      </c>
      <c r="D73" s="13">
        <f>698768.04</f>
        <v>698768.04</v>
      </c>
      <c r="E73" s="13">
        <f>336971.85</f>
        <v>336971.85</v>
      </c>
      <c r="F73" s="13">
        <f t="shared" si="4"/>
        <v>2223845.59</v>
      </c>
      <c r="G73" s="13">
        <f t="shared" si="5"/>
        <v>17733361.689999998</v>
      </c>
    </row>
    <row r="74" spans="1:7" x14ac:dyDescent="0.2">
      <c r="A74" s="9">
        <v>44484</v>
      </c>
      <c r="B74" s="13">
        <f>768725.24</f>
        <v>768725.24</v>
      </c>
      <c r="C74" s="13">
        <f>1360427.05</f>
        <v>1360427.05</v>
      </c>
      <c r="D74" s="13">
        <f>702423.92</f>
        <v>702423.92</v>
      </c>
      <c r="E74" s="13">
        <f>345702.59</f>
        <v>345702.59</v>
      </c>
      <c r="F74" s="13">
        <f t="shared" si="4"/>
        <v>3177278.8</v>
      </c>
      <c r="G74" s="13">
        <f t="shared" si="5"/>
        <v>20910640.489999998</v>
      </c>
    </row>
    <row r="75" spans="1:7" x14ac:dyDescent="0.2">
      <c r="A75" s="9">
        <v>44515</v>
      </c>
      <c r="B75" s="13">
        <f>1494955.31</f>
        <v>1494955.31</v>
      </c>
      <c r="C75" s="13">
        <f>2465990.13</f>
        <v>2465990.13</v>
      </c>
      <c r="D75" s="13">
        <f>1707342.09</f>
        <v>1707342.09</v>
      </c>
      <c r="E75" s="13">
        <f>194144.55</f>
        <v>194144.55</v>
      </c>
      <c r="F75" s="13">
        <f t="shared" si="4"/>
        <v>5862432.0800000001</v>
      </c>
      <c r="G75" s="13">
        <f t="shared" si="5"/>
        <v>26773072.57</v>
      </c>
    </row>
    <row r="76" spans="1:7" x14ac:dyDescent="0.2">
      <c r="A76" s="9">
        <v>44545</v>
      </c>
      <c r="B76" s="13">
        <f>367194.95</f>
        <v>367194.95</v>
      </c>
      <c r="C76" s="13">
        <f>704385.71</f>
        <v>704385.71</v>
      </c>
      <c r="D76" s="13">
        <f>702391.4</f>
        <v>702391.4</v>
      </c>
      <c r="E76" s="13">
        <f>263027.55</f>
        <v>263027.55</v>
      </c>
      <c r="F76" s="13">
        <f t="shared" si="4"/>
        <v>2036999.61</v>
      </c>
      <c r="G76" s="13">
        <f t="shared" si="5"/>
        <v>28810072.18</v>
      </c>
    </row>
    <row r="77" spans="1:7" ht="15.75" thickBot="1" x14ac:dyDescent="0.25">
      <c r="A77" s="1" t="s">
        <v>27</v>
      </c>
      <c r="B77" s="6">
        <f>SUM(B65:B76)</f>
        <v>5868024.2000000002</v>
      </c>
      <c r="C77" s="6">
        <f>SUM(C65:C76)</f>
        <v>9936718.629999999</v>
      </c>
      <c r="D77" s="6">
        <f>SUM(D65:D76)</f>
        <v>10604226.050000001</v>
      </c>
      <c r="E77" s="6">
        <f>SUM(E65:E76)</f>
        <v>2401103.2999999998</v>
      </c>
      <c r="F77" s="6">
        <f>SUM(F65:F76)</f>
        <v>28810072.18</v>
      </c>
      <c r="G77" s="11"/>
    </row>
    <row r="78" spans="1:7" ht="15.75" thickTop="1" x14ac:dyDescent="0.2">
      <c r="A78" s="4"/>
      <c r="B78" s="7"/>
      <c r="C78" s="7"/>
      <c r="D78" s="7"/>
      <c r="E78" s="7"/>
      <c r="F78" s="7"/>
      <c r="G78" s="7"/>
    </row>
    <row r="79" spans="1:7" x14ac:dyDescent="0.2">
      <c r="A79" s="9"/>
      <c r="B79" s="18" t="s">
        <v>1</v>
      </c>
      <c r="C79" s="18" t="s">
        <v>2</v>
      </c>
      <c r="D79" s="18" t="s">
        <v>3</v>
      </c>
      <c r="E79" s="18" t="s">
        <v>4</v>
      </c>
      <c r="F79" s="18" t="s">
        <v>5</v>
      </c>
      <c r="G79" s="18" t="s">
        <v>6</v>
      </c>
    </row>
    <row r="80" spans="1:7" x14ac:dyDescent="0.2">
      <c r="A80" s="10" t="s">
        <v>7</v>
      </c>
      <c r="B80" s="2" t="s">
        <v>8</v>
      </c>
      <c r="C80" s="2" t="s">
        <v>9</v>
      </c>
      <c r="D80" s="2" t="s">
        <v>21</v>
      </c>
      <c r="E80" s="2" t="s">
        <v>10</v>
      </c>
      <c r="F80" s="2" t="s">
        <v>11</v>
      </c>
      <c r="G80" s="2" t="s">
        <v>11</v>
      </c>
    </row>
    <row r="81" spans="1:7" x14ac:dyDescent="0.2">
      <c r="A81" s="8"/>
      <c r="B81" s="11"/>
      <c r="C81" s="11"/>
      <c r="D81" s="11"/>
      <c r="E81" s="11"/>
      <c r="F81" s="11"/>
      <c r="G81" s="11"/>
    </row>
    <row r="82" spans="1:7" x14ac:dyDescent="0.2">
      <c r="A82" s="3">
        <v>2020</v>
      </c>
      <c r="B82" s="11"/>
      <c r="C82" s="11"/>
      <c r="D82" s="11"/>
      <c r="E82" s="11"/>
      <c r="F82" s="11"/>
      <c r="G82" s="11"/>
    </row>
    <row r="83" spans="1:7" x14ac:dyDescent="0.2">
      <c r="A83" s="9">
        <v>43845</v>
      </c>
      <c r="B83" s="13">
        <f>363731.59</f>
        <v>363731.59</v>
      </c>
      <c r="C83" s="13">
        <f>793086.63</f>
        <v>793086.63</v>
      </c>
      <c r="D83" s="13">
        <f>625553.16</f>
        <v>625553.16</v>
      </c>
      <c r="E83" s="13">
        <f>278987.65</f>
        <v>278987.65000000002</v>
      </c>
      <c r="F83" s="13">
        <f t="shared" ref="F83:F94" si="6">SUM(B83:E83)</f>
        <v>2061359.0299999998</v>
      </c>
      <c r="G83" s="13">
        <f>SUM(F83)</f>
        <v>2061359.0299999998</v>
      </c>
    </row>
    <row r="84" spans="1:7" x14ac:dyDescent="0.2">
      <c r="A84" s="9">
        <v>43876</v>
      </c>
      <c r="B84" s="13">
        <f>798292.3</f>
        <v>798292.3</v>
      </c>
      <c r="C84" s="13">
        <f>1530912.33</f>
        <v>1530912.33</v>
      </c>
      <c r="D84" s="13">
        <f>1689874.97</f>
        <v>1689874.97</v>
      </c>
      <c r="E84" s="13">
        <f>154368.5</f>
        <v>154368.5</v>
      </c>
      <c r="F84" s="13">
        <f t="shared" si="6"/>
        <v>4173448.0999999996</v>
      </c>
      <c r="G84" s="13">
        <f>G83+F84</f>
        <v>6234807.129999999</v>
      </c>
    </row>
    <row r="85" spans="1:7" x14ac:dyDescent="0.2">
      <c r="A85" s="9">
        <v>43905</v>
      </c>
      <c r="B85" s="13">
        <f>217619.66</f>
        <v>217619.66</v>
      </c>
      <c r="C85" s="13">
        <f>467489.96</f>
        <v>467489.96</v>
      </c>
      <c r="D85" s="13">
        <f>668485.18</f>
        <v>668485.18000000005</v>
      </c>
      <c r="E85" s="13">
        <f>175252.63</f>
        <v>175252.63</v>
      </c>
      <c r="F85" s="13">
        <f t="shared" si="6"/>
        <v>1528847.4300000002</v>
      </c>
      <c r="G85" s="13">
        <f t="shared" ref="G85:G94" si="7">G84+F85</f>
        <v>7763654.5599999987</v>
      </c>
    </row>
    <row r="86" spans="1:7" x14ac:dyDescent="0.2">
      <c r="A86" s="9">
        <v>43936</v>
      </c>
      <c r="B86" s="13">
        <f>195011.67</f>
        <v>195011.67</v>
      </c>
      <c r="C86" s="13">
        <f>417412.32</f>
        <v>417412.32</v>
      </c>
      <c r="D86" s="13">
        <f>532242.75</f>
        <v>532242.75</v>
      </c>
      <c r="E86" s="13">
        <f>165551.18</f>
        <v>165551.18</v>
      </c>
      <c r="F86" s="13">
        <f t="shared" si="6"/>
        <v>1310217.92</v>
      </c>
      <c r="G86" s="13">
        <f t="shared" si="7"/>
        <v>9073872.4799999986</v>
      </c>
    </row>
    <row r="87" spans="1:7" x14ac:dyDescent="0.2">
      <c r="A87" s="9">
        <v>43966</v>
      </c>
      <c r="B87" s="13">
        <f>343713.11</f>
        <v>343713.11</v>
      </c>
      <c r="C87" s="13">
        <f>630282.8</f>
        <v>630282.80000000005</v>
      </c>
      <c r="D87" s="13">
        <f>1005775.13</f>
        <v>1005775.13</v>
      </c>
      <c r="E87" s="13">
        <f>110726.58</f>
        <v>110726.58</v>
      </c>
      <c r="F87" s="13">
        <f t="shared" si="6"/>
        <v>2090497.62</v>
      </c>
      <c r="G87" s="13">
        <f t="shared" si="7"/>
        <v>11164370.099999998</v>
      </c>
    </row>
    <row r="88" spans="1:7" x14ac:dyDescent="0.2">
      <c r="A88" s="9">
        <v>43997</v>
      </c>
      <c r="B88" s="13">
        <v>333977.06</v>
      </c>
      <c r="C88" s="13">
        <v>716803.49</v>
      </c>
      <c r="D88" s="13">
        <v>451889.87</v>
      </c>
      <c r="E88" s="13">
        <v>69082.13</v>
      </c>
      <c r="F88" s="13">
        <f t="shared" si="6"/>
        <v>1571752.5499999998</v>
      </c>
      <c r="G88" s="13">
        <f t="shared" si="7"/>
        <v>12736122.649999999</v>
      </c>
    </row>
    <row r="89" spans="1:7" x14ac:dyDescent="0.2">
      <c r="A89" s="9">
        <v>44027</v>
      </c>
      <c r="B89" s="13">
        <f>71581.97</f>
        <v>71581.97</v>
      </c>
      <c r="C89" s="13">
        <f>109868.66</f>
        <v>109868.66</v>
      </c>
      <c r="D89" s="13">
        <f>404905.74</f>
        <v>404905.74</v>
      </c>
      <c r="E89" s="13">
        <f>67506</f>
        <v>67506</v>
      </c>
      <c r="F89" s="13">
        <f t="shared" si="6"/>
        <v>653862.37</v>
      </c>
      <c r="G89" s="13">
        <f t="shared" si="7"/>
        <v>13389985.019999998</v>
      </c>
    </row>
    <row r="90" spans="1:7" x14ac:dyDescent="0.2">
      <c r="A90" s="9">
        <v>44058</v>
      </c>
      <c r="B90" s="13">
        <v>226053.01</v>
      </c>
      <c r="C90" s="13">
        <v>356808.28</v>
      </c>
      <c r="D90" s="13">
        <v>959165.46</v>
      </c>
      <c r="E90" s="13">
        <v>119370.73</v>
      </c>
      <c r="F90" s="13">
        <f t="shared" si="6"/>
        <v>1661397.48</v>
      </c>
      <c r="G90" s="13">
        <f t="shared" si="7"/>
        <v>15051382.499999998</v>
      </c>
    </row>
    <row r="91" spans="1:7" x14ac:dyDescent="0.2">
      <c r="A91" s="9">
        <v>44089</v>
      </c>
      <c r="B91" s="13">
        <v>104057.15</v>
      </c>
      <c r="C91" s="13">
        <v>310738.28999999998</v>
      </c>
      <c r="D91" s="13">
        <v>519155.72</v>
      </c>
      <c r="E91" s="13">
        <v>177366.68</v>
      </c>
      <c r="F91" s="13">
        <f t="shared" si="6"/>
        <v>1111317.8399999999</v>
      </c>
      <c r="G91" s="13">
        <f t="shared" si="7"/>
        <v>16162700.339999998</v>
      </c>
    </row>
    <row r="92" spans="1:7" x14ac:dyDescent="0.2">
      <c r="A92" s="9">
        <v>44119</v>
      </c>
      <c r="B92" s="13">
        <f>152095.91</f>
        <v>152095.91</v>
      </c>
      <c r="C92" s="13">
        <f>232883.85</f>
        <v>232883.85</v>
      </c>
      <c r="D92" s="13">
        <f>525391.81</f>
        <v>525391.81000000006</v>
      </c>
      <c r="E92" s="13">
        <f>193544.99</f>
        <v>193544.99</v>
      </c>
      <c r="F92" s="13">
        <f t="shared" si="6"/>
        <v>1103916.56</v>
      </c>
      <c r="G92" s="13">
        <f t="shared" si="7"/>
        <v>17266616.899999999</v>
      </c>
    </row>
    <row r="93" spans="1:7" x14ac:dyDescent="0.2">
      <c r="A93" s="9">
        <v>44150</v>
      </c>
      <c r="B93" s="13">
        <f>449200.95</f>
        <v>449200.95</v>
      </c>
      <c r="C93" s="13">
        <f>791530.33</f>
        <v>791530.33</v>
      </c>
      <c r="D93" s="13">
        <f>1213129.38</f>
        <v>1213129.3799999999</v>
      </c>
      <c r="E93" s="13">
        <f>153186.86</f>
        <v>153186.85999999999</v>
      </c>
      <c r="F93" s="13">
        <f t="shared" si="6"/>
        <v>2607047.52</v>
      </c>
      <c r="G93" s="13">
        <f t="shared" si="7"/>
        <v>19873664.419999998</v>
      </c>
    </row>
    <row r="94" spans="1:7" x14ac:dyDescent="0.2">
      <c r="A94" s="9">
        <v>44180</v>
      </c>
      <c r="B94" s="13">
        <f>93576.22</f>
        <v>93576.22</v>
      </c>
      <c r="C94" s="13">
        <f>189352.72</f>
        <v>189352.72</v>
      </c>
      <c r="D94" s="13">
        <f>503451.41</f>
        <v>503451.41</v>
      </c>
      <c r="E94" s="13">
        <f>149494.62</f>
        <v>149494.62</v>
      </c>
      <c r="F94" s="13">
        <f t="shared" si="6"/>
        <v>935874.97</v>
      </c>
      <c r="G94" s="13">
        <f t="shared" si="7"/>
        <v>20809539.389999997</v>
      </c>
    </row>
    <row r="95" spans="1:7" ht="15.75" thickBot="1" x14ac:dyDescent="0.25">
      <c r="A95" s="1" t="s">
        <v>26</v>
      </c>
      <c r="B95" s="6">
        <f>SUM(B83:B94)</f>
        <v>3348910.6000000006</v>
      </c>
      <c r="C95" s="6">
        <f>SUM(C83:C94)</f>
        <v>6547169.6600000001</v>
      </c>
      <c r="D95" s="6">
        <f>SUM(D83:D94)</f>
        <v>9099020.5800000019</v>
      </c>
      <c r="E95" s="6">
        <f>SUM(E83:E94)</f>
        <v>1814438.5499999998</v>
      </c>
      <c r="F95" s="6">
        <f>SUM(F83:F94)</f>
        <v>20809539.389999997</v>
      </c>
      <c r="G95" s="11"/>
    </row>
    <row r="96" spans="1:7" ht="15.75" thickTop="1" x14ac:dyDescent="0.2">
      <c r="A96" s="4"/>
      <c r="B96" s="7"/>
      <c r="C96" s="7"/>
      <c r="D96" s="7"/>
      <c r="E96" s="7"/>
      <c r="F96" s="7"/>
      <c r="G96" s="7"/>
    </row>
    <row r="97" spans="1:7" x14ac:dyDescent="0.2">
      <c r="A97" s="9"/>
      <c r="B97" s="18" t="s">
        <v>1</v>
      </c>
      <c r="C97" s="18" t="s">
        <v>2</v>
      </c>
      <c r="D97" s="18" t="s">
        <v>3</v>
      </c>
      <c r="E97" s="18" t="s">
        <v>4</v>
      </c>
      <c r="F97" s="18" t="s">
        <v>5</v>
      </c>
      <c r="G97" s="18" t="s">
        <v>6</v>
      </c>
    </row>
    <row r="98" spans="1:7" x14ac:dyDescent="0.2">
      <c r="A98" s="10" t="s">
        <v>7</v>
      </c>
      <c r="B98" s="2" t="s">
        <v>8</v>
      </c>
      <c r="C98" s="2" t="s">
        <v>9</v>
      </c>
      <c r="D98" s="2" t="s">
        <v>21</v>
      </c>
      <c r="E98" s="2" t="s">
        <v>10</v>
      </c>
      <c r="F98" s="2" t="s">
        <v>11</v>
      </c>
      <c r="G98" s="2" t="s">
        <v>11</v>
      </c>
    </row>
    <row r="99" spans="1:7" x14ac:dyDescent="0.2">
      <c r="A99" s="8"/>
      <c r="B99" s="11"/>
      <c r="C99" s="11"/>
      <c r="D99" s="11"/>
      <c r="E99" s="11"/>
      <c r="F99" s="11"/>
      <c r="G99" s="11"/>
    </row>
    <row r="100" spans="1:7" x14ac:dyDescent="0.2">
      <c r="A100" s="3">
        <v>2019</v>
      </c>
      <c r="B100" s="11"/>
      <c r="C100" s="11"/>
      <c r="D100" s="11"/>
      <c r="E100" s="11"/>
      <c r="F100" s="11"/>
      <c r="G100" s="11"/>
    </row>
    <row r="101" spans="1:7" x14ac:dyDescent="0.2">
      <c r="A101" s="9">
        <v>43480</v>
      </c>
      <c r="B101" s="13">
        <f>236489.09</f>
        <v>236489.09</v>
      </c>
      <c r="C101" s="13">
        <f>522261.51</f>
        <v>522261.51</v>
      </c>
      <c r="D101" s="13">
        <f>582196.23</f>
        <v>582196.23</v>
      </c>
      <c r="E101" s="13">
        <f>291824.17</f>
        <v>291824.17</v>
      </c>
      <c r="F101" s="13">
        <f>SUM(B101:E101)</f>
        <v>1632771</v>
      </c>
      <c r="G101" s="13">
        <f>SUM(F101)</f>
        <v>1632771</v>
      </c>
    </row>
    <row r="102" spans="1:7" x14ac:dyDescent="0.2">
      <c r="A102" s="9">
        <v>43511</v>
      </c>
      <c r="B102" s="13">
        <f>844618.96</f>
        <v>844618.96</v>
      </c>
      <c r="C102" s="13">
        <f>1769682.83</f>
        <v>1769682.83</v>
      </c>
      <c r="D102" s="13">
        <f>1712534.49</f>
        <v>1712534.49</v>
      </c>
      <c r="E102" s="13">
        <f>190444.13</f>
        <v>190444.13</v>
      </c>
      <c r="F102" s="13">
        <f t="shared" ref="F102:F112" si="8">SUM(B102:E102)</f>
        <v>4517280.41</v>
      </c>
      <c r="G102" s="13">
        <f>G101+F102</f>
        <v>6150051.4100000001</v>
      </c>
    </row>
    <row r="103" spans="1:7" x14ac:dyDescent="0.2">
      <c r="A103" s="9">
        <v>43539</v>
      </c>
      <c r="B103" s="13">
        <f>269358.52</f>
        <v>269358.52</v>
      </c>
      <c r="C103" s="13">
        <f>594113.96</f>
        <v>594113.96</v>
      </c>
      <c r="D103" s="13">
        <f>583931.01</f>
        <v>583931.01</v>
      </c>
      <c r="E103" s="13">
        <f>146037.36</f>
        <v>146037.35999999999</v>
      </c>
      <c r="F103" s="13">
        <f t="shared" si="8"/>
        <v>1593440.85</v>
      </c>
      <c r="G103" s="13">
        <f t="shared" ref="G103:G110" si="9">G102+F103</f>
        <v>7743492.2599999998</v>
      </c>
    </row>
    <row r="104" spans="1:7" x14ac:dyDescent="0.2">
      <c r="A104" s="9">
        <v>43570</v>
      </c>
      <c r="B104" s="13">
        <f>324184.94</f>
        <v>324184.94</v>
      </c>
      <c r="C104" s="13">
        <f>613467.27</f>
        <v>613467.27</v>
      </c>
      <c r="D104" s="13">
        <f>569038.9</f>
        <v>569038.9</v>
      </c>
      <c r="E104" s="13">
        <f>161645.45</f>
        <v>161645.45000000001</v>
      </c>
      <c r="F104" s="13">
        <f t="shared" si="8"/>
        <v>1668336.5599999998</v>
      </c>
      <c r="G104" s="13">
        <f t="shared" si="9"/>
        <v>9411828.8200000003</v>
      </c>
    </row>
    <row r="105" spans="1:7" x14ac:dyDescent="0.2">
      <c r="A105" s="9">
        <v>43600</v>
      </c>
      <c r="B105" s="13">
        <f>832827.86</f>
        <v>832827.86</v>
      </c>
      <c r="C105" s="13">
        <f>1687553.93</f>
        <v>1687553.93</v>
      </c>
      <c r="D105" s="13">
        <f>1516822.2</f>
        <v>1516822.2</v>
      </c>
      <c r="E105" s="13">
        <f>203229.4</f>
        <v>203229.4</v>
      </c>
      <c r="F105" s="13">
        <f t="shared" si="8"/>
        <v>4240433.3900000006</v>
      </c>
      <c r="G105" s="13">
        <f t="shared" si="9"/>
        <v>13652262.210000001</v>
      </c>
    </row>
    <row r="106" spans="1:7" x14ac:dyDescent="0.2">
      <c r="A106" s="9">
        <v>43631</v>
      </c>
      <c r="B106" s="13">
        <f>351781.62</f>
        <v>351781.62</v>
      </c>
      <c r="C106" s="13">
        <f>750025.13</f>
        <v>750025.13</v>
      </c>
      <c r="D106" s="13">
        <f>668014.05</f>
        <v>668014.05000000005</v>
      </c>
      <c r="E106" s="13">
        <f>198492.75</f>
        <v>198492.75</v>
      </c>
      <c r="F106" s="13">
        <f t="shared" si="8"/>
        <v>1968313.55</v>
      </c>
      <c r="G106" s="13">
        <f t="shared" si="9"/>
        <v>15620575.760000002</v>
      </c>
    </row>
    <row r="107" spans="1:7" x14ac:dyDescent="0.2">
      <c r="A107" s="9">
        <v>43661</v>
      </c>
      <c r="B107" s="13">
        <f>376274.85</f>
        <v>376274.85</v>
      </c>
      <c r="C107" s="13">
        <f>839253.83</f>
        <v>839253.83</v>
      </c>
      <c r="D107" s="13">
        <f>778640.47</f>
        <v>778640.47</v>
      </c>
      <c r="E107" s="13">
        <f>233425.94</f>
        <v>233425.94</v>
      </c>
      <c r="F107" s="13">
        <f t="shared" si="8"/>
        <v>2227595.09</v>
      </c>
      <c r="G107" s="13">
        <f t="shared" si="9"/>
        <v>17848170.850000001</v>
      </c>
    </row>
    <row r="108" spans="1:7" x14ac:dyDescent="0.2">
      <c r="A108" s="9">
        <v>43692</v>
      </c>
      <c r="B108" s="13">
        <f>1401842.59</f>
        <v>1401842.59</v>
      </c>
      <c r="C108" s="13">
        <f>2769636.82</f>
        <v>2769636.82</v>
      </c>
      <c r="D108" s="13">
        <f>1644359.77</f>
        <v>1644359.77</v>
      </c>
      <c r="E108" s="13">
        <f>287689.71</f>
        <v>287689.71000000002</v>
      </c>
      <c r="F108" s="13">
        <f t="shared" si="8"/>
        <v>6103528.8899999997</v>
      </c>
      <c r="G108" s="13">
        <f t="shared" si="9"/>
        <v>23951699.740000002</v>
      </c>
    </row>
    <row r="109" spans="1:7" x14ac:dyDescent="0.2">
      <c r="A109" s="9">
        <v>43723</v>
      </c>
      <c r="B109" s="13">
        <f>423053.03</f>
        <v>423053.03</v>
      </c>
      <c r="C109" s="13">
        <f>1027846.58</f>
        <v>1027846.58</v>
      </c>
      <c r="D109" s="13">
        <f>692267.48</f>
        <v>692267.48</v>
      </c>
      <c r="E109" s="13">
        <f>384870.87</f>
        <v>384870.87</v>
      </c>
      <c r="F109" s="13">
        <f t="shared" si="8"/>
        <v>2528037.96</v>
      </c>
      <c r="G109" s="13">
        <f t="shared" si="9"/>
        <v>26479737.700000003</v>
      </c>
    </row>
    <row r="110" spans="1:7" x14ac:dyDescent="0.2">
      <c r="A110" s="9">
        <v>43753</v>
      </c>
      <c r="B110" s="13">
        <f>541297.08</f>
        <v>541297.07999999996</v>
      </c>
      <c r="C110" s="13">
        <f>1046995.17</f>
        <v>1046995.17</v>
      </c>
      <c r="D110" s="13">
        <f>780066.17</f>
        <v>780066.17</v>
      </c>
      <c r="E110" s="13">
        <f>291454.71</f>
        <v>291454.71000000002</v>
      </c>
      <c r="F110" s="13">
        <f t="shared" si="8"/>
        <v>2659813.13</v>
      </c>
      <c r="G110" s="13">
        <f t="shared" si="9"/>
        <v>29139550.830000002</v>
      </c>
    </row>
    <row r="111" spans="1:7" x14ac:dyDescent="0.2">
      <c r="A111" s="9">
        <v>43784</v>
      </c>
      <c r="B111" s="13">
        <f>1427514.2</f>
        <v>1427514.2</v>
      </c>
      <c r="C111" s="13">
        <f>2985007.11</f>
        <v>2985007.11</v>
      </c>
      <c r="D111" s="13">
        <f>1652518.1</f>
        <v>1652518.1</v>
      </c>
      <c r="E111" s="13">
        <f>356793.21</f>
        <v>356793.21</v>
      </c>
      <c r="F111" s="13">
        <f t="shared" si="8"/>
        <v>6421832.6200000001</v>
      </c>
      <c r="G111" s="13">
        <f>G110+F111</f>
        <v>35561383.450000003</v>
      </c>
    </row>
    <row r="112" spans="1:7" x14ac:dyDescent="0.2">
      <c r="A112" s="9">
        <v>43814</v>
      </c>
      <c r="B112" s="13">
        <f>307816.61</f>
        <v>307816.61</v>
      </c>
      <c r="C112" s="13">
        <f>729421.58</f>
        <v>729421.58</v>
      </c>
      <c r="D112" s="13">
        <f>643420.78</f>
        <v>643420.78</v>
      </c>
      <c r="E112" s="13">
        <f>274196.58</f>
        <v>274196.58</v>
      </c>
      <c r="F112" s="13">
        <f t="shared" si="8"/>
        <v>1954855.55</v>
      </c>
      <c r="G112" s="13">
        <f>G111+F112</f>
        <v>37516239</v>
      </c>
    </row>
    <row r="113" spans="1:7" ht="15.75" thickBot="1" x14ac:dyDescent="0.25">
      <c r="A113" s="1" t="s">
        <v>25</v>
      </c>
      <c r="B113" s="6">
        <f>SUM(B101:B112)</f>
        <v>7337059.3500000015</v>
      </c>
      <c r="C113" s="6">
        <f>SUM(C101:C112)</f>
        <v>15335265.719999999</v>
      </c>
      <c r="D113" s="6">
        <f>SUM(D101:D112)</f>
        <v>11823809.649999999</v>
      </c>
      <c r="E113" s="6">
        <f>SUM(E101:E112)</f>
        <v>3020104.28</v>
      </c>
      <c r="F113" s="6">
        <f>SUM(F101:F112)</f>
        <v>37516239</v>
      </c>
      <c r="G113" s="11"/>
    </row>
    <row r="114" spans="1:7" ht="15.75" thickTop="1" x14ac:dyDescent="0.2">
      <c r="A114" s="4"/>
      <c r="B114" s="7"/>
      <c r="C114" s="7"/>
      <c r="D114" s="7"/>
      <c r="E114" s="7"/>
      <c r="F114" s="7"/>
      <c r="G114" s="7"/>
    </row>
    <row r="115" spans="1:7" x14ac:dyDescent="0.2">
      <c r="A115" s="9"/>
      <c r="B115" s="18" t="s">
        <v>1</v>
      </c>
      <c r="C115" s="18" t="s">
        <v>2</v>
      </c>
      <c r="D115" s="18" t="s">
        <v>3</v>
      </c>
      <c r="E115" s="18" t="s">
        <v>4</v>
      </c>
      <c r="F115" s="18" t="s">
        <v>5</v>
      </c>
      <c r="G115" s="18" t="s">
        <v>6</v>
      </c>
    </row>
    <row r="116" spans="1:7" x14ac:dyDescent="0.2">
      <c r="A116" s="10" t="s">
        <v>7</v>
      </c>
      <c r="B116" s="2" t="s">
        <v>8</v>
      </c>
      <c r="C116" s="2" t="s">
        <v>9</v>
      </c>
      <c r="D116" s="2" t="s">
        <v>21</v>
      </c>
      <c r="E116" s="2" t="s">
        <v>10</v>
      </c>
      <c r="F116" s="2" t="s">
        <v>11</v>
      </c>
      <c r="G116" s="2" t="s">
        <v>11</v>
      </c>
    </row>
    <row r="117" spans="1:7" x14ac:dyDescent="0.2">
      <c r="A117" s="8"/>
      <c r="B117" s="11"/>
      <c r="C117" s="11"/>
      <c r="D117" s="11"/>
      <c r="E117" s="11"/>
      <c r="F117" s="11"/>
      <c r="G117" s="11"/>
    </row>
    <row r="118" spans="1:7" x14ac:dyDescent="0.2">
      <c r="A118" s="3">
        <v>2018</v>
      </c>
      <c r="B118" s="11"/>
      <c r="C118" s="11"/>
      <c r="D118" s="11"/>
      <c r="E118" s="11"/>
      <c r="F118" s="11"/>
      <c r="G118" s="11"/>
    </row>
    <row r="119" spans="1:7" x14ac:dyDescent="0.2">
      <c r="A119" s="9">
        <v>43115</v>
      </c>
      <c r="B119" s="13">
        <f>335527.39</f>
        <v>335527.39</v>
      </c>
      <c r="C119" s="13">
        <f>662008.54</f>
        <v>662008.54</v>
      </c>
      <c r="D119" s="13">
        <f>542275.62</f>
        <v>542275.62</v>
      </c>
      <c r="E119" s="13">
        <f>201133.98</f>
        <v>201133.98</v>
      </c>
      <c r="F119" s="13">
        <f t="shared" ref="F119:F130" si="10">SUM(B119:E119)</f>
        <v>1740945.53</v>
      </c>
      <c r="G119" s="13">
        <f>SUM(F119)</f>
        <v>1740945.53</v>
      </c>
    </row>
    <row r="120" spans="1:7" x14ac:dyDescent="0.2">
      <c r="A120" s="9">
        <v>43146</v>
      </c>
      <c r="B120" s="13">
        <f>606259.12</f>
        <v>606259.12</v>
      </c>
      <c r="C120" s="13">
        <f>1281664.03</f>
        <v>1281664.03</v>
      </c>
      <c r="D120" s="13">
        <f>1641232.38</f>
        <v>1641232.38</v>
      </c>
      <c r="E120" s="13">
        <f>175093.05</f>
        <v>175093.05</v>
      </c>
      <c r="F120" s="13">
        <f t="shared" si="10"/>
        <v>3704248.5799999996</v>
      </c>
      <c r="G120" s="13">
        <f>G119+F120</f>
        <v>5445194.1099999994</v>
      </c>
    </row>
    <row r="121" spans="1:7" x14ac:dyDescent="0.2">
      <c r="A121" s="9">
        <v>43174</v>
      </c>
      <c r="B121" s="13">
        <f>281243.23</f>
        <v>281243.23</v>
      </c>
      <c r="C121" s="13">
        <f>641425.25</f>
        <v>641425.25</v>
      </c>
      <c r="D121" s="13">
        <f>606897.56</f>
        <v>606897.56000000006</v>
      </c>
      <c r="E121" s="13">
        <f>161406.44</f>
        <v>161406.44</v>
      </c>
      <c r="F121" s="13">
        <f t="shared" si="10"/>
        <v>1690972.48</v>
      </c>
      <c r="G121" s="13">
        <f>F121+G120</f>
        <v>7136166.5899999999</v>
      </c>
    </row>
    <row r="122" spans="1:7" x14ac:dyDescent="0.2">
      <c r="A122" s="9">
        <v>43205</v>
      </c>
      <c r="B122" s="13">
        <f>337120.33</f>
        <v>337120.33</v>
      </c>
      <c r="C122" s="13">
        <f>617284.5</f>
        <v>617284.5</v>
      </c>
      <c r="D122" s="13">
        <f>586129.97</f>
        <v>586129.97</v>
      </c>
      <c r="E122" s="13">
        <f>158839.63</f>
        <v>158839.63</v>
      </c>
      <c r="F122" s="13">
        <f t="shared" si="10"/>
        <v>1699374.4300000002</v>
      </c>
      <c r="G122" s="13">
        <f t="shared" ref="G122:G126" si="11">F122+G121</f>
        <v>8835541.0199999996</v>
      </c>
    </row>
    <row r="123" spans="1:7" x14ac:dyDescent="0.2">
      <c r="A123" s="9">
        <v>43235</v>
      </c>
      <c r="B123" s="13">
        <f>669103</f>
        <v>669103</v>
      </c>
      <c r="C123" s="13">
        <f>1432511.48</f>
        <v>1432511.48</v>
      </c>
      <c r="D123" s="13">
        <f>1442739.4</f>
        <v>1442739.4</v>
      </c>
      <c r="E123" s="13">
        <f>182367.69</f>
        <v>182367.69</v>
      </c>
      <c r="F123" s="13">
        <f t="shared" si="10"/>
        <v>3726721.57</v>
      </c>
      <c r="G123" s="13">
        <f t="shared" si="11"/>
        <v>12562262.59</v>
      </c>
    </row>
    <row r="124" spans="1:7" x14ac:dyDescent="0.2">
      <c r="A124" s="9">
        <v>43266</v>
      </c>
      <c r="B124" s="13">
        <v>402018.84</v>
      </c>
      <c r="C124" s="13">
        <v>814415.87</v>
      </c>
      <c r="D124" s="13">
        <v>642563.71</v>
      </c>
      <c r="E124" s="13">
        <v>190816.17</v>
      </c>
      <c r="F124" s="13">
        <f t="shared" si="10"/>
        <v>2049814.5899999999</v>
      </c>
      <c r="G124" s="13">
        <f t="shared" si="11"/>
        <v>14612077.18</v>
      </c>
    </row>
    <row r="125" spans="1:7" x14ac:dyDescent="0.2">
      <c r="A125" s="9">
        <v>43296</v>
      </c>
      <c r="B125" s="13">
        <f>449682.86</f>
        <v>449682.86</v>
      </c>
      <c r="C125" s="13">
        <f>762155.3</f>
        <v>762155.3</v>
      </c>
      <c r="D125" s="13">
        <f>653732.31</f>
        <v>653732.31000000006</v>
      </c>
      <c r="E125" s="13">
        <f>228194.61</f>
        <v>228194.61</v>
      </c>
      <c r="F125" s="13">
        <f t="shared" si="10"/>
        <v>2093765.08</v>
      </c>
      <c r="G125" s="13">
        <f t="shared" si="11"/>
        <v>16705842.26</v>
      </c>
    </row>
    <row r="126" spans="1:7" x14ac:dyDescent="0.2">
      <c r="A126" s="9">
        <v>43327</v>
      </c>
      <c r="B126" s="13">
        <f>1137442.96</f>
        <v>1137442.96</v>
      </c>
      <c r="C126" s="13">
        <f>2476941.83</f>
        <v>2476941.83</v>
      </c>
      <c r="D126" s="13">
        <f>1584340.68</f>
        <v>1584340.68</v>
      </c>
      <c r="E126" s="13">
        <f>228019.91</f>
        <v>228019.91</v>
      </c>
      <c r="F126" s="13">
        <f t="shared" si="10"/>
        <v>5426745.3799999999</v>
      </c>
      <c r="G126" s="13">
        <f t="shared" si="11"/>
        <v>22132587.640000001</v>
      </c>
    </row>
    <row r="127" spans="1:7" x14ac:dyDescent="0.2">
      <c r="A127" s="9">
        <v>43358</v>
      </c>
      <c r="B127" s="13">
        <f>446448.75</f>
        <v>446448.75</v>
      </c>
      <c r="C127" s="13">
        <f>997761.43</f>
        <v>997761.43</v>
      </c>
      <c r="D127" s="13">
        <f>715585.57</f>
        <v>715585.57</v>
      </c>
      <c r="E127" s="13">
        <f>377889.06</f>
        <v>377889.06</v>
      </c>
      <c r="F127" s="13">
        <f t="shared" si="10"/>
        <v>2537684.81</v>
      </c>
      <c r="G127" s="13">
        <f>F127+G126</f>
        <v>24670272.449999999</v>
      </c>
    </row>
    <row r="128" spans="1:7" x14ac:dyDescent="0.2">
      <c r="A128" s="9">
        <v>43388</v>
      </c>
      <c r="B128" s="13">
        <f>522560.52</f>
        <v>522560.52</v>
      </c>
      <c r="C128" s="13">
        <f>1022313.64</f>
        <v>1022313.64</v>
      </c>
      <c r="D128" s="13">
        <f>707009.74</f>
        <v>707009.74</v>
      </c>
      <c r="E128" s="13">
        <f>397276.93</f>
        <v>397276.93</v>
      </c>
      <c r="F128" s="13">
        <f t="shared" si="10"/>
        <v>2649160.8300000005</v>
      </c>
      <c r="G128" s="13">
        <f>F128+G127</f>
        <v>27319433.280000001</v>
      </c>
    </row>
    <row r="129" spans="1:7" x14ac:dyDescent="0.2">
      <c r="A129" s="9">
        <v>43419</v>
      </c>
      <c r="B129" s="13">
        <f>1280487.12</f>
        <v>1280487.1200000001</v>
      </c>
      <c r="C129" s="13">
        <f>2761985.43</f>
        <v>2761985.43</v>
      </c>
      <c r="D129" s="13">
        <f>1552069.31</f>
        <v>1552069.31</v>
      </c>
      <c r="E129" s="13">
        <f>267085.19</f>
        <v>267085.19</v>
      </c>
      <c r="F129" s="13">
        <f t="shared" si="10"/>
        <v>5861627.0500000007</v>
      </c>
      <c r="G129" s="13">
        <f>F129+G128</f>
        <v>33181060.330000002</v>
      </c>
    </row>
    <row r="130" spans="1:7" x14ac:dyDescent="0.2">
      <c r="A130" s="9">
        <v>43449</v>
      </c>
      <c r="B130" s="13">
        <f>391393.56</f>
        <v>391393.56</v>
      </c>
      <c r="C130" s="13">
        <f>892116.59</f>
        <v>892116.59</v>
      </c>
      <c r="D130" s="13">
        <f>671941.19</f>
        <v>671941.19</v>
      </c>
      <c r="E130" s="13">
        <f>183056.03</f>
        <v>183056.03</v>
      </c>
      <c r="F130" s="13">
        <f t="shared" si="10"/>
        <v>2138507.3699999996</v>
      </c>
      <c r="G130" s="13">
        <f>G129+F130</f>
        <v>35319567.700000003</v>
      </c>
    </row>
    <row r="131" spans="1:7" ht="15.75" thickBot="1" x14ac:dyDescent="0.25">
      <c r="A131" s="1" t="s">
        <v>24</v>
      </c>
      <c r="B131" s="6">
        <f>SUM(B119:B130)</f>
        <v>6859287.6799999997</v>
      </c>
      <c r="C131" s="6">
        <f>SUM(C119:C130)</f>
        <v>14362583.890000001</v>
      </c>
      <c r="D131" s="6">
        <f>SUM(D119:D130)</f>
        <v>11346517.439999999</v>
      </c>
      <c r="E131" s="6">
        <f>SUM(E119:E130)</f>
        <v>2751178.6899999995</v>
      </c>
      <c r="F131" s="6">
        <f>SUM(F119:F130)</f>
        <v>35319567.700000003</v>
      </c>
      <c r="G131" s="11"/>
    </row>
    <row r="132" spans="1:7" ht="15.75" thickTop="1" x14ac:dyDescent="0.2">
      <c r="A132" s="4"/>
      <c r="B132" s="7"/>
      <c r="C132" s="7"/>
      <c r="D132" s="7"/>
      <c r="E132" s="7"/>
      <c r="F132" s="7"/>
      <c r="G132" s="7"/>
    </row>
    <row r="133" spans="1:7" x14ac:dyDescent="0.2">
      <c r="A133" s="9"/>
      <c r="B133" s="18" t="s">
        <v>1</v>
      </c>
      <c r="C133" s="18" t="s">
        <v>2</v>
      </c>
      <c r="D133" s="18" t="s">
        <v>3</v>
      </c>
      <c r="E133" s="18" t="s">
        <v>4</v>
      </c>
      <c r="F133" s="18" t="s">
        <v>5</v>
      </c>
      <c r="G133" s="18" t="s">
        <v>6</v>
      </c>
    </row>
    <row r="134" spans="1:7" x14ac:dyDescent="0.2">
      <c r="A134" s="10" t="s">
        <v>7</v>
      </c>
      <c r="B134" s="2" t="s">
        <v>8</v>
      </c>
      <c r="C134" s="2" t="s">
        <v>9</v>
      </c>
      <c r="D134" s="2" t="s">
        <v>21</v>
      </c>
      <c r="E134" s="2" t="s">
        <v>10</v>
      </c>
      <c r="F134" s="2" t="s">
        <v>11</v>
      </c>
      <c r="G134" s="2" t="s">
        <v>11</v>
      </c>
    </row>
    <row r="135" spans="1:7" x14ac:dyDescent="0.2">
      <c r="A135" s="3">
        <v>2017</v>
      </c>
      <c r="B135" s="11"/>
      <c r="C135" s="11"/>
      <c r="D135" s="11"/>
      <c r="E135" s="11"/>
      <c r="F135" s="11"/>
      <c r="G135" s="11"/>
    </row>
    <row r="136" spans="1:7" x14ac:dyDescent="0.2">
      <c r="A136" s="9">
        <v>42750</v>
      </c>
      <c r="B136" s="13">
        <v>324781.07</v>
      </c>
      <c r="C136" s="13">
        <v>652037.25</v>
      </c>
      <c r="D136" s="13">
        <v>594969.38</v>
      </c>
      <c r="E136" s="13">
        <v>179894.8</v>
      </c>
      <c r="F136" s="13">
        <f t="shared" ref="F136:F147" si="12">SUM(B136:E136)</f>
        <v>1751682.5000000002</v>
      </c>
      <c r="G136" s="13">
        <f>SUM(F136)</f>
        <v>1751682.5000000002</v>
      </c>
    </row>
    <row r="137" spans="1:7" x14ac:dyDescent="0.2">
      <c r="A137" s="9">
        <v>42781</v>
      </c>
      <c r="B137" s="13">
        <v>555050.44999999995</v>
      </c>
      <c r="C137" s="13">
        <v>1205032</v>
      </c>
      <c r="D137" s="13">
        <v>1555775.68</v>
      </c>
      <c r="E137" s="13">
        <v>188700.33</v>
      </c>
      <c r="F137" s="13">
        <f t="shared" si="12"/>
        <v>3504558.46</v>
      </c>
      <c r="G137" s="13">
        <f>G136+F137</f>
        <v>5256240.96</v>
      </c>
    </row>
    <row r="138" spans="1:7" x14ac:dyDescent="0.2">
      <c r="A138" s="9">
        <v>42809</v>
      </c>
      <c r="B138" s="13">
        <v>246129.05</v>
      </c>
      <c r="C138" s="13">
        <v>527269.04</v>
      </c>
      <c r="D138" s="13">
        <v>594629.55000000005</v>
      </c>
      <c r="E138" s="13">
        <v>156454.85999999999</v>
      </c>
      <c r="F138" s="13">
        <f t="shared" si="12"/>
        <v>1524482.5</v>
      </c>
      <c r="G138" s="13">
        <f>F138+G137</f>
        <v>6780723.46</v>
      </c>
    </row>
    <row r="139" spans="1:7" x14ac:dyDescent="0.2">
      <c r="A139" s="9">
        <v>42840</v>
      </c>
      <c r="B139" s="13">
        <v>308531.13</v>
      </c>
      <c r="C139" s="13">
        <v>645830.19999999995</v>
      </c>
      <c r="D139" s="13">
        <v>562594.99</v>
      </c>
      <c r="E139" s="13">
        <v>139691.34</v>
      </c>
      <c r="F139" s="13">
        <f t="shared" si="12"/>
        <v>1656647.66</v>
      </c>
      <c r="G139" s="13">
        <f t="shared" ref="G139:G143" si="13">F139+G138</f>
        <v>8437371.1199999992</v>
      </c>
    </row>
    <row r="140" spans="1:7" x14ac:dyDescent="0.2">
      <c r="A140" s="9">
        <v>42870</v>
      </c>
      <c r="B140" s="13">
        <v>671049.27</v>
      </c>
      <c r="C140" s="13">
        <v>1405729.78</v>
      </c>
      <c r="D140" s="13">
        <v>1360238.23</v>
      </c>
      <c r="E140" s="13">
        <v>178659.45</v>
      </c>
      <c r="F140" s="13">
        <f t="shared" si="12"/>
        <v>3615676.7300000004</v>
      </c>
      <c r="G140" s="13">
        <f t="shared" si="13"/>
        <v>12053047.85</v>
      </c>
    </row>
    <row r="141" spans="1:7" x14ac:dyDescent="0.2">
      <c r="A141" s="9">
        <v>42901</v>
      </c>
      <c r="B141" s="13">
        <v>433573.9</v>
      </c>
      <c r="C141" s="13">
        <v>970181.38</v>
      </c>
      <c r="D141" s="13">
        <v>670426.56000000006</v>
      </c>
      <c r="E141" s="13">
        <v>186086.91</v>
      </c>
      <c r="F141" s="13">
        <f t="shared" si="12"/>
        <v>2260268.75</v>
      </c>
      <c r="G141" s="13">
        <f t="shared" si="13"/>
        <v>14313316.6</v>
      </c>
    </row>
    <row r="142" spans="1:7" x14ac:dyDescent="0.2">
      <c r="A142" s="9">
        <v>42931</v>
      </c>
      <c r="B142" s="13">
        <v>444505.06</v>
      </c>
      <c r="C142" s="13">
        <v>881103.44</v>
      </c>
      <c r="D142" s="13">
        <v>616176.27</v>
      </c>
      <c r="E142" s="13">
        <v>215392.52</v>
      </c>
      <c r="F142" s="13">
        <f t="shared" si="12"/>
        <v>2157177.29</v>
      </c>
      <c r="G142" s="13">
        <f t="shared" si="13"/>
        <v>16470493.890000001</v>
      </c>
    </row>
    <row r="143" spans="1:7" x14ac:dyDescent="0.2">
      <c r="A143" s="9">
        <v>42962</v>
      </c>
      <c r="B143" s="13">
        <v>1030096.7</v>
      </c>
      <c r="C143" s="13">
        <v>2188192.84</v>
      </c>
      <c r="D143" s="13">
        <v>1515917.03</v>
      </c>
      <c r="E143" s="13">
        <v>402621.41</v>
      </c>
      <c r="F143" s="13">
        <f t="shared" si="12"/>
        <v>5136827.9800000004</v>
      </c>
      <c r="G143" s="13">
        <f t="shared" si="13"/>
        <v>21607321.870000001</v>
      </c>
    </row>
    <row r="144" spans="1:7" x14ac:dyDescent="0.2">
      <c r="A144" s="9">
        <v>42993</v>
      </c>
      <c r="B144" s="13">
        <f>534772.51</f>
        <v>534772.51</v>
      </c>
      <c r="C144" s="13">
        <f>1149850.56</f>
        <v>1149850.56</v>
      </c>
      <c r="D144" s="13">
        <f>670734.48</f>
        <v>670734.48</v>
      </c>
      <c r="E144" s="13">
        <f>223787.35</f>
        <v>223787.35</v>
      </c>
      <c r="F144" s="13">
        <f t="shared" si="12"/>
        <v>2579144.9</v>
      </c>
      <c r="G144" s="13">
        <f>F144+G143</f>
        <v>24186466.77</v>
      </c>
    </row>
    <row r="145" spans="1:7" x14ac:dyDescent="0.2">
      <c r="A145" s="9">
        <v>43023</v>
      </c>
      <c r="B145" s="13">
        <f>561885.88</f>
        <v>561885.88</v>
      </c>
      <c r="C145" s="13">
        <f>1168266.74</f>
        <v>1168266.74</v>
      </c>
      <c r="D145" s="13">
        <f>700821.95</f>
        <v>700821.95</v>
      </c>
      <c r="E145" s="13">
        <f>321811.21</f>
        <v>321811.21000000002</v>
      </c>
      <c r="F145" s="13">
        <f t="shared" si="12"/>
        <v>2752785.7800000003</v>
      </c>
      <c r="G145" s="13">
        <f>F145+G144</f>
        <v>26939252.550000001</v>
      </c>
    </row>
    <row r="146" spans="1:7" x14ac:dyDescent="0.2">
      <c r="A146" s="9">
        <v>43054</v>
      </c>
      <c r="B146" s="13">
        <f>972109.04</f>
        <v>972109.04</v>
      </c>
      <c r="C146" s="13">
        <f>2162518.84</f>
        <v>2162518.84</v>
      </c>
      <c r="D146" s="13">
        <f>1545612.42</f>
        <v>1545612.42</v>
      </c>
      <c r="E146" s="13">
        <f>306869.26</f>
        <v>306869.26</v>
      </c>
      <c r="F146" s="13">
        <f t="shared" si="12"/>
        <v>4987109.5599999996</v>
      </c>
      <c r="G146" s="13">
        <f>F146+G145</f>
        <v>31926362.109999999</v>
      </c>
    </row>
    <row r="147" spans="1:7" x14ac:dyDescent="0.2">
      <c r="A147" s="9">
        <v>43084</v>
      </c>
      <c r="B147" s="13">
        <f>398762.63</f>
        <v>398762.63</v>
      </c>
      <c r="C147" s="13">
        <f>903900.96</f>
        <v>903900.96</v>
      </c>
      <c r="D147" s="13">
        <f>618046.86</f>
        <v>618046.86</v>
      </c>
      <c r="E147" s="13">
        <f>157046.74</f>
        <v>157046.74</v>
      </c>
      <c r="F147" s="13">
        <f t="shared" si="12"/>
        <v>2077757.1899999997</v>
      </c>
      <c r="G147" s="13">
        <f>G146+F147</f>
        <v>34004119.299999997</v>
      </c>
    </row>
    <row r="148" spans="1:7" ht="15.75" thickBot="1" x14ac:dyDescent="0.25">
      <c r="A148" s="1" t="s">
        <v>23</v>
      </c>
      <c r="B148" s="6">
        <f>SUM(B136:B147)</f>
        <v>6481246.6899999995</v>
      </c>
      <c r="C148" s="6">
        <f>SUM(C136:C147)</f>
        <v>13859913.030000001</v>
      </c>
      <c r="D148" s="6">
        <f>SUM(D136:D147)</f>
        <v>11005943.399999999</v>
      </c>
      <c r="E148" s="6">
        <f>SUM(E136:E147)</f>
        <v>2657016.1800000006</v>
      </c>
      <c r="F148" s="6">
        <f>SUM(F136:F147)</f>
        <v>34004119.299999997</v>
      </c>
      <c r="G148" s="11"/>
    </row>
    <row r="149" spans="1:7" ht="15.75" thickTop="1" x14ac:dyDescent="0.2">
      <c r="A149" s="4"/>
      <c r="B149" s="7"/>
      <c r="C149" s="7"/>
      <c r="D149" s="7"/>
      <c r="E149" s="7"/>
      <c r="F149" s="7"/>
      <c r="G149" s="7"/>
    </row>
    <row r="150" spans="1:7" x14ac:dyDescent="0.2">
      <c r="A150" s="9"/>
      <c r="B150" s="18" t="s">
        <v>1</v>
      </c>
      <c r="C150" s="18" t="s">
        <v>2</v>
      </c>
      <c r="D150" s="18" t="s">
        <v>3</v>
      </c>
      <c r="E150" s="18" t="s">
        <v>4</v>
      </c>
      <c r="F150" s="18" t="s">
        <v>5</v>
      </c>
      <c r="G150" s="18" t="s">
        <v>6</v>
      </c>
    </row>
    <row r="151" spans="1:7" x14ac:dyDescent="0.2">
      <c r="A151" s="10" t="s">
        <v>7</v>
      </c>
      <c r="B151" s="2" t="s">
        <v>8</v>
      </c>
      <c r="C151" s="2" t="s">
        <v>9</v>
      </c>
      <c r="D151" s="2" t="s">
        <v>21</v>
      </c>
      <c r="E151" s="2" t="s">
        <v>10</v>
      </c>
      <c r="F151" s="2" t="s">
        <v>11</v>
      </c>
      <c r="G151" s="2" t="s">
        <v>11</v>
      </c>
    </row>
    <row r="152" spans="1:7" x14ac:dyDescent="0.2">
      <c r="A152" s="3">
        <v>2016</v>
      </c>
      <c r="B152" s="11"/>
      <c r="C152" s="11"/>
      <c r="D152" s="11"/>
      <c r="E152" s="11"/>
      <c r="F152" s="11"/>
      <c r="G152" s="11"/>
    </row>
    <row r="153" spans="1:7" x14ac:dyDescent="0.2">
      <c r="A153" s="9">
        <v>42384</v>
      </c>
      <c r="B153" s="13">
        <v>307498.96000000002</v>
      </c>
      <c r="C153" s="13">
        <v>620947.93999999994</v>
      </c>
      <c r="D153" s="13">
        <v>533229.34</v>
      </c>
      <c r="E153" s="13">
        <v>176104.89</v>
      </c>
      <c r="F153" s="13">
        <f t="shared" ref="F153:F164" si="14">SUM(B153:E153)</f>
        <v>1637781.13</v>
      </c>
      <c r="G153" s="13">
        <f>SUM(F153)</f>
        <v>1637781.13</v>
      </c>
    </row>
    <row r="154" spans="1:7" x14ac:dyDescent="0.2">
      <c r="A154" s="9">
        <v>42415</v>
      </c>
      <c r="B154" s="13">
        <v>517624.61</v>
      </c>
      <c r="C154" s="13">
        <v>1103534.31</v>
      </c>
      <c r="D154" s="13">
        <v>1521133.18</v>
      </c>
      <c r="E154" s="13">
        <v>179621.23</v>
      </c>
      <c r="F154" s="13">
        <f t="shared" si="14"/>
        <v>3321913.3299999996</v>
      </c>
      <c r="G154" s="13">
        <f>G153+F154</f>
        <v>4959694.459999999</v>
      </c>
    </row>
    <row r="155" spans="1:7" x14ac:dyDescent="0.2">
      <c r="A155" s="9">
        <v>42444</v>
      </c>
      <c r="B155" s="13">
        <v>304594.71999999997</v>
      </c>
      <c r="C155" s="13">
        <v>670963.78</v>
      </c>
      <c r="D155" s="13">
        <v>550829.74</v>
      </c>
      <c r="E155" s="13">
        <v>150812.44</v>
      </c>
      <c r="F155" s="13">
        <f t="shared" si="14"/>
        <v>1677200.68</v>
      </c>
      <c r="G155" s="13">
        <f>F155+G154</f>
        <v>6636895.1399999987</v>
      </c>
    </row>
    <row r="156" spans="1:7" x14ac:dyDescent="0.2">
      <c r="A156" s="9">
        <v>42475</v>
      </c>
      <c r="B156" s="13">
        <v>286311.34999999998</v>
      </c>
      <c r="C156" s="13">
        <v>586655.31000000006</v>
      </c>
      <c r="D156" s="13">
        <v>618685.62</v>
      </c>
      <c r="E156" s="13">
        <v>154158.6</v>
      </c>
      <c r="F156" s="13">
        <f t="shared" si="14"/>
        <v>1645810.8800000001</v>
      </c>
      <c r="G156" s="13">
        <f t="shared" ref="G156:G160" si="15">F156+G155</f>
        <v>8282706.0199999986</v>
      </c>
    </row>
    <row r="157" spans="1:7" x14ac:dyDescent="0.2">
      <c r="A157" s="9">
        <v>42505</v>
      </c>
      <c r="B157" s="13">
        <v>593577.68000000005</v>
      </c>
      <c r="C157" s="13">
        <v>1283275.8899999999</v>
      </c>
      <c r="D157" s="13">
        <v>1296641.08</v>
      </c>
      <c r="E157" s="13">
        <v>182657.36</v>
      </c>
      <c r="F157" s="13">
        <f t="shared" si="14"/>
        <v>3356152.01</v>
      </c>
      <c r="G157" s="13">
        <f t="shared" si="15"/>
        <v>11638858.029999997</v>
      </c>
    </row>
    <row r="158" spans="1:7" x14ac:dyDescent="0.2">
      <c r="A158" s="9">
        <v>42536</v>
      </c>
      <c r="B158" s="13">
        <v>409553.77</v>
      </c>
      <c r="C158" s="13">
        <v>892034.38</v>
      </c>
      <c r="D158" s="13">
        <v>650428.64</v>
      </c>
      <c r="E158" s="13">
        <v>143121.75</v>
      </c>
      <c r="F158" s="13">
        <f t="shared" si="14"/>
        <v>2095138.54</v>
      </c>
      <c r="G158" s="13">
        <f t="shared" si="15"/>
        <v>13733996.569999997</v>
      </c>
    </row>
    <row r="159" spans="1:7" x14ac:dyDescent="0.2">
      <c r="A159" s="9">
        <v>42566</v>
      </c>
      <c r="B159" s="13">
        <v>445532.95</v>
      </c>
      <c r="C159" s="13">
        <v>963686.71</v>
      </c>
      <c r="D159" s="13">
        <v>623503.07999999996</v>
      </c>
      <c r="E159" s="13">
        <v>251902.25</v>
      </c>
      <c r="F159" s="13">
        <f t="shared" si="14"/>
        <v>2284624.9899999998</v>
      </c>
      <c r="G159" s="13">
        <f t="shared" si="15"/>
        <v>16018621.559999997</v>
      </c>
    </row>
    <row r="160" spans="1:7" x14ac:dyDescent="0.2">
      <c r="A160" s="9">
        <v>42597</v>
      </c>
      <c r="B160" s="13">
        <v>903826.15</v>
      </c>
      <c r="C160" s="13">
        <v>1961337.27</v>
      </c>
      <c r="D160" s="13">
        <v>1376659.7</v>
      </c>
      <c r="E160" s="13">
        <v>271951.45</v>
      </c>
      <c r="F160" s="13">
        <f t="shared" si="14"/>
        <v>4513774.57</v>
      </c>
      <c r="G160" s="13">
        <f t="shared" si="15"/>
        <v>20532396.129999995</v>
      </c>
    </row>
    <row r="161" spans="1:7" x14ac:dyDescent="0.2">
      <c r="A161" s="9">
        <v>42628</v>
      </c>
      <c r="B161" s="13">
        <v>537926.86</v>
      </c>
      <c r="C161" s="13">
        <v>1177306.31</v>
      </c>
      <c r="D161" s="13">
        <v>711795.87</v>
      </c>
      <c r="E161" s="13">
        <v>314109.13</v>
      </c>
      <c r="F161" s="13">
        <f t="shared" si="14"/>
        <v>2741138.17</v>
      </c>
      <c r="G161" s="13">
        <f>F161+G160</f>
        <v>23273534.299999997</v>
      </c>
    </row>
    <row r="162" spans="1:7" x14ac:dyDescent="0.2">
      <c r="A162" s="9">
        <v>42658</v>
      </c>
      <c r="B162" s="13">
        <v>469143.58</v>
      </c>
      <c r="C162" s="13">
        <v>955327.44</v>
      </c>
      <c r="D162" s="13">
        <v>636573.71</v>
      </c>
      <c r="E162" s="13">
        <v>317750.52</v>
      </c>
      <c r="F162" s="13">
        <f t="shared" si="14"/>
        <v>2378795.25</v>
      </c>
      <c r="G162" s="13">
        <f>F162+G161</f>
        <v>25652329.549999997</v>
      </c>
    </row>
    <row r="163" spans="1:7" x14ac:dyDescent="0.2">
      <c r="A163" s="9">
        <v>42689</v>
      </c>
      <c r="B163" s="13">
        <v>980630.81</v>
      </c>
      <c r="C163" s="13">
        <v>2130611.1</v>
      </c>
      <c r="D163" s="13">
        <v>1397646.61</v>
      </c>
      <c r="E163" s="13">
        <v>239424.81</v>
      </c>
      <c r="F163" s="13">
        <f t="shared" si="14"/>
        <v>4748313.33</v>
      </c>
      <c r="G163" s="13">
        <f>F163+G162</f>
        <v>30400642.879999995</v>
      </c>
    </row>
    <row r="164" spans="1:7" x14ac:dyDescent="0.2">
      <c r="A164" s="9">
        <v>42719</v>
      </c>
      <c r="B164" s="13">
        <v>407959.15</v>
      </c>
      <c r="C164" s="13">
        <v>929596.47</v>
      </c>
      <c r="D164" s="13">
        <v>593530.81999999995</v>
      </c>
      <c r="E164" s="13">
        <v>234133.51</v>
      </c>
      <c r="F164" s="13">
        <f t="shared" si="14"/>
        <v>2165219.9500000002</v>
      </c>
      <c r="G164" s="13">
        <f>G163+F164</f>
        <v>32565862.829999994</v>
      </c>
    </row>
    <row r="165" spans="1:7" ht="15.75" thickBot="1" x14ac:dyDescent="0.25">
      <c r="A165" s="1" t="s">
        <v>22</v>
      </c>
      <c r="B165" s="6">
        <f>SUM(B153:B164)</f>
        <v>6164180.5900000017</v>
      </c>
      <c r="C165" s="6">
        <f>SUM(C153:C164)</f>
        <v>13275276.91</v>
      </c>
      <c r="D165" s="6">
        <f>SUM(D153:D164)</f>
        <v>10510657.390000001</v>
      </c>
      <c r="E165" s="6">
        <f>SUM(E153:E164)</f>
        <v>2615747.9400000004</v>
      </c>
      <c r="F165" s="6">
        <f>SUM(F153:F164)</f>
        <v>32565862.829999994</v>
      </c>
      <c r="G165" s="11"/>
    </row>
    <row r="166" spans="1:7" ht="15.75" thickTop="1" x14ac:dyDescent="0.2">
      <c r="A166" s="8"/>
      <c r="B166" s="11"/>
      <c r="C166" s="11"/>
      <c r="D166" s="11"/>
      <c r="E166" s="11"/>
      <c r="F166" s="11"/>
      <c r="G166" s="11"/>
    </row>
    <row r="167" spans="1:7" x14ac:dyDescent="0.2">
      <c r="A167" s="3">
        <v>2015</v>
      </c>
      <c r="B167" s="11"/>
      <c r="C167" s="11"/>
      <c r="D167" s="11"/>
      <c r="E167" s="11"/>
      <c r="F167" s="11"/>
      <c r="G167" s="11"/>
    </row>
    <row r="168" spans="1:7" x14ac:dyDescent="0.2">
      <c r="A168" s="9">
        <v>42019</v>
      </c>
      <c r="B168" s="13">
        <v>329785.77</v>
      </c>
      <c r="C168" s="13">
        <v>704735.68</v>
      </c>
      <c r="D168" s="13">
        <v>563290.79</v>
      </c>
      <c r="E168" s="13">
        <v>169191.19</v>
      </c>
      <c r="F168" s="13">
        <f t="shared" ref="F168:F179" si="16">SUM(B168:E168)</f>
        <v>1767003.4300000002</v>
      </c>
      <c r="G168" s="13">
        <f>SUM(F168)</f>
        <v>1767003.4300000002</v>
      </c>
    </row>
    <row r="169" spans="1:7" x14ac:dyDescent="0.2">
      <c r="A169" s="9">
        <v>42050</v>
      </c>
      <c r="B169" s="13">
        <v>446393.36</v>
      </c>
      <c r="C169" s="13">
        <v>1014726.78</v>
      </c>
      <c r="D169" s="13">
        <v>1358706.34</v>
      </c>
      <c r="E169" s="13">
        <v>177803.86</v>
      </c>
      <c r="F169" s="13">
        <f t="shared" si="16"/>
        <v>2997630.3400000003</v>
      </c>
      <c r="G169" s="13">
        <f>G168+F169</f>
        <v>4764633.7700000005</v>
      </c>
    </row>
    <row r="170" spans="1:7" x14ac:dyDescent="0.2">
      <c r="A170" s="9">
        <v>42078</v>
      </c>
      <c r="B170" s="13">
        <v>286670.44</v>
      </c>
      <c r="C170" s="13">
        <v>636947.18000000005</v>
      </c>
      <c r="D170" s="13">
        <v>563149.67000000004</v>
      </c>
      <c r="E170" s="13">
        <v>151288.28</v>
      </c>
      <c r="F170" s="13">
        <f t="shared" si="16"/>
        <v>1638055.57</v>
      </c>
      <c r="G170" s="13">
        <f>F170+G169</f>
        <v>6402689.3400000008</v>
      </c>
    </row>
    <row r="171" spans="1:7" x14ac:dyDescent="0.2">
      <c r="A171" s="9">
        <v>42109</v>
      </c>
      <c r="B171" s="13">
        <v>306464.06</v>
      </c>
      <c r="C171" s="13">
        <v>624534.81000000006</v>
      </c>
      <c r="D171" s="13">
        <v>558867.18999999994</v>
      </c>
      <c r="E171" s="13">
        <v>141578.51</v>
      </c>
      <c r="F171" s="13">
        <f t="shared" si="16"/>
        <v>1631444.57</v>
      </c>
      <c r="G171" s="13">
        <f t="shared" ref="G171:G175" si="17">F171+G170</f>
        <v>8034133.9100000011</v>
      </c>
    </row>
    <row r="172" spans="1:7" x14ac:dyDescent="0.2">
      <c r="A172" s="9">
        <v>42139</v>
      </c>
      <c r="B172" s="13">
        <v>523222.75</v>
      </c>
      <c r="C172" s="13">
        <v>1150498.45</v>
      </c>
      <c r="D172" s="13">
        <v>1261460.46</v>
      </c>
      <c r="E172" s="13">
        <v>160376.51</v>
      </c>
      <c r="F172" s="13">
        <f t="shared" si="16"/>
        <v>3095558.17</v>
      </c>
      <c r="G172" s="13">
        <f t="shared" si="17"/>
        <v>11129692.080000002</v>
      </c>
    </row>
    <row r="173" spans="1:7" x14ac:dyDescent="0.2">
      <c r="A173" s="9">
        <v>42170</v>
      </c>
      <c r="B173" s="13">
        <v>368859.95</v>
      </c>
      <c r="C173" s="13">
        <v>845326.58</v>
      </c>
      <c r="D173" s="13">
        <v>624982.74</v>
      </c>
      <c r="E173" s="13">
        <v>183203.46</v>
      </c>
      <c r="F173" s="13">
        <f t="shared" si="16"/>
        <v>2022372.73</v>
      </c>
      <c r="G173" s="13">
        <f t="shared" si="17"/>
        <v>13152064.810000002</v>
      </c>
    </row>
    <row r="174" spans="1:7" x14ac:dyDescent="0.2">
      <c r="A174" s="9">
        <v>42200</v>
      </c>
      <c r="B174" s="13">
        <v>446787.86</v>
      </c>
      <c r="C174" s="13">
        <v>957175.75</v>
      </c>
      <c r="D174" s="13">
        <v>625180.73</v>
      </c>
      <c r="E174" s="13">
        <v>210614.26</v>
      </c>
      <c r="F174" s="13">
        <f t="shared" si="16"/>
        <v>2239758.5999999996</v>
      </c>
      <c r="G174" s="13">
        <f t="shared" si="17"/>
        <v>15391823.410000002</v>
      </c>
    </row>
    <row r="175" spans="1:7" x14ac:dyDescent="0.2">
      <c r="A175" s="9">
        <v>42231</v>
      </c>
      <c r="B175" s="13">
        <v>774779.73</v>
      </c>
      <c r="C175" s="13">
        <v>1703863.65</v>
      </c>
      <c r="D175" s="13">
        <v>1412063.22</v>
      </c>
      <c r="E175" s="13">
        <v>242744.24</v>
      </c>
      <c r="F175" s="13">
        <f t="shared" si="16"/>
        <v>4133450.84</v>
      </c>
      <c r="G175" s="13">
        <f t="shared" si="17"/>
        <v>19525274.25</v>
      </c>
    </row>
    <row r="176" spans="1:7" x14ac:dyDescent="0.2">
      <c r="A176" s="9">
        <v>42262</v>
      </c>
      <c r="B176" s="13">
        <v>565062.27</v>
      </c>
      <c r="C176" s="13">
        <v>1248021.96</v>
      </c>
      <c r="D176" s="13">
        <v>660847.62</v>
      </c>
      <c r="E176" s="13">
        <v>339011.07</v>
      </c>
      <c r="F176" s="13">
        <f t="shared" si="16"/>
        <v>2812942.92</v>
      </c>
      <c r="G176" s="13">
        <f>F176+G175</f>
        <v>22338217.170000002</v>
      </c>
    </row>
    <row r="177" spans="1:7" x14ac:dyDescent="0.2">
      <c r="A177" s="9">
        <v>42292</v>
      </c>
      <c r="B177" s="13">
        <v>554667.6</v>
      </c>
      <c r="C177" s="13">
        <v>1196309.28</v>
      </c>
      <c r="D177" s="13">
        <v>661140.18000000005</v>
      </c>
      <c r="E177" s="13">
        <v>320263.65000000002</v>
      </c>
      <c r="F177" s="13">
        <f t="shared" si="16"/>
        <v>2732380.71</v>
      </c>
      <c r="G177" s="13">
        <f>F177+G176</f>
        <v>25070597.880000003</v>
      </c>
    </row>
    <row r="178" spans="1:7" x14ac:dyDescent="0.2">
      <c r="A178" s="9">
        <v>42323</v>
      </c>
      <c r="B178" s="13">
        <v>780294.08</v>
      </c>
      <c r="C178" s="13">
        <v>1711121.16</v>
      </c>
      <c r="D178" s="13">
        <v>1348126.26</v>
      </c>
      <c r="E178" s="13">
        <v>234131.06</v>
      </c>
      <c r="F178" s="13">
        <f t="shared" si="16"/>
        <v>4073672.56</v>
      </c>
      <c r="G178" s="13">
        <f>F178+G177</f>
        <v>29144270.440000001</v>
      </c>
    </row>
    <row r="179" spans="1:7" x14ac:dyDescent="0.2">
      <c r="A179" s="9">
        <v>42353</v>
      </c>
      <c r="B179" s="13">
        <v>489120</v>
      </c>
      <c r="C179" s="13">
        <v>1105071.25</v>
      </c>
      <c r="D179" s="13">
        <v>612000.1</v>
      </c>
      <c r="E179" s="13">
        <v>236538.67</v>
      </c>
      <c r="F179" s="13">
        <f t="shared" si="16"/>
        <v>2442730.02</v>
      </c>
      <c r="G179" s="13">
        <f>G178+F179</f>
        <v>31587000.460000001</v>
      </c>
    </row>
    <row r="180" spans="1:7" ht="15.75" thickBot="1" x14ac:dyDescent="0.25">
      <c r="A180" s="1" t="s">
        <v>20</v>
      </c>
      <c r="B180" s="6">
        <f>SUM(B168:B179)</f>
        <v>5872107.8700000001</v>
      </c>
      <c r="C180" s="6">
        <f>SUM(C168:C179)</f>
        <v>12898332.529999999</v>
      </c>
      <c r="D180" s="6">
        <f>SUM(D168:D179)</f>
        <v>10249815.299999999</v>
      </c>
      <c r="E180" s="6">
        <f>SUM(E168:E179)</f>
        <v>2566744.7599999998</v>
      </c>
      <c r="F180" s="6">
        <f>SUM(F168:F179)</f>
        <v>31587000.460000001</v>
      </c>
      <c r="G180" s="11"/>
    </row>
    <row r="181" spans="1:7" ht="15.75" thickTop="1" x14ac:dyDescent="0.2">
      <c r="A181" s="1"/>
      <c r="B181" s="14"/>
      <c r="C181" s="14"/>
      <c r="D181" s="14"/>
      <c r="E181" s="14"/>
      <c r="F181" s="14"/>
      <c r="G181" s="11"/>
    </row>
    <row r="182" spans="1:7" x14ac:dyDescent="0.2">
      <c r="A182" s="3">
        <v>2014</v>
      </c>
      <c r="B182" s="11"/>
      <c r="C182" s="11"/>
      <c r="D182" s="11"/>
      <c r="E182" s="11"/>
      <c r="F182" s="11"/>
      <c r="G182" s="11"/>
    </row>
    <row r="183" spans="1:7" x14ac:dyDescent="0.2">
      <c r="A183" s="9">
        <v>41654</v>
      </c>
      <c r="B183" s="13">
        <v>286688.75</v>
      </c>
      <c r="C183" s="13">
        <v>618925.48</v>
      </c>
      <c r="D183" s="13">
        <v>528416.31000000006</v>
      </c>
      <c r="E183" s="13">
        <v>165495.57</v>
      </c>
      <c r="F183" s="13">
        <f t="shared" ref="F183:F194" si="18">SUM(B183:E183)</f>
        <v>1599526.11</v>
      </c>
      <c r="G183" s="13">
        <f>SUM(F183)</f>
        <v>1599526.11</v>
      </c>
    </row>
    <row r="184" spans="1:7" x14ac:dyDescent="0.2">
      <c r="A184" s="9">
        <v>41685</v>
      </c>
      <c r="B184" s="13">
        <v>405293.05</v>
      </c>
      <c r="C184" s="13">
        <v>898049.21</v>
      </c>
      <c r="D184" s="13">
        <v>1213454.69</v>
      </c>
      <c r="E184" s="13">
        <v>140116.32999999999</v>
      </c>
      <c r="F184" s="13">
        <f t="shared" si="18"/>
        <v>2656913.2800000003</v>
      </c>
      <c r="G184" s="13">
        <f>SUM(G183+F184)</f>
        <v>4256439.3900000006</v>
      </c>
    </row>
    <row r="185" spans="1:7" x14ac:dyDescent="0.2">
      <c r="A185" s="9">
        <v>41713</v>
      </c>
      <c r="B185" s="13">
        <v>263283.75</v>
      </c>
      <c r="C185" s="13">
        <v>566743.53</v>
      </c>
      <c r="D185" s="13">
        <v>525989.63</v>
      </c>
      <c r="E185" s="13">
        <v>150501.82999999999</v>
      </c>
      <c r="F185" s="13">
        <f t="shared" si="18"/>
        <v>1506518.7400000002</v>
      </c>
      <c r="G185" s="13">
        <f t="shared" ref="G185:G193" si="19">SUM(G184+F185)</f>
        <v>5762958.1300000008</v>
      </c>
    </row>
    <row r="186" spans="1:7" x14ac:dyDescent="0.2">
      <c r="A186" s="9">
        <v>41744</v>
      </c>
      <c r="B186" s="13">
        <v>301133.82</v>
      </c>
      <c r="C186" s="13">
        <v>617679.16</v>
      </c>
      <c r="D186" s="13">
        <v>558549.72</v>
      </c>
      <c r="E186" s="13">
        <v>144985.64000000001</v>
      </c>
      <c r="F186" s="13">
        <f>SUM(B186:E186)</f>
        <v>1622348.3399999999</v>
      </c>
      <c r="G186" s="13">
        <f>SUM(G185+F186)</f>
        <v>7385306.4700000007</v>
      </c>
    </row>
    <row r="187" spans="1:7" x14ac:dyDescent="0.2">
      <c r="A187" s="9">
        <v>41774</v>
      </c>
      <c r="B187" s="13">
        <v>481220.43</v>
      </c>
      <c r="C187" s="13">
        <v>1037335.97</v>
      </c>
      <c r="D187" s="13">
        <v>1151178.5900000001</v>
      </c>
      <c r="E187" s="13">
        <v>207009.85</v>
      </c>
      <c r="F187" s="13">
        <f t="shared" si="18"/>
        <v>2876744.8400000003</v>
      </c>
      <c r="G187" s="13">
        <f>SUM(G186+F187)</f>
        <v>10262051.310000001</v>
      </c>
    </row>
    <row r="188" spans="1:7" x14ac:dyDescent="0.2">
      <c r="A188" s="9">
        <v>41805</v>
      </c>
      <c r="B188" s="13">
        <v>341969.28</v>
      </c>
      <c r="C188" s="13">
        <v>747934.92</v>
      </c>
      <c r="D188" s="13">
        <v>567927.14</v>
      </c>
      <c r="E188" s="13">
        <v>173360.23</v>
      </c>
      <c r="F188" s="13">
        <f t="shared" si="18"/>
        <v>1831191.5700000003</v>
      </c>
      <c r="G188" s="13">
        <f t="shared" si="19"/>
        <v>12093242.880000001</v>
      </c>
    </row>
    <row r="189" spans="1:7" x14ac:dyDescent="0.2">
      <c r="A189" s="9">
        <v>41835</v>
      </c>
      <c r="B189" s="13">
        <v>403675.41</v>
      </c>
      <c r="C189" s="13">
        <v>835142.87</v>
      </c>
      <c r="D189" s="13">
        <v>623939.22</v>
      </c>
      <c r="E189" s="13">
        <v>200833.49</v>
      </c>
      <c r="F189" s="13">
        <f t="shared" si="18"/>
        <v>2063590.99</v>
      </c>
      <c r="G189" s="13">
        <f t="shared" si="19"/>
        <v>14156833.870000001</v>
      </c>
    </row>
    <row r="190" spans="1:7" x14ac:dyDescent="0.2">
      <c r="A190" s="9">
        <v>41866</v>
      </c>
      <c r="B190" s="13">
        <v>684293.91</v>
      </c>
      <c r="C190" s="13">
        <v>1537984.59</v>
      </c>
      <c r="D190" s="13">
        <v>1315461.93</v>
      </c>
      <c r="E190" s="13">
        <v>225730.5</v>
      </c>
      <c r="F190" s="13">
        <f t="shared" si="18"/>
        <v>3763470.9299999997</v>
      </c>
      <c r="G190" s="13">
        <f t="shared" si="19"/>
        <v>17920304.800000001</v>
      </c>
    </row>
    <row r="191" spans="1:7" x14ac:dyDescent="0.2">
      <c r="A191" s="9">
        <v>41897</v>
      </c>
      <c r="B191" s="13">
        <v>605137.51</v>
      </c>
      <c r="C191" s="13">
        <v>1350007.94</v>
      </c>
      <c r="D191" s="13">
        <v>625299.64</v>
      </c>
      <c r="E191" s="13">
        <v>301657.02</v>
      </c>
      <c r="F191" s="13">
        <f t="shared" si="18"/>
        <v>2882102.11</v>
      </c>
      <c r="G191" s="13">
        <f t="shared" si="19"/>
        <v>20802406.91</v>
      </c>
    </row>
    <row r="192" spans="1:7" x14ac:dyDescent="0.2">
      <c r="A192" s="9">
        <v>41927</v>
      </c>
      <c r="B192" s="13">
        <v>521517.46</v>
      </c>
      <c r="C192" s="13">
        <v>1061932.82</v>
      </c>
      <c r="D192" s="13">
        <v>680972.39</v>
      </c>
      <c r="E192" s="13">
        <v>321679.03000000003</v>
      </c>
      <c r="F192" s="13">
        <f t="shared" si="18"/>
        <v>2586101.7000000002</v>
      </c>
      <c r="G192" s="13">
        <f t="shared" si="19"/>
        <v>23388508.609999999</v>
      </c>
    </row>
    <row r="193" spans="1:7" x14ac:dyDescent="0.2">
      <c r="A193" s="9">
        <v>41958</v>
      </c>
      <c r="B193" s="13">
        <v>582258.16</v>
      </c>
      <c r="C193" s="13">
        <v>1313516</v>
      </c>
      <c r="D193" s="13">
        <v>1215680.28</v>
      </c>
      <c r="E193" s="13">
        <v>225660.34</v>
      </c>
      <c r="F193" s="13">
        <f t="shared" si="18"/>
        <v>3337114.7800000003</v>
      </c>
      <c r="G193" s="13">
        <f t="shared" si="19"/>
        <v>26725623.390000001</v>
      </c>
    </row>
    <row r="194" spans="1:7" x14ac:dyDescent="0.2">
      <c r="A194" s="9">
        <v>41988</v>
      </c>
      <c r="B194" s="13">
        <v>539000.15</v>
      </c>
      <c r="C194" s="13">
        <v>1242165.03</v>
      </c>
      <c r="D194" s="13">
        <v>561954.44999999995</v>
      </c>
      <c r="E194" s="13">
        <v>230801.43</v>
      </c>
      <c r="F194" s="13">
        <f t="shared" si="18"/>
        <v>2573921.06</v>
      </c>
      <c r="G194" s="13">
        <f>SUM(G193+F194)</f>
        <v>29299544.449999999</v>
      </c>
    </row>
    <row r="195" spans="1:7" ht="15.75" thickBot="1" x14ac:dyDescent="0.25">
      <c r="A195" s="1" t="s">
        <v>19</v>
      </c>
      <c r="B195" s="6">
        <f>SUM(B183:B194)</f>
        <v>5415471.6800000006</v>
      </c>
      <c r="C195" s="6">
        <f>SUM(C183:C194)</f>
        <v>11827417.52</v>
      </c>
      <c r="D195" s="6">
        <f>SUM(D183:D194)</f>
        <v>9568823.9899999965</v>
      </c>
      <c r="E195" s="6">
        <f>SUM(E183:E194)</f>
        <v>2487831.2600000002</v>
      </c>
      <c r="F195" s="6">
        <f>SUM(F183:F194)</f>
        <v>29299544.449999999</v>
      </c>
      <c r="G195" s="11"/>
    </row>
    <row r="196" spans="1:7" ht="15.75" thickTop="1" x14ac:dyDescent="0.2">
      <c r="A196" s="1"/>
      <c r="B196" s="14"/>
      <c r="C196" s="14"/>
      <c r="D196" s="14"/>
      <c r="E196" s="14"/>
      <c r="F196" s="14"/>
      <c r="G196" s="11"/>
    </row>
    <row r="197" spans="1:7" x14ac:dyDescent="0.2">
      <c r="A197" s="1"/>
      <c r="B197" s="14" t="s">
        <v>1</v>
      </c>
      <c r="C197" s="14" t="s">
        <v>2</v>
      </c>
      <c r="D197" s="14" t="s">
        <v>3</v>
      </c>
      <c r="E197" s="14" t="s">
        <v>4</v>
      </c>
      <c r="F197" s="14" t="s">
        <v>5</v>
      </c>
      <c r="G197" s="2" t="s">
        <v>6</v>
      </c>
    </row>
    <row r="198" spans="1:7" x14ac:dyDescent="0.2">
      <c r="A198" s="17" t="s">
        <v>7</v>
      </c>
      <c r="B198" s="14" t="s">
        <v>8</v>
      </c>
      <c r="C198" s="14" t="s">
        <v>9</v>
      </c>
      <c r="D198" s="14" t="s">
        <v>21</v>
      </c>
      <c r="E198" s="14" t="s">
        <v>10</v>
      </c>
      <c r="F198" s="14" t="s">
        <v>11</v>
      </c>
      <c r="G198" s="2" t="s">
        <v>11</v>
      </c>
    </row>
    <row r="199" spans="1:7" x14ac:dyDescent="0.2">
      <c r="A199" s="1"/>
      <c r="B199" s="14"/>
      <c r="C199" s="14"/>
      <c r="D199" s="14"/>
      <c r="E199" s="14"/>
      <c r="F199" s="14"/>
      <c r="G199" s="11"/>
    </row>
    <row r="200" spans="1:7" x14ac:dyDescent="0.2">
      <c r="A200" s="3">
        <v>2013</v>
      </c>
      <c r="B200" s="11"/>
      <c r="C200" s="11"/>
      <c r="D200" s="11"/>
      <c r="E200" s="11"/>
      <c r="F200" s="11"/>
      <c r="G200" s="11"/>
    </row>
    <row r="201" spans="1:7" x14ac:dyDescent="0.2">
      <c r="A201" s="9">
        <v>41289</v>
      </c>
      <c r="B201" s="13">
        <v>273881.71999999997</v>
      </c>
      <c r="C201" s="13">
        <v>577161.92000000004</v>
      </c>
      <c r="D201" s="13">
        <v>475235.8</v>
      </c>
      <c r="E201" s="13">
        <v>171542.14</v>
      </c>
      <c r="F201" s="13">
        <f t="shared" ref="F201:F212" si="20">SUM(B201:E201)</f>
        <v>1497821.58</v>
      </c>
      <c r="G201" s="13">
        <f>SUM(F201)</f>
        <v>1497821.58</v>
      </c>
    </row>
    <row r="202" spans="1:7" x14ac:dyDescent="0.2">
      <c r="A202" s="9">
        <v>41320</v>
      </c>
      <c r="B202" s="13">
        <v>315992.18</v>
      </c>
      <c r="C202" s="13">
        <v>667080.53</v>
      </c>
      <c r="D202" s="13">
        <v>1271230.21</v>
      </c>
      <c r="E202" s="13">
        <v>161431.32999999999</v>
      </c>
      <c r="F202" s="13">
        <f t="shared" si="20"/>
        <v>2415734.25</v>
      </c>
      <c r="G202" s="13">
        <f t="shared" ref="G202:G211" si="21">SUM(G201+F202)</f>
        <v>3913555.83</v>
      </c>
    </row>
    <row r="203" spans="1:7" x14ac:dyDescent="0.2">
      <c r="A203" s="9">
        <v>41348</v>
      </c>
      <c r="B203" s="13">
        <v>251665.77</v>
      </c>
      <c r="C203" s="13">
        <v>497147.45</v>
      </c>
      <c r="D203" s="13">
        <v>519399.34</v>
      </c>
      <c r="E203" s="13">
        <v>140535.73000000001</v>
      </c>
      <c r="F203" s="13">
        <f t="shared" si="20"/>
        <v>1408748.29</v>
      </c>
      <c r="G203" s="13">
        <f t="shared" si="21"/>
        <v>5322304.12</v>
      </c>
    </row>
    <row r="204" spans="1:7" x14ac:dyDescent="0.2">
      <c r="A204" s="9">
        <v>41379</v>
      </c>
      <c r="B204" s="13">
        <v>291798.95</v>
      </c>
      <c r="C204" s="13">
        <v>632119.19999999995</v>
      </c>
      <c r="D204" s="13">
        <v>538455.93999999994</v>
      </c>
      <c r="E204" s="13">
        <v>134632.70000000001</v>
      </c>
      <c r="F204" s="13">
        <f t="shared" si="20"/>
        <v>1597006.7899999998</v>
      </c>
      <c r="G204" s="13">
        <f t="shared" si="21"/>
        <v>6919310.9100000001</v>
      </c>
    </row>
    <row r="205" spans="1:7" x14ac:dyDescent="0.2">
      <c r="A205" s="9">
        <v>41409</v>
      </c>
      <c r="B205" s="13">
        <v>384817.97</v>
      </c>
      <c r="C205" s="13">
        <v>792166.25</v>
      </c>
      <c r="D205" s="13">
        <v>1057998.3899999999</v>
      </c>
      <c r="E205" s="13">
        <v>160311.35</v>
      </c>
      <c r="F205" s="13">
        <f t="shared" si="20"/>
        <v>2395293.96</v>
      </c>
      <c r="G205" s="13">
        <f t="shared" si="21"/>
        <v>9314604.870000001</v>
      </c>
    </row>
    <row r="206" spans="1:7" x14ac:dyDescent="0.2">
      <c r="A206" s="9">
        <v>41440</v>
      </c>
      <c r="B206" s="13">
        <v>372201.41</v>
      </c>
      <c r="C206" s="13">
        <v>823579.66</v>
      </c>
      <c r="D206" s="13">
        <v>635047.06999999995</v>
      </c>
      <c r="E206" s="13">
        <v>156471.35</v>
      </c>
      <c r="F206" s="13">
        <f t="shared" si="20"/>
        <v>1987299.4900000002</v>
      </c>
      <c r="G206" s="13">
        <f t="shared" si="21"/>
        <v>11301904.360000001</v>
      </c>
    </row>
    <row r="207" spans="1:7" x14ac:dyDescent="0.2">
      <c r="A207" s="9">
        <v>41470</v>
      </c>
      <c r="B207" s="13">
        <v>424473.2</v>
      </c>
      <c r="C207" s="13">
        <v>884063.41</v>
      </c>
      <c r="D207" s="13">
        <v>580973.99</v>
      </c>
      <c r="E207" s="13">
        <v>195185.71</v>
      </c>
      <c r="F207" s="13">
        <f t="shared" si="20"/>
        <v>2084696.31</v>
      </c>
      <c r="G207" s="13">
        <f t="shared" si="21"/>
        <v>13386600.670000002</v>
      </c>
    </row>
    <row r="208" spans="1:7" x14ac:dyDescent="0.2">
      <c r="A208" s="9">
        <v>41501</v>
      </c>
      <c r="B208" s="13">
        <v>619079.21</v>
      </c>
      <c r="C208" s="13">
        <v>1330089.8999999999</v>
      </c>
      <c r="D208" s="13">
        <v>1172137.81</v>
      </c>
      <c r="E208" s="13">
        <v>220714.38</v>
      </c>
      <c r="F208" s="13">
        <f t="shared" si="20"/>
        <v>3342021.3</v>
      </c>
      <c r="G208" s="13">
        <f t="shared" si="21"/>
        <v>16728621.970000003</v>
      </c>
    </row>
    <row r="209" spans="1:7" x14ac:dyDescent="0.2">
      <c r="A209" s="9">
        <v>41532</v>
      </c>
      <c r="B209" s="13">
        <v>534040.43000000005</v>
      </c>
      <c r="C209" s="13">
        <v>1172091.6100000001</v>
      </c>
      <c r="D209" s="13">
        <v>624076.36</v>
      </c>
      <c r="E209" s="13">
        <v>267536.42</v>
      </c>
      <c r="F209" s="13">
        <f t="shared" si="20"/>
        <v>2597744.8199999998</v>
      </c>
      <c r="G209" s="13">
        <f t="shared" si="21"/>
        <v>19326366.790000003</v>
      </c>
    </row>
    <row r="210" spans="1:7" x14ac:dyDescent="0.2">
      <c r="A210" s="9">
        <v>41562</v>
      </c>
      <c r="B210" s="13">
        <v>540197.68000000005</v>
      </c>
      <c r="C210" s="13">
        <v>1073338.99</v>
      </c>
      <c r="D210" s="13">
        <v>747173.58</v>
      </c>
      <c r="E210" s="13">
        <v>303247.28000000003</v>
      </c>
      <c r="F210" s="13">
        <f t="shared" si="20"/>
        <v>2663957.5300000003</v>
      </c>
      <c r="G210" s="13">
        <f t="shared" si="21"/>
        <v>21990324.320000004</v>
      </c>
    </row>
    <row r="211" spans="1:7" x14ac:dyDescent="0.2">
      <c r="A211" s="9">
        <v>41593</v>
      </c>
      <c r="B211" s="13">
        <v>658545.66</v>
      </c>
      <c r="C211" s="13">
        <v>1515559.52</v>
      </c>
      <c r="D211" s="13">
        <v>1196347.8700000001</v>
      </c>
      <c r="E211" s="13">
        <v>232213.38</v>
      </c>
      <c r="F211" s="13">
        <f t="shared" si="20"/>
        <v>3602666.43</v>
      </c>
      <c r="G211" s="13">
        <f t="shared" si="21"/>
        <v>25592990.750000004</v>
      </c>
    </row>
    <row r="212" spans="1:7" x14ac:dyDescent="0.2">
      <c r="A212" s="9">
        <v>41623</v>
      </c>
      <c r="B212" s="13">
        <v>403693.24</v>
      </c>
      <c r="C212" s="13">
        <v>868180.11</v>
      </c>
      <c r="D212" s="13">
        <v>565300.31000000006</v>
      </c>
      <c r="E212" s="13">
        <v>211650.77</v>
      </c>
      <c r="F212" s="13">
        <f t="shared" si="20"/>
        <v>2048824.4300000002</v>
      </c>
      <c r="G212" s="13">
        <f>SUM(G211+F212)</f>
        <v>27641815.180000003</v>
      </c>
    </row>
    <row r="213" spans="1:7" ht="15.75" thickBot="1" x14ac:dyDescent="0.25">
      <c r="A213" s="1" t="s">
        <v>18</v>
      </c>
      <c r="B213" s="6">
        <f>SUM(B201:B212)</f>
        <v>5070387.42</v>
      </c>
      <c r="C213" s="6">
        <f>SUM(C201:C212)</f>
        <v>10832578.549999999</v>
      </c>
      <c r="D213" s="6">
        <f>SUM(D201:D212)</f>
        <v>9383376.6700000018</v>
      </c>
      <c r="E213" s="6">
        <f>SUM(E201:E212)</f>
        <v>2355472.54</v>
      </c>
      <c r="F213" s="6">
        <f>SUM(F201:F212)</f>
        <v>27641815.180000003</v>
      </c>
      <c r="G213" s="11"/>
    </row>
    <row r="214" spans="1:7" ht="15.75" thickTop="1" x14ac:dyDescent="0.2">
      <c r="A214" s="1"/>
      <c r="B214" s="14"/>
      <c r="C214" s="14"/>
      <c r="D214" s="14"/>
      <c r="E214" s="14"/>
      <c r="F214" s="14"/>
      <c r="G214" s="11"/>
    </row>
    <row r="215" spans="1:7" x14ac:dyDescent="0.2">
      <c r="A215" s="3">
        <v>2012</v>
      </c>
      <c r="B215" s="11"/>
      <c r="C215" s="11"/>
      <c r="D215" s="11"/>
      <c r="E215" s="11"/>
      <c r="F215" s="11"/>
      <c r="G215" s="11"/>
    </row>
    <row r="216" spans="1:7" x14ac:dyDescent="0.2">
      <c r="A216" s="9">
        <v>40923</v>
      </c>
      <c r="B216" s="13">
        <v>291936.82</v>
      </c>
      <c r="C216" s="13">
        <v>605335.91</v>
      </c>
      <c r="D216" s="13">
        <v>459731.55</v>
      </c>
      <c r="E216" s="13">
        <v>171565.11</v>
      </c>
      <c r="F216" s="13">
        <f t="shared" ref="F216:F227" si="22">SUM(B216:E216)</f>
        <v>1528569.3900000001</v>
      </c>
      <c r="G216" s="13">
        <f>SUM(F216)</f>
        <v>1528569.3900000001</v>
      </c>
    </row>
    <row r="217" spans="1:7" x14ac:dyDescent="0.2">
      <c r="A217" s="9">
        <v>40954</v>
      </c>
      <c r="B217" s="13">
        <v>274029.03000000003</v>
      </c>
      <c r="C217" s="13">
        <v>529618.28</v>
      </c>
      <c r="D217" s="13">
        <v>1266170.06</v>
      </c>
      <c r="E217" s="13">
        <v>173773.64</v>
      </c>
      <c r="F217" s="13">
        <f t="shared" si="22"/>
        <v>2243591.0100000002</v>
      </c>
      <c r="G217" s="13">
        <f t="shared" ref="G217:G226" si="23">SUM(G216+F217)</f>
        <v>3772160.4000000004</v>
      </c>
    </row>
    <row r="218" spans="1:7" x14ac:dyDescent="0.2">
      <c r="A218" s="9">
        <v>40983</v>
      </c>
      <c r="B218" s="13">
        <v>272775.5</v>
      </c>
      <c r="C218" s="13">
        <v>582695.98</v>
      </c>
      <c r="D218" s="13">
        <v>517004.89</v>
      </c>
      <c r="E218" s="13">
        <v>139955.26999999999</v>
      </c>
      <c r="F218" s="13">
        <f t="shared" si="22"/>
        <v>1512431.6400000001</v>
      </c>
      <c r="G218" s="13">
        <f t="shared" si="23"/>
        <v>5284592.040000001</v>
      </c>
    </row>
    <row r="219" spans="1:7" x14ac:dyDescent="0.2">
      <c r="A219" s="9">
        <v>41014</v>
      </c>
      <c r="B219" s="13">
        <v>273085.31</v>
      </c>
      <c r="C219" s="13">
        <v>573478.34</v>
      </c>
      <c r="D219" s="13">
        <v>547843.22</v>
      </c>
      <c r="E219" s="13">
        <v>139873.70000000001</v>
      </c>
      <c r="F219" s="13">
        <f t="shared" si="22"/>
        <v>1534280.5699999998</v>
      </c>
      <c r="G219" s="13">
        <f t="shared" si="23"/>
        <v>6818872.6100000013</v>
      </c>
    </row>
    <row r="220" spans="1:7" x14ac:dyDescent="0.2">
      <c r="A220" s="9">
        <v>41044</v>
      </c>
      <c r="B220" s="13">
        <v>377075.36</v>
      </c>
      <c r="C220" s="13">
        <v>793139.06</v>
      </c>
      <c r="D220" s="13">
        <v>1071524.8600000001</v>
      </c>
      <c r="E220" s="13">
        <v>165513.87</v>
      </c>
      <c r="F220" s="13">
        <f t="shared" si="22"/>
        <v>2407253.1500000004</v>
      </c>
      <c r="G220" s="13">
        <f t="shared" si="23"/>
        <v>9226125.7600000016</v>
      </c>
    </row>
    <row r="221" spans="1:7" x14ac:dyDescent="0.2">
      <c r="A221" s="9">
        <v>41075</v>
      </c>
      <c r="B221" s="13">
        <v>368682.05</v>
      </c>
      <c r="C221" s="13">
        <v>792752.73</v>
      </c>
      <c r="D221" s="13">
        <v>592858.32999999996</v>
      </c>
      <c r="E221" s="13">
        <v>156179.57</v>
      </c>
      <c r="F221" s="13">
        <f t="shared" si="22"/>
        <v>1910472.68</v>
      </c>
      <c r="G221" s="13">
        <f t="shared" si="23"/>
        <v>11136598.440000001</v>
      </c>
    </row>
    <row r="222" spans="1:7" x14ac:dyDescent="0.2">
      <c r="A222" s="9">
        <v>41105</v>
      </c>
      <c r="B222" s="13">
        <v>430557.61</v>
      </c>
      <c r="C222" s="13">
        <v>959977.04</v>
      </c>
      <c r="D222" s="13">
        <v>566043.56999999995</v>
      </c>
      <c r="E222" s="13">
        <v>188756</v>
      </c>
      <c r="F222" s="13">
        <f t="shared" si="22"/>
        <v>2145334.2199999997</v>
      </c>
      <c r="G222" s="13">
        <f t="shared" si="23"/>
        <v>13281932.66</v>
      </c>
    </row>
    <row r="223" spans="1:7" x14ac:dyDescent="0.2">
      <c r="A223" s="9">
        <v>41136</v>
      </c>
      <c r="B223" s="13">
        <v>543721.11</v>
      </c>
      <c r="C223" s="13">
        <v>1123433.76</v>
      </c>
      <c r="D223" s="13">
        <v>1175673.76</v>
      </c>
      <c r="E223" s="13">
        <v>237384.13</v>
      </c>
      <c r="F223" s="13">
        <f t="shared" si="22"/>
        <v>3080212.76</v>
      </c>
      <c r="G223" s="13">
        <f t="shared" si="23"/>
        <v>16362145.42</v>
      </c>
    </row>
    <row r="224" spans="1:7" x14ac:dyDescent="0.2">
      <c r="A224" s="9">
        <v>41167</v>
      </c>
      <c r="B224" s="13">
        <v>560816.67000000004</v>
      </c>
      <c r="C224" s="13">
        <v>1244581.6000000001</v>
      </c>
      <c r="D224" s="13">
        <v>642566.07999999996</v>
      </c>
      <c r="E224" s="13">
        <v>294370.84000000003</v>
      </c>
      <c r="F224" s="13">
        <f t="shared" si="22"/>
        <v>2742335.19</v>
      </c>
      <c r="G224" s="13">
        <f t="shared" si="23"/>
        <v>19104480.609999999</v>
      </c>
    </row>
    <row r="225" spans="1:7" x14ac:dyDescent="0.2">
      <c r="A225" s="9">
        <v>41197</v>
      </c>
      <c r="B225" s="13">
        <v>477605.07</v>
      </c>
      <c r="C225" s="13">
        <v>1005608.81</v>
      </c>
      <c r="D225" s="13">
        <v>625990.28</v>
      </c>
      <c r="E225" s="13">
        <v>277740.43</v>
      </c>
      <c r="F225" s="13">
        <f t="shared" si="22"/>
        <v>2386944.5900000003</v>
      </c>
      <c r="G225" s="13">
        <f t="shared" si="23"/>
        <v>21491425.199999999</v>
      </c>
    </row>
    <row r="226" spans="1:7" x14ac:dyDescent="0.2">
      <c r="A226" s="9">
        <v>41228</v>
      </c>
      <c r="B226" s="13">
        <v>473922.86</v>
      </c>
      <c r="C226" s="13">
        <v>961052.99</v>
      </c>
      <c r="D226" s="13">
        <v>1126898.3700000001</v>
      </c>
      <c r="E226" s="13">
        <v>217415.3</v>
      </c>
      <c r="F226" s="13">
        <f t="shared" si="22"/>
        <v>2779289.52</v>
      </c>
      <c r="G226" s="13">
        <f t="shared" si="23"/>
        <v>24270714.719999999</v>
      </c>
    </row>
    <row r="227" spans="1:7" x14ac:dyDescent="0.2">
      <c r="A227" s="9">
        <v>41258</v>
      </c>
      <c r="B227" s="13">
        <v>415007.16</v>
      </c>
      <c r="C227" s="13">
        <v>933925.75</v>
      </c>
      <c r="D227" s="13">
        <v>553114.12</v>
      </c>
      <c r="E227" s="13">
        <v>202650.05</v>
      </c>
      <c r="F227" s="13">
        <f t="shared" si="22"/>
        <v>2104697.0799999996</v>
      </c>
      <c r="G227" s="13">
        <f>SUM(G226+F227)</f>
        <v>26375411.799999997</v>
      </c>
    </row>
    <row r="228" spans="1:7" ht="15.75" thickBot="1" x14ac:dyDescent="0.25">
      <c r="A228" s="1" t="s">
        <v>17</v>
      </c>
      <c r="B228" s="6">
        <f>SUM(B216:B227)</f>
        <v>4759214.55</v>
      </c>
      <c r="C228" s="6">
        <f>SUM(C216:C227)</f>
        <v>10105600.25</v>
      </c>
      <c r="D228" s="6">
        <f>SUM(D216:D227)</f>
        <v>9145419.0899999999</v>
      </c>
      <c r="E228" s="6">
        <f>SUM(E216:E227)</f>
        <v>2365177.9099999997</v>
      </c>
      <c r="F228" s="6">
        <f>SUM(F216:F227)</f>
        <v>26375411.799999997</v>
      </c>
      <c r="G228" s="11"/>
    </row>
    <row r="229" spans="1:7" ht="15.75" thickTop="1" x14ac:dyDescent="0.2">
      <c r="A229" s="10"/>
      <c r="B229" s="11"/>
      <c r="C229" s="11"/>
      <c r="D229" s="11"/>
      <c r="E229" s="11"/>
      <c r="F229" s="11"/>
      <c r="G229" s="11"/>
    </row>
    <row r="230" spans="1:7" x14ac:dyDescent="0.2">
      <c r="A230" s="3">
        <v>2011</v>
      </c>
      <c r="B230" s="11"/>
      <c r="C230" s="11"/>
      <c r="D230" s="11"/>
      <c r="E230" s="11"/>
      <c r="F230" s="11"/>
      <c r="G230" s="11"/>
    </row>
    <row r="231" spans="1:7" x14ac:dyDescent="0.2">
      <c r="A231" s="9">
        <v>40558</v>
      </c>
      <c r="B231" s="12">
        <v>185231.52</v>
      </c>
      <c r="C231" s="12">
        <v>564494.21</v>
      </c>
      <c r="D231" s="12">
        <v>239542.38</v>
      </c>
      <c r="E231" s="12">
        <v>119009.86</v>
      </c>
      <c r="F231" s="12">
        <f>SUM(B231:E231)</f>
        <v>1108277.97</v>
      </c>
      <c r="G231" s="12">
        <f>SUM(F231)</f>
        <v>1108277.97</v>
      </c>
    </row>
    <row r="232" spans="1:7" x14ac:dyDescent="0.2">
      <c r="A232" s="9">
        <v>40589</v>
      </c>
      <c r="B232" s="12">
        <v>295523.52</v>
      </c>
      <c r="C232" s="12">
        <v>543329.63</v>
      </c>
      <c r="D232" s="12">
        <v>1576251.57</v>
      </c>
      <c r="E232" s="12">
        <v>288628.8</v>
      </c>
      <c r="F232" s="12">
        <f>SUM(B232:E232)</f>
        <v>2703733.52</v>
      </c>
      <c r="G232" s="12">
        <f t="shared" ref="G232:G241" si="24">SUM(G231+F232)</f>
        <v>3812011.49</v>
      </c>
    </row>
    <row r="233" spans="1:7" x14ac:dyDescent="0.2">
      <c r="A233" s="9">
        <v>40617</v>
      </c>
      <c r="B233" s="12">
        <v>258361.33</v>
      </c>
      <c r="C233" s="12">
        <v>551474.66</v>
      </c>
      <c r="D233" s="12">
        <v>484561.1</v>
      </c>
      <c r="E233" s="12">
        <v>133747.79</v>
      </c>
      <c r="F233" s="12">
        <f t="shared" ref="F233:F241" si="25">SUM(B233:E233)</f>
        <v>1428144.88</v>
      </c>
      <c r="G233" s="12">
        <f t="shared" si="24"/>
        <v>5240156.37</v>
      </c>
    </row>
    <row r="234" spans="1:7" x14ac:dyDescent="0.2">
      <c r="A234" s="9">
        <v>40648</v>
      </c>
      <c r="B234" s="12">
        <v>263514.73</v>
      </c>
      <c r="C234" s="12">
        <v>556308.49</v>
      </c>
      <c r="D234" s="12">
        <v>418605.96</v>
      </c>
      <c r="E234" s="12">
        <v>135502.63</v>
      </c>
      <c r="F234" s="12">
        <f t="shared" si="25"/>
        <v>1373931.81</v>
      </c>
      <c r="G234" s="12">
        <f t="shared" si="24"/>
        <v>6614088.1799999997</v>
      </c>
    </row>
    <row r="235" spans="1:7" x14ac:dyDescent="0.2">
      <c r="A235" s="9">
        <v>40678</v>
      </c>
      <c r="B235" s="12">
        <v>322877.93</v>
      </c>
      <c r="C235" s="12">
        <v>622504.56999999995</v>
      </c>
      <c r="D235" s="12">
        <v>1057209.98</v>
      </c>
      <c r="E235" s="12">
        <v>176111.77</v>
      </c>
      <c r="F235" s="12">
        <f t="shared" si="25"/>
        <v>2178704.25</v>
      </c>
      <c r="G235" s="12">
        <f t="shared" si="24"/>
        <v>8792792.4299999997</v>
      </c>
    </row>
    <row r="236" spans="1:7" x14ac:dyDescent="0.2">
      <c r="A236" s="9">
        <v>40709</v>
      </c>
      <c r="B236" s="12">
        <v>357146.31</v>
      </c>
      <c r="C236" s="12">
        <v>769603.89</v>
      </c>
      <c r="D236" s="12">
        <v>524497.86</v>
      </c>
      <c r="E236" s="12">
        <v>161440.16</v>
      </c>
      <c r="F236" s="12">
        <f t="shared" si="25"/>
        <v>1812688.22</v>
      </c>
      <c r="G236" s="12">
        <f t="shared" si="24"/>
        <v>10605480.65</v>
      </c>
    </row>
    <row r="237" spans="1:7" x14ac:dyDescent="0.2">
      <c r="A237" s="9">
        <v>40739</v>
      </c>
      <c r="B237" s="12">
        <v>373441.61</v>
      </c>
      <c r="C237" s="12">
        <v>794425.13</v>
      </c>
      <c r="D237" s="12">
        <v>505145.03</v>
      </c>
      <c r="E237" s="12">
        <v>188899.63</v>
      </c>
      <c r="F237" s="12">
        <f t="shared" si="25"/>
        <v>1861911.4</v>
      </c>
      <c r="G237" s="12">
        <f t="shared" si="24"/>
        <v>12467392.050000001</v>
      </c>
    </row>
    <row r="238" spans="1:7" x14ac:dyDescent="0.2">
      <c r="A238" s="9">
        <v>40770</v>
      </c>
      <c r="B238" s="12">
        <v>461130.23999999999</v>
      </c>
      <c r="C238" s="12">
        <v>951811.17</v>
      </c>
      <c r="D238" s="12">
        <v>1136684.82</v>
      </c>
      <c r="E238" s="12">
        <v>235463.17</v>
      </c>
      <c r="F238" s="12">
        <f t="shared" si="25"/>
        <v>2785089.4000000004</v>
      </c>
      <c r="G238" s="12">
        <f t="shared" si="24"/>
        <v>15252481.450000001</v>
      </c>
    </row>
    <row r="239" spans="1:7" x14ac:dyDescent="0.2">
      <c r="A239" s="9">
        <v>40801</v>
      </c>
      <c r="B239" s="12">
        <v>571891.04</v>
      </c>
      <c r="C239" s="12">
        <v>1265611.3799999999</v>
      </c>
      <c r="D239" s="12">
        <v>584101.67000000004</v>
      </c>
      <c r="E239" s="12">
        <v>280880.07</v>
      </c>
      <c r="F239" s="12">
        <f t="shared" si="25"/>
        <v>2702484.1599999997</v>
      </c>
      <c r="G239" s="12">
        <f t="shared" si="24"/>
        <v>17954965.609999999</v>
      </c>
    </row>
    <row r="240" spans="1:7" x14ac:dyDescent="0.2">
      <c r="A240" s="9">
        <v>40831</v>
      </c>
      <c r="B240" s="12">
        <v>502298.24</v>
      </c>
      <c r="C240" s="12">
        <v>1052678.46</v>
      </c>
      <c r="D240" s="12">
        <v>547984.69999999995</v>
      </c>
      <c r="E240" s="12">
        <v>287022.92</v>
      </c>
      <c r="F240" s="12">
        <f t="shared" si="25"/>
        <v>2389984.3199999998</v>
      </c>
      <c r="G240" s="12">
        <f t="shared" si="24"/>
        <v>20344949.93</v>
      </c>
    </row>
    <row r="241" spans="1:7" x14ac:dyDescent="0.2">
      <c r="A241" s="9">
        <v>40862</v>
      </c>
      <c r="B241" s="12">
        <v>455849.81</v>
      </c>
      <c r="C241" s="12">
        <v>991805.52</v>
      </c>
      <c r="D241" s="12">
        <v>1129497.8500000001</v>
      </c>
      <c r="E241" s="12">
        <v>236676.62</v>
      </c>
      <c r="F241" s="12">
        <f t="shared" si="25"/>
        <v>2813829.8000000003</v>
      </c>
      <c r="G241" s="12">
        <f t="shared" si="24"/>
        <v>23158779.73</v>
      </c>
    </row>
    <row r="242" spans="1:7" ht="15.75" thickBot="1" x14ac:dyDescent="0.25">
      <c r="A242" s="1" t="s">
        <v>18</v>
      </c>
      <c r="B242" s="6">
        <f>SUM(B231:B241)</f>
        <v>4047266.2800000007</v>
      </c>
      <c r="C242" s="6">
        <f>SUM(C231:C241)</f>
        <v>8664047.1099999994</v>
      </c>
      <c r="D242" s="6">
        <f>SUM(D231:D241)</f>
        <v>8204082.9200000018</v>
      </c>
      <c r="E242" s="6">
        <f>SUM(E231:E241)</f>
        <v>2243383.42</v>
      </c>
      <c r="F242" s="6">
        <f>SUM(F231:F241)</f>
        <v>23158779.73</v>
      </c>
      <c r="G242" s="11"/>
    </row>
    <row r="243" spans="1:7" ht="15.75" thickTop="1" x14ac:dyDescent="0.2">
      <c r="A243" s="4"/>
      <c r="B243" s="2"/>
      <c r="C243" s="2"/>
      <c r="D243" s="2"/>
      <c r="E243" s="2"/>
      <c r="F243" s="2"/>
      <c r="G243" s="2"/>
    </row>
    <row r="244" spans="1:7" x14ac:dyDescent="0.2">
      <c r="A244" s="3">
        <v>2012</v>
      </c>
      <c r="B244" s="11"/>
      <c r="C244" s="11"/>
      <c r="D244" s="11"/>
      <c r="E244" s="11"/>
      <c r="F244" s="11"/>
      <c r="G244" s="11"/>
    </row>
    <row r="245" spans="1:7" x14ac:dyDescent="0.2">
      <c r="A245" s="16">
        <v>40923</v>
      </c>
      <c r="B245" s="13">
        <v>291936.82</v>
      </c>
      <c r="C245" s="13">
        <v>605335.91</v>
      </c>
      <c r="D245" s="13">
        <v>459731.55</v>
      </c>
      <c r="E245" s="13">
        <v>171565.11</v>
      </c>
      <c r="F245" s="13">
        <f t="shared" ref="F245:F256" si="26">SUM(B245:E245)</f>
        <v>1528569.3900000001</v>
      </c>
      <c r="G245" s="13">
        <f>SUM(F245)</f>
        <v>1528569.3900000001</v>
      </c>
    </row>
    <row r="246" spans="1:7" x14ac:dyDescent="0.2">
      <c r="A246" s="16">
        <v>40954</v>
      </c>
      <c r="B246" s="13">
        <v>274029.03000000003</v>
      </c>
      <c r="C246" s="13">
        <v>529618.28</v>
      </c>
      <c r="D246" s="13">
        <v>1266170.06</v>
      </c>
      <c r="E246" s="13">
        <v>173773.64</v>
      </c>
      <c r="F246" s="13">
        <f t="shared" si="26"/>
        <v>2243591.0100000002</v>
      </c>
      <c r="G246" s="13">
        <f t="shared" ref="G246:G255" si="27">SUM(G245+F246)</f>
        <v>3772160.4000000004</v>
      </c>
    </row>
    <row r="247" spans="1:7" x14ac:dyDescent="0.2">
      <c r="A247" s="16">
        <v>40983</v>
      </c>
      <c r="B247" s="13">
        <v>272775.5</v>
      </c>
      <c r="C247" s="13">
        <v>582695.98</v>
      </c>
      <c r="D247" s="13">
        <v>517004.89</v>
      </c>
      <c r="E247" s="13">
        <v>139955.26999999999</v>
      </c>
      <c r="F247" s="13">
        <f t="shared" si="26"/>
        <v>1512431.6400000001</v>
      </c>
      <c r="G247" s="13">
        <f t="shared" si="27"/>
        <v>5284592.040000001</v>
      </c>
    </row>
    <row r="248" spans="1:7" x14ac:dyDescent="0.2">
      <c r="A248" s="16">
        <v>41014</v>
      </c>
      <c r="B248" s="13">
        <v>273085.31</v>
      </c>
      <c r="C248" s="13">
        <v>573478.34</v>
      </c>
      <c r="D248" s="13">
        <v>547843.22</v>
      </c>
      <c r="E248" s="13">
        <v>139873.70000000001</v>
      </c>
      <c r="F248" s="13">
        <f t="shared" si="26"/>
        <v>1534280.5699999998</v>
      </c>
      <c r="G248" s="13">
        <f t="shared" si="27"/>
        <v>6818872.6100000013</v>
      </c>
    </row>
    <row r="249" spans="1:7" x14ac:dyDescent="0.2">
      <c r="A249" s="16">
        <v>41044</v>
      </c>
      <c r="B249" s="13">
        <v>377075.36</v>
      </c>
      <c r="C249" s="13">
        <v>793139.06</v>
      </c>
      <c r="D249" s="13">
        <v>1071524.8600000001</v>
      </c>
      <c r="E249" s="13">
        <v>165513.87</v>
      </c>
      <c r="F249" s="13">
        <f t="shared" si="26"/>
        <v>2407253.1500000004</v>
      </c>
      <c r="G249" s="13">
        <f t="shared" si="27"/>
        <v>9226125.7600000016</v>
      </c>
    </row>
    <row r="250" spans="1:7" x14ac:dyDescent="0.2">
      <c r="A250" s="16">
        <v>41075</v>
      </c>
      <c r="B250" s="13">
        <v>368682.05</v>
      </c>
      <c r="C250" s="13">
        <v>792752.73</v>
      </c>
      <c r="D250" s="13">
        <v>592858.32999999996</v>
      </c>
      <c r="E250" s="13">
        <v>156179.57</v>
      </c>
      <c r="F250" s="13">
        <f t="shared" si="26"/>
        <v>1910472.68</v>
      </c>
      <c r="G250" s="13">
        <f t="shared" si="27"/>
        <v>11136598.440000001</v>
      </c>
    </row>
    <row r="251" spans="1:7" x14ac:dyDescent="0.2">
      <c r="A251" s="16">
        <v>41105</v>
      </c>
      <c r="B251" s="13">
        <v>430557.61</v>
      </c>
      <c r="C251" s="13">
        <v>959977.04</v>
      </c>
      <c r="D251" s="13">
        <v>566043.56999999995</v>
      </c>
      <c r="E251" s="13">
        <v>188756</v>
      </c>
      <c r="F251" s="13">
        <f t="shared" si="26"/>
        <v>2145334.2199999997</v>
      </c>
      <c r="G251" s="13">
        <f t="shared" si="27"/>
        <v>13281932.66</v>
      </c>
    </row>
    <row r="252" spans="1:7" x14ac:dyDescent="0.2">
      <c r="A252" s="16">
        <v>41136</v>
      </c>
      <c r="B252" s="13">
        <v>543721.11</v>
      </c>
      <c r="C252" s="13">
        <v>1123433.76</v>
      </c>
      <c r="D252" s="13">
        <v>1175673.76</v>
      </c>
      <c r="E252" s="13">
        <v>237384.13</v>
      </c>
      <c r="F252" s="13">
        <f t="shared" si="26"/>
        <v>3080212.76</v>
      </c>
      <c r="G252" s="13">
        <f t="shared" si="27"/>
        <v>16362145.42</v>
      </c>
    </row>
    <row r="253" spans="1:7" x14ac:dyDescent="0.2">
      <c r="A253" s="16">
        <v>41167</v>
      </c>
      <c r="B253" s="13">
        <v>560816.67000000004</v>
      </c>
      <c r="C253" s="13">
        <v>1244581.6000000001</v>
      </c>
      <c r="D253" s="13">
        <v>642566.07999999996</v>
      </c>
      <c r="E253" s="13">
        <v>294370.84000000003</v>
      </c>
      <c r="F253" s="13">
        <f t="shared" si="26"/>
        <v>2742335.19</v>
      </c>
      <c r="G253" s="13">
        <f t="shared" si="27"/>
        <v>19104480.609999999</v>
      </c>
    </row>
    <row r="254" spans="1:7" x14ac:dyDescent="0.2">
      <c r="A254" s="16">
        <v>41197</v>
      </c>
      <c r="B254" s="13">
        <v>477605.07</v>
      </c>
      <c r="C254" s="13">
        <v>1005608.81</v>
      </c>
      <c r="D254" s="13">
        <v>625990.28</v>
      </c>
      <c r="E254" s="13">
        <v>277740.43</v>
      </c>
      <c r="F254" s="13">
        <f t="shared" si="26"/>
        <v>2386944.5900000003</v>
      </c>
      <c r="G254" s="13">
        <f t="shared" si="27"/>
        <v>21491425.199999999</v>
      </c>
    </row>
    <row r="255" spans="1:7" x14ac:dyDescent="0.2">
      <c r="A255" s="16">
        <v>41228</v>
      </c>
      <c r="B255" s="13">
        <v>473922.86</v>
      </c>
      <c r="C255" s="13">
        <v>961052.99</v>
      </c>
      <c r="D255" s="13">
        <v>1126898.3700000001</v>
      </c>
      <c r="E255" s="13">
        <v>217415.3</v>
      </c>
      <c r="F255" s="13">
        <f t="shared" si="26"/>
        <v>2779289.52</v>
      </c>
      <c r="G255" s="13">
        <f t="shared" si="27"/>
        <v>24270714.719999999</v>
      </c>
    </row>
    <row r="256" spans="1:7" x14ac:dyDescent="0.2">
      <c r="A256" s="16">
        <v>41258</v>
      </c>
      <c r="B256" s="13">
        <v>415007.16</v>
      </c>
      <c r="C256" s="13">
        <v>933925.75</v>
      </c>
      <c r="D256" s="13">
        <v>553114.12</v>
      </c>
      <c r="E256" s="13">
        <v>202650.05</v>
      </c>
      <c r="F256" s="13">
        <f t="shared" si="26"/>
        <v>2104697.0799999996</v>
      </c>
      <c r="G256" s="13">
        <f>SUM(G255+F256)</f>
        <v>26375411.799999997</v>
      </c>
    </row>
    <row r="257" spans="1:7" ht="15.75" thickBot="1" x14ac:dyDescent="0.25">
      <c r="A257" s="1" t="s">
        <v>17</v>
      </c>
      <c r="B257" s="6">
        <f>SUM(B245:B256)</f>
        <v>4759214.55</v>
      </c>
      <c r="C257" s="6">
        <f>SUM(C245:C256)</f>
        <v>10105600.25</v>
      </c>
      <c r="D257" s="6">
        <f>SUM(D245:D256)</f>
        <v>9145419.0899999999</v>
      </c>
      <c r="E257" s="6">
        <f>SUM(E245:E256)</f>
        <v>2365177.9099999997</v>
      </c>
      <c r="F257" s="6">
        <f>SUM(F245:F256)</f>
        <v>26375411.799999997</v>
      </c>
      <c r="G257" s="11"/>
    </row>
    <row r="258" spans="1:7" ht="15.75" thickTop="1" x14ac:dyDescent="0.2">
      <c r="A258" s="4"/>
      <c r="B258" s="7"/>
      <c r="C258" s="7"/>
      <c r="D258" s="7"/>
      <c r="E258" s="7"/>
      <c r="F258" s="7"/>
      <c r="G258" s="7"/>
    </row>
    <row r="259" spans="1:7" x14ac:dyDescent="0.2">
      <c r="A259" s="3">
        <v>2011</v>
      </c>
      <c r="B259" s="11"/>
      <c r="C259" s="11"/>
      <c r="D259" s="11"/>
      <c r="E259" s="11"/>
      <c r="F259" s="11"/>
      <c r="G259" s="11"/>
    </row>
    <row r="260" spans="1:7" x14ac:dyDescent="0.2">
      <c r="A260" s="16">
        <v>40558</v>
      </c>
      <c r="B260" s="13">
        <v>185231.52</v>
      </c>
      <c r="C260" s="13">
        <v>564494.21</v>
      </c>
      <c r="D260" s="13">
        <v>239542.38</v>
      </c>
      <c r="E260" s="13">
        <v>119009.86</v>
      </c>
      <c r="F260" s="13">
        <f>SUM(B260:E260)</f>
        <v>1108277.97</v>
      </c>
      <c r="G260" s="13">
        <f>SUM(F260)</f>
        <v>1108277.97</v>
      </c>
    </row>
    <row r="261" spans="1:7" x14ac:dyDescent="0.2">
      <c r="A261" s="16">
        <v>40589</v>
      </c>
      <c r="B261" s="13">
        <v>295523.52</v>
      </c>
      <c r="C261" s="13">
        <v>543329.63</v>
      </c>
      <c r="D261" s="13">
        <v>1576251.57</v>
      </c>
      <c r="E261" s="13">
        <v>288628.8</v>
      </c>
      <c r="F261" s="13">
        <f>SUM(B261:E261)</f>
        <v>2703733.52</v>
      </c>
      <c r="G261" s="13">
        <f t="shared" ref="G261:G271" si="28">SUM(G260+F261)</f>
        <v>3812011.49</v>
      </c>
    </row>
    <row r="262" spans="1:7" x14ac:dyDescent="0.2">
      <c r="A262" s="16">
        <v>40617</v>
      </c>
      <c r="B262" s="13">
        <v>258361.33</v>
      </c>
      <c r="C262" s="13">
        <v>551474.66</v>
      </c>
      <c r="D262" s="13">
        <v>484561.1</v>
      </c>
      <c r="E262" s="13">
        <v>133747.79</v>
      </c>
      <c r="F262" s="13">
        <f t="shared" ref="F262:F271" si="29">SUM(B262:E262)</f>
        <v>1428144.88</v>
      </c>
      <c r="G262" s="13">
        <f t="shared" si="28"/>
        <v>5240156.37</v>
      </c>
    </row>
    <row r="263" spans="1:7" x14ac:dyDescent="0.2">
      <c r="A263" s="16">
        <v>40648</v>
      </c>
      <c r="B263" s="13">
        <v>263514.73</v>
      </c>
      <c r="C263" s="13">
        <v>556308.49</v>
      </c>
      <c r="D263" s="13">
        <v>418605.96</v>
      </c>
      <c r="E263" s="13">
        <v>135502.63</v>
      </c>
      <c r="F263" s="13">
        <f t="shared" si="29"/>
        <v>1373931.81</v>
      </c>
      <c r="G263" s="13">
        <f t="shared" si="28"/>
        <v>6614088.1799999997</v>
      </c>
    </row>
    <row r="264" spans="1:7" x14ac:dyDescent="0.2">
      <c r="A264" s="16">
        <v>40678</v>
      </c>
      <c r="B264" s="13">
        <v>322877.93</v>
      </c>
      <c r="C264" s="13">
        <v>622504.56999999995</v>
      </c>
      <c r="D264" s="13">
        <v>1057209.98</v>
      </c>
      <c r="E264" s="13">
        <v>176111.77</v>
      </c>
      <c r="F264" s="13">
        <f t="shared" si="29"/>
        <v>2178704.25</v>
      </c>
      <c r="G264" s="13">
        <f t="shared" si="28"/>
        <v>8792792.4299999997</v>
      </c>
    </row>
    <row r="265" spans="1:7" x14ac:dyDescent="0.2">
      <c r="A265" s="16">
        <v>40709</v>
      </c>
      <c r="B265" s="13">
        <v>357146.31</v>
      </c>
      <c r="C265" s="13">
        <v>769603.89</v>
      </c>
      <c r="D265" s="13">
        <v>524497.86</v>
      </c>
      <c r="E265" s="13">
        <v>161440.16</v>
      </c>
      <c r="F265" s="13">
        <f t="shared" si="29"/>
        <v>1812688.22</v>
      </c>
      <c r="G265" s="13">
        <f t="shared" si="28"/>
        <v>10605480.65</v>
      </c>
    </row>
    <row r="266" spans="1:7" x14ac:dyDescent="0.2">
      <c r="A266" s="16">
        <v>40739</v>
      </c>
      <c r="B266" s="13">
        <v>373441.61</v>
      </c>
      <c r="C266" s="13">
        <v>794425.13</v>
      </c>
      <c r="D266" s="13">
        <v>505145.03</v>
      </c>
      <c r="E266" s="13">
        <v>188899.63</v>
      </c>
      <c r="F266" s="13">
        <f t="shared" si="29"/>
        <v>1861911.4</v>
      </c>
      <c r="G266" s="13">
        <f t="shared" si="28"/>
        <v>12467392.050000001</v>
      </c>
    </row>
    <row r="267" spans="1:7" x14ac:dyDescent="0.2">
      <c r="A267" s="16">
        <v>40770</v>
      </c>
      <c r="B267" s="13">
        <v>461130.23999999999</v>
      </c>
      <c r="C267" s="13">
        <v>951811.17</v>
      </c>
      <c r="D267" s="13">
        <v>1136684.82</v>
      </c>
      <c r="E267" s="13">
        <v>235463.17</v>
      </c>
      <c r="F267" s="13">
        <f t="shared" si="29"/>
        <v>2785089.4000000004</v>
      </c>
      <c r="G267" s="13">
        <f t="shared" si="28"/>
        <v>15252481.450000001</v>
      </c>
    </row>
    <row r="268" spans="1:7" x14ac:dyDescent="0.2">
      <c r="A268" s="16">
        <v>40801</v>
      </c>
      <c r="B268" s="13">
        <v>571891.04</v>
      </c>
      <c r="C268" s="13">
        <v>1265611.3799999999</v>
      </c>
      <c r="D268" s="13">
        <v>584101.67000000004</v>
      </c>
      <c r="E268" s="13">
        <v>280880.07</v>
      </c>
      <c r="F268" s="13">
        <f t="shared" si="29"/>
        <v>2702484.1599999997</v>
      </c>
      <c r="G268" s="13">
        <f t="shared" si="28"/>
        <v>17954965.609999999</v>
      </c>
    </row>
    <row r="269" spans="1:7" x14ac:dyDescent="0.2">
      <c r="A269" s="16">
        <v>40831</v>
      </c>
      <c r="B269" s="13">
        <v>502298.24</v>
      </c>
      <c r="C269" s="13">
        <v>1052678.46</v>
      </c>
      <c r="D269" s="13">
        <v>547984.69999999995</v>
      </c>
      <c r="E269" s="13">
        <v>287022.92</v>
      </c>
      <c r="F269" s="13">
        <f t="shared" si="29"/>
        <v>2389984.3199999998</v>
      </c>
      <c r="G269" s="13">
        <f t="shared" si="28"/>
        <v>20344949.93</v>
      </c>
    </row>
    <row r="270" spans="1:7" x14ac:dyDescent="0.2">
      <c r="A270" s="16">
        <v>40862</v>
      </c>
      <c r="B270" s="13">
        <v>455849.81</v>
      </c>
      <c r="C270" s="13">
        <v>991805.52</v>
      </c>
      <c r="D270" s="13">
        <v>1129497.8500000001</v>
      </c>
      <c r="E270" s="13">
        <v>236676.62</v>
      </c>
      <c r="F270" s="13">
        <f t="shared" si="29"/>
        <v>2813829.8000000003</v>
      </c>
      <c r="G270" s="13">
        <f t="shared" si="28"/>
        <v>23158779.73</v>
      </c>
    </row>
    <row r="271" spans="1:7" x14ac:dyDescent="0.2">
      <c r="A271" s="16">
        <v>40892</v>
      </c>
      <c r="B271" s="13">
        <v>446684.98</v>
      </c>
      <c r="C271" s="13">
        <v>993755.63</v>
      </c>
      <c r="D271" s="13">
        <v>559876.94999999995</v>
      </c>
      <c r="E271" s="13">
        <v>294004.44</v>
      </c>
      <c r="F271" s="13">
        <f t="shared" si="29"/>
        <v>2294322</v>
      </c>
      <c r="G271" s="13">
        <f t="shared" si="28"/>
        <v>25453101.73</v>
      </c>
    </row>
    <row r="272" spans="1:7" ht="15.75" thickBot="1" x14ac:dyDescent="0.25">
      <c r="A272" s="1" t="s">
        <v>16</v>
      </c>
      <c r="B272" s="6">
        <f>SUM(B260:B271)</f>
        <v>4493951.2600000007</v>
      </c>
      <c r="C272" s="6">
        <f>SUM(C260:C271)</f>
        <v>9657802.7400000002</v>
      </c>
      <c r="D272" s="6">
        <f>SUM(D260:D271)</f>
        <v>8763959.870000001</v>
      </c>
      <c r="E272" s="6">
        <f>SUM(E260:E271)</f>
        <v>2537387.86</v>
      </c>
      <c r="F272" s="6">
        <f>SUM(F260:F271)</f>
        <v>25453101.73</v>
      </c>
      <c r="G272" s="11"/>
    </row>
    <row r="273" spans="1:7" ht="15.75" thickTop="1" x14ac:dyDescent="0.2">
      <c r="A273" s="4"/>
      <c r="B273" s="7"/>
      <c r="C273" s="7"/>
      <c r="D273" s="7"/>
      <c r="E273" s="7"/>
      <c r="F273" s="7"/>
      <c r="G273" s="7"/>
    </row>
    <row r="274" spans="1:7" x14ac:dyDescent="0.2">
      <c r="A274" s="3">
        <v>2010</v>
      </c>
      <c r="B274" s="2"/>
      <c r="C274" s="2"/>
      <c r="D274" s="2"/>
      <c r="E274" s="2"/>
      <c r="F274" s="2"/>
      <c r="G274" s="2"/>
    </row>
    <row r="275" spans="1:7" x14ac:dyDescent="0.2">
      <c r="A275" s="4">
        <v>40193</v>
      </c>
      <c r="B275" s="5">
        <v>162616.25</v>
      </c>
      <c r="C275" s="5">
        <v>496539.46</v>
      </c>
      <c r="D275" s="5">
        <v>134383.49</v>
      </c>
      <c r="E275" s="5">
        <v>103033.66</v>
      </c>
      <c r="F275" s="5">
        <f>SUM(B275:E275)</f>
        <v>896572.86</v>
      </c>
      <c r="G275" s="5">
        <f>SUM(B275:E275)</f>
        <v>896572.86</v>
      </c>
    </row>
    <row r="276" spans="1:7" x14ac:dyDescent="0.2">
      <c r="A276" s="4">
        <v>40224</v>
      </c>
      <c r="B276" s="5">
        <v>221869.29</v>
      </c>
      <c r="C276" s="5">
        <v>362515.53</v>
      </c>
      <c r="D276" s="5">
        <v>693743.44</v>
      </c>
      <c r="E276" s="5">
        <v>232329.44</v>
      </c>
      <c r="F276" s="5">
        <f t="shared" ref="F276:F286" si="30">SUM(B276:E276)</f>
        <v>1510457.7</v>
      </c>
      <c r="G276" s="5">
        <f t="shared" ref="G276:G286" si="31">SUM(G275+F276)</f>
        <v>2407030.56</v>
      </c>
    </row>
    <row r="277" spans="1:7" x14ac:dyDescent="0.2">
      <c r="A277" s="4">
        <v>40252</v>
      </c>
      <c r="B277" s="5">
        <v>153332.79</v>
      </c>
      <c r="C277" s="5">
        <v>468161.11</v>
      </c>
      <c r="D277" s="5">
        <v>137569.69</v>
      </c>
      <c r="E277" s="5">
        <v>84015.22</v>
      </c>
      <c r="F277" s="5">
        <f t="shared" si="30"/>
        <v>843078.81</v>
      </c>
      <c r="G277" s="5">
        <f t="shared" si="31"/>
        <v>3250109.37</v>
      </c>
    </row>
    <row r="278" spans="1:7" x14ac:dyDescent="0.2">
      <c r="A278" s="4">
        <v>40283</v>
      </c>
      <c r="B278" s="5">
        <v>199859.02</v>
      </c>
      <c r="C278" s="5">
        <v>538314.9</v>
      </c>
      <c r="D278" s="5">
        <v>144423.32</v>
      </c>
      <c r="E278" s="5">
        <v>83535.429999999993</v>
      </c>
      <c r="F278" s="5">
        <f t="shared" si="30"/>
        <v>966132.66999999993</v>
      </c>
      <c r="G278" s="5">
        <f t="shared" si="31"/>
        <v>4216242.04</v>
      </c>
    </row>
    <row r="279" spans="1:7" x14ac:dyDescent="0.2">
      <c r="A279" s="4">
        <v>40313</v>
      </c>
      <c r="B279" s="5">
        <v>289393.43</v>
      </c>
      <c r="C279" s="5">
        <v>688693.26</v>
      </c>
      <c r="D279" s="5">
        <v>658715.46</v>
      </c>
      <c r="E279" s="5">
        <v>211833.47</v>
      </c>
      <c r="F279" s="5">
        <f t="shared" si="30"/>
        <v>1848635.6199999999</v>
      </c>
      <c r="G279" s="5">
        <f t="shared" si="31"/>
        <v>6064877.6600000001</v>
      </c>
    </row>
    <row r="280" spans="1:7" x14ac:dyDescent="0.2">
      <c r="A280" s="4">
        <v>40344</v>
      </c>
      <c r="B280" s="5">
        <v>205258.96</v>
      </c>
      <c r="C280" s="5">
        <v>582784.94999999995</v>
      </c>
      <c r="D280" s="5">
        <v>147905.16</v>
      </c>
      <c r="E280" s="5">
        <v>99923.1</v>
      </c>
      <c r="F280" s="5">
        <f t="shared" si="30"/>
        <v>1035872.1699999999</v>
      </c>
      <c r="G280" s="5">
        <f t="shared" si="31"/>
        <v>7100749.8300000001</v>
      </c>
    </row>
    <row r="281" spans="1:7" x14ac:dyDescent="0.2">
      <c r="A281" s="4">
        <v>40374</v>
      </c>
      <c r="B281" s="5">
        <v>268971.46999999997</v>
      </c>
      <c r="C281" s="5">
        <v>790705.68</v>
      </c>
      <c r="D281" s="5">
        <v>167443.66</v>
      </c>
      <c r="E281" s="5">
        <v>118547.28</v>
      </c>
      <c r="F281" s="5">
        <f t="shared" si="30"/>
        <v>1345668.0899999999</v>
      </c>
      <c r="G281" s="5">
        <f t="shared" si="31"/>
        <v>8446417.9199999999</v>
      </c>
    </row>
    <row r="282" spans="1:7" x14ac:dyDescent="0.2">
      <c r="A282" s="4">
        <v>40405</v>
      </c>
      <c r="B282" s="5">
        <v>429451.49</v>
      </c>
      <c r="C282" s="5">
        <v>969822.15</v>
      </c>
      <c r="D282" s="5">
        <v>743093.76000000001</v>
      </c>
      <c r="E282" s="5">
        <v>309066.55</v>
      </c>
      <c r="F282" s="5">
        <f t="shared" si="30"/>
        <v>2451433.9500000002</v>
      </c>
      <c r="G282" s="5">
        <f t="shared" si="31"/>
        <v>10897851.870000001</v>
      </c>
    </row>
    <row r="283" spans="1:7" x14ac:dyDescent="0.2">
      <c r="A283" s="4">
        <v>40436</v>
      </c>
      <c r="B283" s="5">
        <v>378278.33</v>
      </c>
      <c r="C283" s="5">
        <v>1144229.25</v>
      </c>
      <c r="D283" s="5">
        <v>344009.49</v>
      </c>
      <c r="E283" s="5">
        <v>191470.32</v>
      </c>
      <c r="F283" s="5">
        <f t="shared" si="30"/>
        <v>2057987.3900000001</v>
      </c>
      <c r="G283" s="5">
        <f t="shared" si="31"/>
        <v>12955839.260000002</v>
      </c>
    </row>
    <row r="284" spans="1:7" x14ac:dyDescent="0.2">
      <c r="A284" s="4">
        <v>40466</v>
      </c>
      <c r="B284" s="5">
        <v>343622.22</v>
      </c>
      <c r="C284" s="5">
        <v>1006824.08</v>
      </c>
      <c r="D284" s="5">
        <v>315668.28999999998</v>
      </c>
      <c r="E284" s="5">
        <v>208478.26</v>
      </c>
      <c r="F284" s="5">
        <f t="shared" si="30"/>
        <v>1874592.8499999999</v>
      </c>
      <c r="G284" s="5">
        <f t="shared" si="31"/>
        <v>14830432.110000001</v>
      </c>
    </row>
    <row r="285" spans="1:7" x14ac:dyDescent="0.2">
      <c r="A285" s="4">
        <v>40497</v>
      </c>
      <c r="B285" s="5">
        <v>442083.71</v>
      </c>
      <c r="C285" s="5">
        <v>926951.42</v>
      </c>
      <c r="D285" s="5">
        <v>1400186.44</v>
      </c>
      <c r="E285" s="5">
        <v>394052.18</v>
      </c>
      <c r="F285" s="5">
        <f t="shared" si="30"/>
        <v>3163273.7500000005</v>
      </c>
      <c r="G285" s="5">
        <f t="shared" si="31"/>
        <v>17993705.860000003</v>
      </c>
    </row>
    <row r="286" spans="1:7" x14ac:dyDescent="0.2">
      <c r="A286" s="4">
        <v>40527</v>
      </c>
      <c r="B286" s="5">
        <v>293196.56</v>
      </c>
      <c r="C286" s="5">
        <v>844740.84</v>
      </c>
      <c r="D286" s="5">
        <v>347831.96</v>
      </c>
      <c r="E286" s="5">
        <v>148092.6</v>
      </c>
      <c r="F286" s="5">
        <f t="shared" si="30"/>
        <v>1633861.96</v>
      </c>
      <c r="G286" s="5">
        <f t="shared" si="31"/>
        <v>19627567.820000004</v>
      </c>
    </row>
    <row r="287" spans="1:7" ht="15.75" thickBot="1" x14ac:dyDescent="0.25">
      <c r="A287" s="1" t="s">
        <v>15</v>
      </c>
      <c r="B287" s="6">
        <f>SUM(B275:B286)</f>
        <v>3387933.52</v>
      </c>
      <c r="C287" s="6">
        <f>SUM(C275:C286)</f>
        <v>8820282.6300000008</v>
      </c>
      <c r="D287" s="6">
        <f>SUM(D275:D286)</f>
        <v>5234974.1599999992</v>
      </c>
      <c r="E287" s="6">
        <f>SUM(E275:E286)</f>
        <v>2184377.5099999998</v>
      </c>
      <c r="F287" s="6">
        <f>SUM(F275:F286)</f>
        <v>19627567.820000004</v>
      </c>
      <c r="G287" s="2"/>
    </row>
    <row r="288" spans="1:7" ht="15.75" thickTop="1" x14ac:dyDescent="0.2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fectiveDate xmlns="7b1f4bc1-1c69-4382-97c7-524a76d943bf" xsi:nil="true"/>
    <_x002e_DocumentType xmlns="9e30f06f-ad7a-453a-8e08-8a8878e30bd1">
      <Value>123</Value>
    </_x002e_DocumentType>
    <_x002e_DocumentYear xmlns="9e30f06f-ad7a-453a-8e08-8a8878e30bd1">multi-year</_x002e_DocumentYear>
    <County xmlns="7b1f4bc1-1c69-4382-97c7-524a76d943bf" xsi:nil="true"/>
    <_dlc_DocId xmlns="bb65cc95-6d4e-4879-a879-9838761499af">33E6D4FPPFNA-16-5416</_dlc_DocId>
    <_x002e_Owner xmlns="9e30f06f-ad7a-453a-8e08-8a8878e30bd1">
      <Value>47</Value>
    </_x002e_Owner>
    <_dlc_DocIdUrl xmlns="bb65cc95-6d4e-4879-a879-9838761499af">
      <Url>https://revenue-auth-prod.wi.gov/_layouts/15/DocIdRedir.aspx?ID=33E6D4FPPFNA-16-5416</Url>
      <Description>33E6D4FPPFNA-16-5416</Description>
    </_dlc_DocIdUrl>
  </documentManagement>
</p:properties>
</file>

<file path=customXml/itemProps1.xml><?xml version="1.0" encoding="utf-8"?>
<ds:datastoreItem xmlns:ds="http://schemas.openxmlformats.org/officeDocument/2006/customXml" ds:itemID="{44E88C14-1C93-440C-A65A-FD8AAF6B1F11}"/>
</file>

<file path=customXml/itemProps2.xml><?xml version="1.0" encoding="utf-8"?>
<ds:datastoreItem xmlns:ds="http://schemas.openxmlformats.org/officeDocument/2006/customXml" ds:itemID="{22DBF9A0-8A01-4658-99F8-C54352EE0DF9}"/>
</file>

<file path=customXml/itemProps3.xml><?xml version="1.0" encoding="utf-8"?>
<ds:datastoreItem xmlns:ds="http://schemas.openxmlformats.org/officeDocument/2006/customXml" ds:itemID="{647A07D3-3006-4522-9FC7-57104CB1D71F}"/>
</file>

<file path=customXml/itemProps4.xml><?xml version="1.0" encoding="utf-8"?>
<ds:datastoreItem xmlns:ds="http://schemas.openxmlformats.org/officeDocument/2006/customXml" ds:itemID="{971FC849-36C3-4931-A303-8DCA76DC05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EXPO Tax Distributions</vt:lpstr>
      <vt:lpstr>Sheet1</vt:lpstr>
      <vt:lpstr>'EXPO Tax Distributions'!Print_Area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 Tax Distributions</dc:title>
  <dc:creator>REVTPL</dc:creator>
  <cp:lastModifiedBy>Hampton, Michael F - DOR</cp:lastModifiedBy>
  <cp:lastPrinted>2024-12-26T15:54:00Z</cp:lastPrinted>
  <dcterms:created xsi:type="dcterms:W3CDTF">2000-01-14T20:39:04Z</dcterms:created>
  <dcterms:modified xsi:type="dcterms:W3CDTF">2025-04-25T17:07:16Z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ReportGroupHeadingLookup">
    <vt:lpwstr>62</vt:lpwstr>
  </property>
  <property fmtid="{D5CDD505-2E9C-101B-9397-08002B2CF9AE}" pid="4" name="_dlc_DocIdItemGuid">
    <vt:lpwstr>bbcc7fe2-32d6-4caf-a648-308629354dd1</vt:lpwstr>
  </property>
</Properties>
</file>